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drawings/drawing2.xml" ContentType="application/vnd.openxmlformats-officedocument.drawing+xml"/>
  <Override PartName="/xl/tables/table14.xml" ContentType="application/vnd.openxmlformats-officedocument.spreadsheetml.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tables/table15.xml" ContentType="application/vnd.openxmlformats-officedocument.spreadsheetml.tab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tables/table16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drawings/drawing6.xml" ContentType="application/vnd.openxmlformats-officedocument.drawing+xml"/>
  <Override PartName="/xl/tables/table17.xml" ContentType="application/vnd.openxmlformats-officedocument.spreadsheetml.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ree\LRZ Sync+Share\PycharmProjects\mt_branch_new_code\tumlknexpectimax\tumlknexpectimax\excel_data\"/>
    </mc:Choice>
  </mc:AlternateContent>
  <xr:revisionPtr revIDLastSave="0" documentId="10_ncr:100000_{3653742E-E8D8-4D0B-A432-9FEE90A0E6A2}" xr6:coauthVersionLast="31" xr6:coauthVersionMax="31" xr10:uidLastSave="{00000000-0000-0000-0000-000000000000}"/>
  <bookViews>
    <workbookView minimized="1" xWindow="0" yWindow="660" windowWidth="19370" windowHeight="8990" tabRatio="961" firstSheet="12" activeTab="19" xr2:uid="{00000000-000D-0000-FFFF-FFFF00000000}"/>
  </bookViews>
  <sheets>
    <sheet name="Papers and Reports" sheetId="1" r:id="rId1"/>
    <sheet name="Results_Visual" sheetId="20" r:id="rId2"/>
    <sheet name="FTTCab GPON 26 Mbps" sheetId="2" r:id="rId3"/>
    <sheet name="FTTB XGPON 50 Mbps" sheetId="3" r:id="rId4"/>
    <sheet name="FTTB WR-WDMPON 50 Mbps" sheetId="4" r:id="rId5"/>
    <sheet name="FTTH WR-WDMPON 100 Mbps" sheetId="5" r:id="rId6"/>
    <sheet name="FTTH XGPON 100 Mbps" sheetId="6" r:id="rId7"/>
    <sheet name="FTTCab_GPON_100" sheetId="8" r:id="rId8"/>
    <sheet name="FTTB_XGPON_100" sheetId="9" r:id="rId9"/>
    <sheet name="FTTB_WRWDM_100" sheetId="10" r:id="rId10"/>
    <sheet name="FTTCab_Hybridpon_25" sheetId="11" r:id="rId11"/>
    <sheet name="FTTB_Hybridpon_50" sheetId="12" r:id="rId12"/>
    <sheet name="FTTH_Hybridpon_100" sheetId="13" r:id="rId13"/>
    <sheet name="FTTC_Hybridpon_100" sheetId="14" r:id="rId14"/>
    <sheet name="FTTB_Hybridpon_100" sheetId="15" r:id="rId15"/>
    <sheet name="CAPEX_Euros_OASE" sheetId="7" r:id="rId16"/>
    <sheet name="CAPEX_Euros_Rokkas" sheetId="16" r:id="rId17"/>
    <sheet name="CAPEX_Euros_BSG" sheetId="17" r:id="rId18"/>
    <sheet name="Chart1" sheetId="21" r:id="rId19"/>
    <sheet name="CAPEX_Euros_Phillipson" sheetId="19" r:id="rId20"/>
  </sheets>
  <calcPr calcId="179017"/>
</workbook>
</file>

<file path=xl/calcChain.xml><?xml version="1.0" encoding="utf-8"?>
<calcChain xmlns="http://schemas.openxmlformats.org/spreadsheetml/2006/main">
  <c r="C9" i="8" l="1"/>
  <c r="C4" i="8"/>
  <c r="F34" i="8"/>
  <c r="F32" i="8"/>
  <c r="F31" i="8"/>
  <c r="F30" i="8"/>
  <c r="F27" i="8"/>
  <c r="F26" i="8"/>
  <c r="E32" i="8"/>
  <c r="E31" i="8"/>
  <c r="E30" i="8"/>
  <c r="E27" i="8"/>
  <c r="E8" i="11" l="1"/>
  <c r="E8" i="15"/>
  <c r="C4" i="9"/>
  <c r="F10" i="6"/>
  <c r="E10" i="6"/>
  <c r="D10" i="6"/>
  <c r="C10" i="6"/>
  <c r="E9" i="2"/>
  <c r="E8" i="2"/>
  <c r="E6" i="2"/>
  <c r="E5" i="2"/>
  <c r="F6" i="2"/>
  <c r="E2" i="2"/>
  <c r="C6" i="15" l="1"/>
  <c r="C4" i="15"/>
  <c r="G7" i="14"/>
  <c r="C6" i="14"/>
  <c r="C4" i="14"/>
  <c r="C8" i="13"/>
  <c r="C6" i="13"/>
  <c r="C4" i="13"/>
  <c r="C6" i="12"/>
  <c r="C4" i="12"/>
  <c r="G9" i="11"/>
  <c r="G8" i="11"/>
  <c r="C6" i="11"/>
  <c r="C4" i="11"/>
  <c r="G8" i="9"/>
  <c r="G7" i="9"/>
  <c r="G6" i="9"/>
  <c r="G3" i="9"/>
  <c r="G2" i="9"/>
  <c r="G3" i="3"/>
  <c r="G6" i="3"/>
  <c r="G7" i="3"/>
  <c r="G8" i="3"/>
  <c r="C4" i="6"/>
  <c r="G8" i="5"/>
  <c r="G5" i="5"/>
  <c r="G4" i="5"/>
  <c r="G3" i="5"/>
  <c r="C10" i="5"/>
  <c r="C8" i="5"/>
  <c r="C7" i="5"/>
  <c r="C6" i="5"/>
  <c r="C10" i="4"/>
  <c r="C8" i="4"/>
  <c r="C6" i="4"/>
  <c r="C4" i="3"/>
  <c r="G8" i="2"/>
  <c r="G7" i="2"/>
  <c r="G6" i="2"/>
  <c r="G3" i="2"/>
  <c r="F9" i="2"/>
  <c r="D9" i="2"/>
  <c r="F8" i="2"/>
  <c r="D8" i="2"/>
  <c r="D7" i="2"/>
  <c r="D6" i="2"/>
  <c r="D5" i="2"/>
  <c r="D3" i="2"/>
  <c r="F2" i="2"/>
  <c r="D2" i="2"/>
  <c r="C9" i="2"/>
  <c r="H9" i="2" s="1"/>
  <c r="C4" i="2"/>
  <c r="K9" i="2" l="1"/>
  <c r="J9" i="2"/>
  <c r="I9" i="2"/>
  <c r="F8" i="13" l="1"/>
  <c r="E8" i="13"/>
  <c r="D8" i="13"/>
  <c r="G2" i="5" l="1"/>
  <c r="C3" i="16" l="1"/>
  <c r="C4" i="16"/>
  <c r="C5" i="16"/>
  <c r="C6" i="16"/>
  <c r="C7" i="16"/>
  <c r="C8" i="16"/>
  <c r="C9" i="16"/>
  <c r="C10" i="16"/>
  <c r="C11" i="16"/>
  <c r="C13" i="16"/>
  <c r="C2" i="16"/>
  <c r="B3" i="16"/>
  <c r="B4" i="16"/>
  <c r="B5" i="16"/>
  <c r="B6" i="16"/>
  <c r="B7" i="16"/>
  <c r="B8" i="16"/>
  <c r="B9" i="16"/>
  <c r="B10" i="16"/>
  <c r="B11" i="16"/>
  <c r="B12" i="16"/>
  <c r="B13" i="16"/>
  <c r="G85" i="16" s="1"/>
  <c r="C12" i="16" s="1"/>
  <c r="B14" i="16"/>
  <c r="B2" i="16"/>
  <c r="G87" i="16"/>
  <c r="C14" i="16" s="1"/>
  <c r="G9" i="14" l="1"/>
  <c r="G8" i="14"/>
  <c r="D61" i="19" l="1"/>
  <c r="E61" i="19"/>
  <c r="F61" i="19"/>
  <c r="F59" i="17" l="1"/>
  <c r="F69" i="16" l="1"/>
  <c r="F70" i="16"/>
  <c r="F71" i="16"/>
  <c r="F72" i="16"/>
  <c r="F73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E3" i="16"/>
  <c r="G57" i="16" s="1"/>
  <c r="E4" i="16"/>
  <c r="G58" i="16" s="1"/>
  <c r="E5" i="16"/>
  <c r="G59" i="16" s="1"/>
  <c r="E6" i="16"/>
  <c r="G60" i="16" s="1"/>
  <c r="E7" i="16"/>
  <c r="G61" i="16" s="1"/>
  <c r="E8" i="16"/>
  <c r="G62" i="16" s="1"/>
  <c r="E9" i="16"/>
  <c r="G63" i="16" s="1"/>
  <c r="E10" i="16"/>
  <c r="G64" i="16" s="1"/>
  <c r="E11" i="16"/>
  <c r="G65" i="16" s="1"/>
  <c r="E12" i="16"/>
  <c r="G66" i="16" s="1"/>
  <c r="E13" i="16"/>
  <c r="G67" i="16" s="1"/>
  <c r="E14" i="16"/>
  <c r="G68" i="16" s="1"/>
  <c r="E2" i="16"/>
  <c r="G56" i="16" s="1"/>
  <c r="C58" i="7" l="1"/>
  <c r="D58" i="7"/>
  <c r="C59" i="7"/>
  <c r="D59" i="7"/>
  <c r="C60" i="7"/>
  <c r="D60" i="7"/>
  <c r="C61" i="7"/>
  <c r="D61" i="7"/>
  <c r="C62" i="7"/>
  <c r="D62" i="7"/>
  <c r="C63" i="7"/>
  <c r="D63" i="7"/>
  <c r="C64" i="7"/>
  <c r="D64" i="7"/>
  <c r="C65" i="7"/>
  <c r="D65" i="7"/>
  <c r="C66" i="7"/>
  <c r="D66" i="7"/>
  <c r="C67" i="7"/>
  <c r="D67" i="7"/>
  <c r="C68" i="7"/>
  <c r="D68" i="7"/>
  <c r="C69" i="7"/>
  <c r="D69" i="7"/>
  <c r="D57" i="7"/>
  <c r="C57" i="7"/>
  <c r="D3" i="10" l="1"/>
  <c r="D7" i="14"/>
  <c r="D7" i="11"/>
  <c r="D10" i="8"/>
  <c r="E9" i="3"/>
  <c r="E9" i="9"/>
  <c r="F10" i="5"/>
  <c r="D10" i="5"/>
  <c r="H13" i="19" l="1"/>
  <c r="H10" i="19"/>
  <c r="H7" i="19"/>
  <c r="E3" i="19"/>
  <c r="E49" i="19" s="1"/>
  <c r="E4" i="19"/>
  <c r="E50" i="19" s="1"/>
  <c r="E5" i="19"/>
  <c r="E51" i="19" s="1"/>
  <c r="E6" i="19"/>
  <c r="E52" i="19" s="1"/>
  <c r="E7" i="19"/>
  <c r="E53" i="19" s="1"/>
  <c r="E8" i="19"/>
  <c r="E54" i="19" s="1"/>
  <c r="E9" i="19"/>
  <c r="E55" i="19" s="1"/>
  <c r="E10" i="19"/>
  <c r="E56" i="19" s="1"/>
  <c r="E11" i="19"/>
  <c r="E57" i="19" s="1"/>
  <c r="E12" i="19"/>
  <c r="E58" i="19" s="1"/>
  <c r="E13" i="19"/>
  <c r="E59" i="19" s="1"/>
  <c r="E14" i="19"/>
  <c r="E60" i="19" s="1"/>
  <c r="E2" i="19"/>
  <c r="E48" i="19" s="1"/>
  <c r="D3" i="19"/>
  <c r="D4" i="19"/>
  <c r="D50" i="19" s="1"/>
  <c r="D5" i="19"/>
  <c r="D6" i="19"/>
  <c r="D7" i="19"/>
  <c r="D8" i="19"/>
  <c r="D9" i="19"/>
  <c r="D55" i="19" s="1"/>
  <c r="D10" i="19"/>
  <c r="D11" i="19"/>
  <c r="D12" i="19"/>
  <c r="D13" i="19"/>
  <c r="D14" i="19"/>
  <c r="D2" i="19"/>
  <c r="K3" i="15"/>
  <c r="K4" i="15"/>
  <c r="K5" i="15"/>
  <c r="K6" i="15"/>
  <c r="K7" i="15"/>
  <c r="K8" i="15"/>
  <c r="K9" i="15"/>
  <c r="K2" i="15"/>
  <c r="K3" i="14"/>
  <c r="K4" i="14"/>
  <c r="K5" i="14"/>
  <c r="K6" i="14"/>
  <c r="K7" i="14"/>
  <c r="K10" i="14"/>
  <c r="K2" i="14"/>
  <c r="K3" i="13"/>
  <c r="K4" i="13"/>
  <c r="K5" i="13"/>
  <c r="K6" i="13"/>
  <c r="K7" i="13"/>
  <c r="K8" i="13"/>
  <c r="K9" i="13"/>
  <c r="K2" i="13"/>
  <c r="K3" i="12"/>
  <c r="K4" i="12"/>
  <c r="K5" i="12"/>
  <c r="K6" i="12"/>
  <c r="K7" i="12"/>
  <c r="K8" i="12"/>
  <c r="K9" i="12"/>
  <c r="K2" i="12"/>
  <c r="K3" i="11"/>
  <c r="K4" i="11"/>
  <c r="K5" i="11"/>
  <c r="K6" i="11"/>
  <c r="K7" i="11"/>
  <c r="K10" i="11"/>
  <c r="K2" i="11"/>
  <c r="K4" i="10"/>
  <c r="K5" i="10"/>
  <c r="K6" i="10"/>
  <c r="K7" i="10"/>
  <c r="K8" i="10"/>
  <c r="C17" i="10" s="1"/>
  <c r="G9" i="19" s="1"/>
  <c r="K9" i="10"/>
  <c r="K10" i="10"/>
  <c r="K2" i="10"/>
  <c r="K4" i="9"/>
  <c r="K5" i="9"/>
  <c r="K8" i="9"/>
  <c r="K9" i="9"/>
  <c r="K10" i="9"/>
  <c r="K4" i="8"/>
  <c r="K5" i="8"/>
  <c r="K9" i="8"/>
  <c r="K11" i="8"/>
  <c r="K2" i="8"/>
  <c r="K4" i="6"/>
  <c r="K5" i="6"/>
  <c r="K9" i="6"/>
  <c r="K10" i="6"/>
  <c r="K3" i="5"/>
  <c r="K4" i="5"/>
  <c r="K5" i="5"/>
  <c r="K6" i="5"/>
  <c r="K7" i="5"/>
  <c r="K8" i="5"/>
  <c r="C18" i="5" s="1"/>
  <c r="G5" i="19" s="1"/>
  <c r="K9" i="5"/>
  <c r="K10" i="5"/>
  <c r="D18" i="5" s="1"/>
  <c r="H5" i="19" s="1"/>
  <c r="K2" i="5"/>
  <c r="K3" i="4"/>
  <c r="K4" i="4"/>
  <c r="K5" i="4"/>
  <c r="K6" i="4"/>
  <c r="K7" i="4"/>
  <c r="K8" i="4"/>
  <c r="C18" i="4" s="1"/>
  <c r="G4" i="19" s="1"/>
  <c r="K9" i="4"/>
  <c r="K10" i="4"/>
  <c r="K2" i="4"/>
  <c r="K4" i="3"/>
  <c r="K5" i="3"/>
  <c r="K7" i="3"/>
  <c r="K8" i="3"/>
  <c r="K9" i="3"/>
  <c r="K10" i="3"/>
  <c r="K2" i="3"/>
  <c r="K4" i="2"/>
  <c r="K5" i="2"/>
  <c r="K10" i="2"/>
  <c r="D21" i="2" s="1"/>
  <c r="H2" i="19" s="1"/>
  <c r="K2" i="2"/>
  <c r="E10" i="8"/>
  <c r="H13" i="17"/>
  <c r="H10" i="17"/>
  <c r="H7" i="17"/>
  <c r="H13" i="16"/>
  <c r="H10" i="16"/>
  <c r="H7" i="16"/>
  <c r="G51" i="19" l="1"/>
  <c r="B18" i="13"/>
  <c r="B19" i="14"/>
  <c r="D20" i="6"/>
  <c r="H6" i="19" s="1"/>
  <c r="C18" i="13"/>
  <c r="G12" i="19" s="1"/>
  <c r="G58" i="19" s="1"/>
  <c r="C18" i="12"/>
  <c r="G11" i="19" s="1"/>
  <c r="B18" i="12"/>
  <c r="F11" i="19" s="1"/>
  <c r="I11" i="19" s="1"/>
  <c r="L11" i="19" s="1"/>
  <c r="B19" i="11"/>
  <c r="F10" i="19" s="1"/>
  <c r="F56" i="19" s="1"/>
  <c r="D20" i="3"/>
  <c r="H3" i="19" s="1"/>
  <c r="D60" i="19"/>
  <c r="D56" i="19"/>
  <c r="D52" i="19"/>
  <c r="D59" i="19"/>
  <c r="D51" i="19"/>
  <c r="D58" i="19"/>
  <c r="D54" i="19"/>
  <c r="D48" i="19"/>
  <c r="D57" i="19"/>
  <c r="D53" i="19"/>
  <c r="D49" i="19"/>
  <c r="D19" i="9"/>
  <c r="H8" i="19" s="1"/>
  <c r="B18" i="5"/>
  <c r="F5" i="19" s="1"/>
  <c r="F51" i="19" s="1"/>
  <c r="B18" i="15"/>
  <c r="F14" i="19" s="1"/>
  <c r="F60" i="19" s="1"/>
  <c r="C18" i="15"/>
  <c r="G14" i="19" s="1"/>
  <c r="D18" i="15"/>
  <c r="H14" i="19" s="1"/>
  <c r="D18" i="13"/>
  <c r="H12" i="19" s="1"/>
  <c r="D18" i="12"/>
  <c r="H11" i="19" s="1"/>
  <c r="G57" i="19" s="1"/>
  <c r="D17" i="10"/>
  <c r="H9" i="19" s="1"/>
  <c r="G55" i="19" s="1"/>
  <c r="D18" i="4"/>
  <c r="H4" i="19" s="1"/>
  <c r="G50" i="19" s="1"/>
  <c r="B18" i="4"/>
  <c r="F4" i="19" s="1"/>
  <c r="I4" i="19" s="1"/>
  <c r="L4" i="19" s="1"/>
  <c r="F13" i="19"/>
  <c r="F59" i="19" s="1"/>
  <c r="F12" i="19"/>
  <c r="F58" i="19" s="1"/>
  <c r="D2" i="17"/>
  <c r="F46" i="17" s="1"/>
  <c r="E2" i="17"/>
  <c r="G46" i="17" s="1"/>
  <c r="E3" i="17"/>
  <c r="G47" i="17" s="1"/>
  <c r="E4" i="17"/>
  <c r="G48" i="17" s="1"/>
  <c r="E5" i="17"/>
  <c r="G49" i="17" s="1"/>
  <c r="E6" i="17"/>
  <c r="G50" i="17" s="1"/>
  <c r="E7" i="17"/>
  <c r="G51" i="17" s="1"/>
  <c r="E8" i="17"/>
  <c r="G52" i="17" s="1"/>
  <c r="E9" i="17"/>
  <c r="G53" i="17" s="1"/>
  <c r="E10" i="17"/>
  <c r="G54" i="17" s="1"/>
  <c r="E11" i="17"/>
  <c r="G55" i="17" s="1"/>
  <c r="E12" i="17"/>
  <c r="G56" i="17" s="1"/>
  <c r="E13" i="17"/>
  <c r="G57" i="17" s="1"/>
  <c r="E14" i="17"/>
  <c r="G58" i="17" s="1"/>
  <c r="D3" i="17"/>
  <c r="F47" i="17" s="1"/>
  <c r="D4" i="17"/>
  <c r="F48" i="17" s="1"/>
  <c r="D5" i="17"/>
  <c r="F49" i="17" s="1"/>
  <c r="D6" i="17"/>
  <c r="F50" i="17" s="1"/>
  <c r="D7" i="17"/>
  <c r="F51" i="17" s="1"/>
  <c r="D8" i="17"/>
  <c r="F52" i="17" s="1"/>
  <c r="D9" i="17"/>
  <c r="F53" i="17" s="1"/>
  <c r="D10" i="17"/>
  <c r="F54" i="17" s="1"/>
  <c r="D11" i="17"/>
  <c r="F55" i="17" s="1"/>
  <c r="D12" i="17"/>
  <c r="F56" i="17" s="1"/>
  <c r="D13" i="17"/>
  <c r="F57" i="17" s="1"/>
  <c r="D14" i="17"/>
  <c r="F58" i="17" s="1"/>
  <c r="J3" i="14"/>
  <c r="J4" i="14"/>
  <c r="J5" i="14"/>
  <c r="J6" i="14"/>
  <c r="J7" i="14"/>
  <c r="J10" i="14"/>
  <c r="J2" i="14"/>
  <c r="J3" i="15"/>
  <c r="J4" i="15"/>
  <c r="J5" i="15"/>
  <c r="J6" i="15"/>
  <c r="J7" i="15"/>
  <c r="J8" i="15"/>
  <c r="J9" i="15"/>
  <c r="J2" i="15"/>
  <c r="E8" i="14"/>
  <c r="J3" i="13"/>
  <c r="J4" i="13"/>
  <c r="J5" i="13"/>
  <c r="J6" i="13"/>
  <c r="J7" i="13"/>
  <c r="J8" i="13"/>
  <c r="J9" i="13"/>
  <c r="J2" i="13"/>
  <c r="J3" i="12"/>
  <c r="J4" i="12"/>
  <c r="J5" i="12"/>
  <c r="J6" i="12"/>
  <c r="J7" i="12"/>
  <c r="J9" i="12"/>
  <c r="J2" i="12"/>
  <c r="E8" i="12"/>
  <c r="J8" i="12" s="1"/>
  <c r="J3" i="11"/>
  <c r="J4" i="11"/>
  <c r="J5" i="11"/>
  <c r="J6" i="11"/>
  <c r="J7" i="11"/>
  <c r="J10" i="11"/>
  <c r="J2" i="11"/>
  <c r="J4" i="10"/>
  <c r="J5" i="10"/>
  <c r="J6" i="10"/>
  <c r="J7" i="10"/>
  <c r="J8" i="10"/>
  <c r="C16" i="10" s="1"/>
  <c r="G9" i="17" s="1"/>
  <c r="J9" i="10"/>
  <c r="J2" i="10"/>
  <c r="E10" i="10"/>
  <c r="J10" i="10" s="1"/>
  <c r="J4" i="9"/>
  <c r="J5" i="9"/>
  <c r="J9" i="9"/>
  <c r="E10" i="9"/>
  <c r="J10" i="9" s="1"/>
  <c r="E8" i="9"/>
  <c r="J8" i="9" s="1"/>
  <c r="E6" i="9"/>
  <c r="E2" i="9"/>
  <c r="J4" i="8"/>
  <c r="J9" i="8"/>
  <c r="J11" i="8"/>
  <c r="E8" i="8"/>
  <c r="E6" i="8"/>
  <c r="E5" i="8"/>
  <c r="J5" i="8" s="1"/>
  <c r="E2" i="8"/>
  <c r="J2" i="8" s="1"/>
  <c r="J4" i="6"/>
  <c r="J5" i="6"/>
  <c r="J9" i="6"/>
  <c r="J10" i="6"/>
  <c r="J3" i="5"/>
  <c r="J4" i="5"/>
  <c r="J5" i="5"/>
  <c r="J6" i="5"/>
  <c r="J7" i="5"/>
  <c r="J8" i="5"/>
  <c r="C17" i="5" s="1"/>
  <c r="G5" i="17" s="1"/>
  <c r="J9" i="5"/>
  <c r="J10" i="5"/>
  <c r="J2" i="5"/>
  <c r="J3" i="4"/>
  <c r="J4" i="4"/>
  <c r="J5" i="4"/>
  <c r="J6" i="4"/>
  <c r="J7" i="4"/>
  <c r="J8" i="4"/>
  <c r="C17" i="4" s="1"/>
  <c r="G4" i="17" s="1"/>
  <c r="J9" i="4"/>
  <c r="J2" i="4"/>
  <c r="E10" i="4"/>
  <c r="J10" i="4" s="1"/>
  <c r="J4" i="3"/>
  <c r="J5" i="3"/>
  <c r="J7" i="3"/>
  <c r="J9" i="3"/>
  <c r="E10" i="3"/>
  <c r="J10" i="3" s="1"/>
  <c r="E8" i="3"/>
  <c r="J8" i="3" s="1"/>
  <c r="E6" i="3"/>
  <c r="E2" i="3"/>
  <c r="J2" i="3" s="1"/>
  <c r="J4" i="2"/>
  <c r="J10" i="2"/>
  <c r="J5" i="2"/>
  <c r="J2" i="2"/>
  <c r="G60" i="19" l="1"/>
  <c r="I14" i="19"/>
  <c r="L14" i="19" s="1"/>
  <c r="E18" i="13"/>
  <c r="I12" i="19"/>
  <c r="J12" i="19" s="1"/>
  <c r="E18" i="5"/>
  <c r="I5" i="19"/>
  <c r="L5" i="19" s="1"/>
  <c r="J11" i="19"/>
  <c r="F57" i="19"/>
  <c r="J4" i="19"/>
  <c r="F50" i="19"/>
  <c r="E18" i="4"/>
  <c r="E18" i="15"/>
  <c r="E18" i="12"/>
  <c r="D17" i="4"/>
  <c r="H4" i="17" s="1"/>
  <c r="I48" i="17" s="1"/>
  <c r="C17" i="12"/>
  <c r="G11" i="17" s="1"/>
  <c r="D17" i="15"/>
  <c r="H14" i="17" s="1"/>
  <c r="D19" i="6"/>
  <c r="H6" i="17" s="1"/>
  <c r="D20" i="2"/>
  <c r="H2" i="17" s="1"/>
  <c r="D16" i="10"/>
  <c r="H9" i="17" s="1"/>
  <c r="I53" i="17" s="1"/>
  <c r="B18" i="14"/>
  <c r="F13" i="17" s="1"/>
  <c r="H57" i="17" s="1"/>
  <c r="B17" i="15"/>
  <c r="F14" i="17" s="1"/>
  <c r="H58" i="17" s="1"/>
  <c r="C17" i="15"/>
  <c r="G14" i="17" s="1"/>
  <c r="B17" i="13"/>
  <c r="F12" i="17" s="1"/>
  <c r="H56" i="17" s="1"/>
  <c r="D17" i="13"/>
  <c r="H12" i="17" s="1"/>
  <c r="C17" i="13"/>
  <c r="G12" i="17" s="1"/>
  <c r="B17" i="12"/>
  <c r="F11" i="17" s="1"/>
  <c r="H55" i="17" s="1"/>
  <c r="D17" i="12"/>
  <c r="H11" i="17" s="1"/>
  <c r="B18" i="11"/>
  <c r="F10" i="17" s="1"/>
  <c r="H54" i="17" s="1"/>
  <c r="D18" i="9"/>
  <c r="H8" i="17" s="1"/>
  <c r="D17" i="5"/>
  <c r="H5" i="17" s="1"/>
  <c r="I49" i="17" s="1"/>
  <c r="B17" i="5"/>
  <c r="B17" i="4"/>
  <c r="F4" i="17" s="1"/>
  <c r="D19" i="3"/>
  <c r="H3" i="17" s="1"/>
  <c r="D3" i="16"/>
  <c r="F57" i="16" s="1"/>
  <c r="D4" i="16"/>
  <c r="F58" i="16" s="1"/>
  <c r="D5" i="16"/>
  <c r="F59" i="16" s="1"/>
  <c r="D6" i="16"/>
  <c r="F60" i="16" s="1"/>
  <c r="D7" i="16"/>
  <c r="F61" i="16" s="1"/>
  <c r="D8" i="16"/>
  <c r="F62" i="16" s="1"/>
  <c r="D9" i="16"/>
  <c r="F63" i="16" s="1"/>
  <c r="D10" i="16"/>
  <c r="F64" i="16" s="1"/>
  <c r="D11" i="16"/>
  <c r="F65" i="16" s="1"/>
  <c r="D12" i="16"/>
  <c r="F66" i="16" s="1"/>
  <c r="D13" i="16"/>
  <c r="F67" i="16" s="1"/>
  <c r="D14" i="16"/>
  <c r="F68" i="16" s="1"/>
  <c r="D2" i="16"/>
  <c r="F56" i="16" s="1"/>
  <c r="I3" i="15"/>
  <c r="I4" i="15"/>
  <c r="I5" i="15"/>
  <c r="I6" i="15"/>
  <c r="I7" i="15"/>
  <c r="I9" i="15"/>
  <c r="D8" i="15"/>
  <c r="I8" i="15" s="1"/>
  <c r="I2" i="15"/>
  <c r="I4" i="14"/>
  <c r="I5" i="14"/>
  <c r="I6" i="14"/>
  <c r="I7" i="14"/>
  <c r="I10" i="14"/>
  <c r="I2" i="14"/>
  <c r="D8" i="14"/>
  <c r="D3" i="14"/>
  <c r="I3" i="14" s="1"/>
  <c r="I3" i="13"/>
  <c r="I4" i="13"/>
  <c r="I5" i="13"/>
  <c r="I6" i="13"/>
  <c r="I7" i="13"/>
  <c r="I8" i="13"/>
  <c r="I9" i="13"/>
  <c r="I2" i="13"/>
  <c r="I3" i="12"/>
  <c r="I4" i="12"/>
  <c r="I5" i="12"/>
  <c r="I6" i="12"/>
  <c r="I7" i="12"/>
  <c r="I9" i="12"/>
  <c r="D8" i="12"/>
  <c r="I8" i="12" s="1"/>
  <c r="I2" i="12"/>
  <c r="I4" i="11"/>
  <c r="I5" i="11"/>
  <c r="I6" i="11"/>
  <c r="I7" i="11"/>
  <c r="I10" i="11"/>
  <c r="I2" i="11"/>
  <c r="D8" i="11"/>
  <c r="D3" i="11"/>
  <c r="I3" i="11" s="1"/>
  <c r="I9" i="10"/>
  <c r="I4" i="10"/>
  <c r="I5" i="10"/>
  <c r="I6" i="10"/>
  <c r="I7" i="10"/>
  <c r="I2" i="10"/>
  <c r="D10" i="10"/>
  <c r="I10" i="10" s="1"/>
  <c r="D8" i="10"/>
  <c r="I8" i="10" s="1"/>
  <c r="C15" i="10" s="1"/>
  <c r="G9" i="16" s="1"/>
  <c r="I4" i="9"/>
  <c r="I5" i="9"/>
  <c r="I8" i="9"/>
  <c r="I9" i="9"/>
  <c r="I10" i="9"/>
  <c r="D2" i="9"/>
  <c r="I4" i="8"/>
  <c r="I9" i="8"/>
  <c r="I11" i="8"/>
  <c r="D8" i="8"/>
  <c r="D7" i="8"/>
  <c r="D6" i="8"/>
  <c r="D5" i="8"/>
  <c r="I5" i="8" s="1"/>
  <c r="D3" i="8"/>
  <c r="D2" i="8"/>
  <c r="I2" i="8" s="1"/>
  <c r="I4" i="6"/>
  <c r="I5" i="6"/>
  <c r="I9" i="6"/>
  <c r="I10" i="6"/>
  <c r="D2" i="6"/>
  <c r="G2" i="6"/>
  <c r="G3" i="6"/>
  <c r="G6" i="6"/>
  <c r="G7" i="6"/>
  <c r="G8" i="6"/>
  <c r="I4" i="5"/>
  <c r="I5" i="5"/>
  <c r="I6" i="5"/>
  <c r="I7" i="5"/>
  <c r="I2" i="5"/>
  <c r="I10" i="5"/>
  <c r="I9" i="5"/>
  <c r="D8" i="5"/>
  <c r="I8" i="5" s="1"/>
  <c r="C16" i="5" s="1"/>
  <c r="G5" i="16" s="1"/>
  <c r="D3" i="5"/>
  <c r="I3" i="5" s="1"/>
  <c r="D10" i="4"/>
  <c r="I10" i="4" s="1"/>
  <c r="D8" i="4"/>
  <c r="I8" i="4" s="1"/>
  <c r="C16" i="4" s="1"/>
  <c r="G4" i="16" s="1"/>
  <c r="I4" i="4"/>
  <c r="I5" i="4"/>
  <c r="I6" i="4"/>
  <c r="I7" i="4"/>
  <c r="I9" i="4"/>
  <c r="I2" i="4"/>
  <c r="D3" i="4"/>
  <c r="I3" i="4" s="1"/>
  <c r="D2" i="3"/>
  <c r="I2" i="3" s="1"/>
  <c r="I2" i="2"/>
  <c r="I4" i="3"/>
  <c r="I5" i="3"/>
  <c r="I7" i="3"/>
  <c r="I8" i="3"/>
  <c r="I9" i="3"/>
  <c r="I10" i="3"/>
  <c r="I4" i="2"/>
  <c r="I10" i="2"/>
  <c r="D19" i="2" s="1"/>
  <c r="H2" i="16" s="1"/>
  <c r="I5" i="2"/>
  <c r="F63" i="7"/>
  <c r="H9" i="15"/>
  <c r="H8" i="15"/>
  <c r="H7" i="15"/>
  <c r="H6" i="15"/>
  <c r="H5" i="15"/>
  <c r="H4" i="15"/>
  <c r="H3" i="15"/>
  <c r="H2" i="15"/>
  <c r="H3" i="14"/>
  <c r="H5" i="14"/>
  <c r="H7" i="14"/>
  <c r="H10" i="14"/>
  <c r="D16" i="14" s="1"/>
  <c r="F14" i="7" s="1"/>
  <c r="J8" i="14"/>
  <c r="H6" i="14"/>
  <c r="H4" i="14"/>
  <c r="H2" i="14"/>
  <c r="H9" i="13"/>
  <c r="H8" i="13"/>
  <c r="H7" i="13"/>
  <c r="H6" i="13"/>
  <c r="H5" i="13"/>
  <c r="H4" i="13"/>
  <c r="H3" i="13"/>
  <c r="H2" i="13"/>
  <c r="H9" i="12"/>
  <c r="H8" i="12"/>
  <c r="H7" i="12"/>
  <c r="H6" i="12"/>
  <c r="H5" i="12"/>
  <c r="H4" i="12"/>
  <c r="H3" i="12"/>
  <c r="H2" i="12"/>
  <c r="H5" i="6"/>
  <c r="H9" i="6"/>
  <c r="H10" i="6"/>
  <c r="H3" i="5"/>
  <c r="H4" i="5"/>
  <c r="H5" i="5"/>
  <c r="H7" i="5"/>
  <c r="H9" i="5"/>
  <c r="H10" i="5"/>
  <c r="H3" i="4"/>
  <c r="H4" i="4"/>
  <c r="H5" i="4"/>
  <c r="H7" i="4"/>
  <c r="H9" i="4"/>
  <c r="H10" i="4"/>
  <c r="H2" i="4"/>
  <c r="H5" i="2"/>
  <c r="H10" i="2"/>
  <c r="D18" i="2" s="1"/>
  <c r="F3" i="7" s="1"/>
  <c r="H4" i="11"/>
  <c r="H3" i="11"/>
  <c r="H5" i="11"/>
  <c r="H7" i="11"/>
  <c r="H10" i="11"/>
  <c r="D16" i="11" s="1"/>
  <c r="F11" i="7" s="1"/>
  <c r="H2" i="11"/>
  <c r="H9" i="11"/>
  <c r="J8" i="11"/>
  <c r="H6" i="11"/>
  <c r="H2" i="10"/>
  <c r="H5" i="10"/>
  <c r="H10" i="10"/>
  <c r="H9" i="10"/>
  <c r="C8" i="10"/>
  <c r="H8" i="10" s="1"/>
  <c r="C14" i="10" s="1"/>
  <c r="E10" i="7" s="1"/>
  <c r="H7" i="10"/>
  <c r="C6" i="10"/>
  <c r="H6" i="10" s="1"/>
  <c r="H4" i="10"/>
  <c r="H3" i="10"/>
  <c r="J2" i="9"/>
  <c r="H10" i="9"/>
  <c r="H9" i="9"/>
  <c r="H8" i="9"/>
  <c r="H5" i="9"/>
  <c r="H4" i="9"/>
  <c r="H11" i="8"/>
  <c r="D16" i="8" s="1"/>
  <c r="F8" i="7" s="1"/>
  <c r="G10" i="8"/>
  <c r="H5" i="8"/>
  <c r="H9" i="8"/>
  <c r="H2" i="8"/>
  <c r="H4" i="8"/>
  <c r="H4" i="6"/>
  <c r="H8" i="5"/>
  <c r="H6" i="5"/>
  <c r="H2" i="5"/>
  <c r="H8" i="4"/>
  <c r="H6" i="4"/>
  <c r="H10" i="3"/>
  <c r="I3" i="3"/>
  <c r="H9" i="3"/>
  <c r="H8" i="3"/>
  <c r="H7" i="3"/>
  <c r="H5" i="3"/>
  <c r="H4" i="3"/>
  <c r="H2" i="3"/>
  <c r="H2" i="2"/>
  <c r="J6" i="2"/>
  <c r="H4" i="2"/>
  <c r="H4" i="1"/>
  <c r="E4" i="1"/>
  <c r="I56" i="17" l="1"/>
  <c r="I58" i="17"/>
  <c r="J14" i="19"/>
  <c r="L12" i="19"/>
  <c r="J5" i="19"/>
  <c r="I4" i="17"/>
  <c r="H48" i="17"/>
  <c r="I55" i="17"/>
  <c r="I3" i="2"/>
  <c r="B19" i="2" s="1"/>
  <c r="F2" i="16" s="1"/>
  <c r="H56" i="16" s="1"/>
  <c r="I8" i="2"/>
  <c r="C16" i="12"/>
  <c r="G11" i="16" s="1"/>
  <c r="I8" i="11"/>
  <c r="I2" i="9"/>
  <c r="D16" i="12"/>
  <c r="H11" i="16" s="1"/>
  <c r="D15" i="12"/>
  <c r="F12" i="7" s="1"/>
  <c r="I3" i="9"/>
  <c r="K3" i="9"/>
  <c r="J3" i="9"/>
  <c r="B18" i="9" s="1"/>
  <c r="F8" i="17" s="1"/>
  <c r="H52" i="17" s="1"/>
  <c r="H6" i="6"/>
  <c r="K6" i="6"/>
  <c r="J6" i="6"/>
  <c r="H6" i="2"/>
  <c r="C18" i="2" s="1"/>
  <c r="K6" i="2"/>
  <c r="H6" i="9"/>
  <c r="K6" i="9"/>
  <c r="C16" i="13"/>
  <c r="G12" i="16" s="1"/>
  <c r="I11" i="17"/>
  <c r="J6" i="9"/>
  <c r="H6" i="3"/>
  <c r="C17" i="3" s="1"/>
  <c r="E4" i="7" s="1"/>
  <c r="K6" i="3"/>
  <c r="C20" i="3" s="1"/>
  <c r="G3" i="19" s="1"/>
  <c r="G49" i="19" s="1"/>
  <c r="H6" i="8"/>
  <c r="K6" i="8"/>
  <c r="H8" i="8"/>
  <c r="K8" i="8"/>
  <c r="J6" i="8"/>
  <c r="I3" i="6"/>
  <c r="K3" i="6"/>
  <c r="J3" i="6"/>
  <c r="I7" i="2"/>
  <c r="K7" i="2"/>
  <c r="J7" i="2"/>
  <c r="H3" i="8"/>
  <c r="B16" i="8" s="1"/>
  <c r="K3" i="8"/>
  <c r="B19" i="8" s="1"/>
  <c r="J3" i="8"/>
  <c r="B18" i="8" s="1"/>
  <c r="F7" i="17" s="1"/>
  <c r="H51" i="17" s="1"/>
  <c r="H7" i="9"/>
  <c r="K7" i="9"/>
  <c r="J7" i="9"/>
  <c r="K3" i="10"/>
  <c r="B17" i="10" s="1"/>
  <c r="J3" i="10"/>
  <c r="B16" i="10" s="1"/>
  <c r="H8" i="11"/>
  <c r="C16" i="11" s="1"/>
  <c r="E11" i="7" s="1"/>
  <c r="F65" i="7" s="1"/>
  <c r="K8" i="11"/>
  <c r="H3" i="6"/>
  <c r="H8" i="14"/>
  <c r="K8" i="14"/>
  <c r="H8" i="6"/>
  <c r="K8" i="6"/>
  <c r="J8" i="6"/>
  <c r="H2" i="6"/>
  <c r="K2" i="6"/>
  <c r="J2" i="6"/>
  <c r="D16" i="15"/>
  <c r="H14" i="16" s="1"/>
  <c r="J8" i="8"/>
  <c r="H10" i="8"/>
  <c r="J10" i="8"/>
  <c r="K10" i="8"/>
  <c r="H7" i="8"/>
  <c r="K7" i="8"/>
  <c r="J7" i="8"/>
  <c r="H3" i="2"/>
  <c r="B18" i="2" s="1"/>
  <c r="D3" i="7" s="1"/>
  <c r="E57" i="7" s="1"/>
  <c r="K3" i="2"/>
  <c r="B21" i="2" s="1"/>
  <c r="J3" i="2"/>
  <c r="B20" i="2" s="1"/>
  <c r="H8" i="2"/>
  <c r="K8" i="2"/>
  <c r="H3" i="3"/>
  <c r="B17" i="3" s="1"/>
  <c r="D4" i="7" s="1"/>
  <c r="K3" i="3"/>
  <c r="B20" i="3" s="1"/>
  <c r="J3" i="3"/>
  <c r="B19" i="3" s="1"/>
  <c r="F3" i="17" s="1"/>
  <c r="H47" i="17" s="1"/>
  <c r="H2" i="9"/>
  <c r="K2" i="9"/>
  <c r="I9" i="11"/>
  <c r="K9" i="11"/>
  <c r="J9" i="11"/>
  <c r="C18" i="11" s="1"/>
  <c r="I9" i="14"/>
  <c r="K9" i="14"/>
  <c r="J9" i="14"/>
  <c r="C18" i="14" s="1"/>
  <c r="I6" i="2"/>
  <c r="H7" i="6"/>
  <c r="K7" i="6"/>
  <c r="J7" i="6"/>
  <c r="I14" i="17"/>
  <c r="J8" i="2"/>
  <c r="J6" i="3"/>
  <c r="C19" i="3" s="1"/>
  <c r="G3" i="17" s="1"/>
  <c r="I47" i="17" s="1"/>
  <c r="E17" i="15"/>
  <c r="E17" i="13"/>
  <c r="I12" i="17"/>
  <c r="E17" i="12"/>
  <c r="D17" i="9"/>
  <c r="H8" i="16" s="1"/>
  <c r="D16" i="9"/>
  <c r="F5" i="17"/>
  <c r="E17" i="5"/>
  <c r="D15" i="5"/>
  <c r="F6" i="7" s="1"/>
  <c r="E17" i="4"/>
  <c r="D18" i="3"/>
  <c r="H3" i="16" s="1"/>
  <c r="C16" i="15"/>
  <c r="G14" i="16" s="1"/>
  <c r="I68" i="16" s="1"/>
  <c r="B16" i="15"/>
  <c r="F14" i="16" s="1"/>
  <c r="H68" i="16" s="1"/>
  <c r="B17" i="14"/>
  <c r="F13" i="16" s="1"/>
  <c r="H67" i="16" s="1"/>
  <c r="I8" i="14"/>
  <c r="H9" i="14"/>
  <c r="D16" i="13"/>
  <c r="H12" i="16" s="1"/>
  <c r="B16" i="12"/>
  <c r="D15" i="10"/>
  <c r="H9" i="16" s="1"/>
  <c r="I63" i="16" s="1"/>
  <c r="I3" i="10"/>
  <c r="B15" i="10" s="1"/>
  <c r="I7" i="8"/>
  <c r="I3" i="8"/>
  <c r="B17" i="8" s="1"/>
  <c r="F7" i="16" s="1"/>
  <c r="H61" i="16" s="1"/>
  <c r="I8" i="8"/>
  <c r="I6" i="8"/>
  <c r="I2" i="6"/>
  <c r="I7" i="6"/>
  <c r="D18" i="6"/>
  <c r="H6" i="16" s="1"/>
  <c r="B16" i="4"/>
  <c r="D16" i="4"/>
  <c r="H4" i="16" s="1"/>
  <c r="I58" i="16" s="1"/>
  <c r="D17" i="3"/>
  <c r="F4" i="7" s="1"/>
  <c r="B16" i="5"/>
  <c r="F5" i="16" s="1"/>
  <c r="H59" i="16" s="1"/>
  <c r="D16" i="5"/>
  <c r="H5" i="16" s="1"/>
  <c r="I59" i="16" s="1"/>
  <c r="B17" i="11"/>
  <c r="F10" i="16" s="1"/>
  <c r="H64" i="16" s="1"/>
  <c r="I6" i="3"/>
  <c r="C18" i="3" s="1"/>
  <c r="G3" i="16" s="1"/>
  <c r="B18" i="3"/>
  <c r="F3" i="16" s="1"/>
  <c r="H57" i="16" s="1"/>
  <c r="I6" i="6"/>
  <c r="I10" i="8"/>
  <c r="I7" i="9"/>
  <c r="B16" i="13"/>
  <c r="H7" i="2"/>
  <c r="D17" i="6"/>
  <c r="F7" i="7" s="1"/>
  <c r="I6" i="9"/>
  <c r="B15" i="12"/>
  <c r="C15" i="12"/>
  <c r="E12" i="7" s="1"/>
  <c r="F66" i="7" s="1"/>
  <c r="C15" i="13"/>
  <c r="E13" i="7" s="1"/>
  <c r="I8" i="6"/>
  <c r="C15" i="15"/>
  <c r="E15" i="7" s="1"/>
  <c r="D15" i="13"/>
  <c r="F13" i="7" s="1"/>
  <c r="H3" i="9"/>
  <c r="B15" i="5"/>
  <c r="D6" i="7" s="1"/>
  <c r="E60" i="7" s="1"/>
  <c r="D15" i="4"/>
  <c r="F5" i="7" s="1"/>
  <c r="D15" i="15"/>
  <c r="F15" i="7" s="1"/>
  <c r="B15" i="15"/>
  <c r="D15" i="7" s="1"/>
  <c r="E69" i="7" s="1"/>
  <c r="B16" i="14"/>
  <c r="D14" i="7" s="1"/>
  <c r="E68" i="7" s="1"/>
  <c r="B15" i="13"/>
  <c r="D13" i="7" s="1"/>
  <c r="E67" i="7" s="1"/>
  <c r="C15" i="5"/>
  <c r="E6" i="7" s="1"/>
  <c r="C15" i="4"/>
  <c r="E5" i="7" s="1"/>
  <c r="D14" i="10"/>
  <c r="F10" i="7" s="1"/>
  <c r="F64" i="7" s="1"/>
  <c r="B16" i="11"/>
  <c r="D11" i="7" s="1"/>
  <c r="E65" i="7" s="1"/>
  <c r="B14" i="10"/>
  <c r="D10" i="7" s="1"/>
  <c r="B15" i="4"/>
  <c r="D5" i="7" s="1"/>
  <c r="E59" i="7" s="1"/>
  <c r="B19" i="6" l="1"/>
  <c r="F6" i="17" s="1"/>
  <c r="H50" i="17" s="1"/>
  <c r="C16" i="8"/>
  <c r="C17" i="6"/>
  <c r="E7" i="7" s="1"/>
  <c r="C17" i="11"/>
  <c r="G10" i="16" s="1"/>
  <c r="I64" i="16" s="1"/>
  <c r="B17" i="9"/>
  <c r="F8" i="16" s="1"/>
  <c r="H62" i="16" s="1"/>
  <c r="E3" i="7"/>
  <c r="F57" i="7" s="1"/>
  <c r="J11" i="17"/>
  <c r="L11" i="17"/>
  <c r="J12" i="17"/>
  <c r="L12" i="17"/>
  <c r="J14" i="17"/>
  <c r="L14" i="17"/>
  <c r="J4" i="17"/>
  <c r="L4" i="17"/>
  <c r="I57" i="16"/>
  <c r="I5" i="17"/>
  <c r="H49" i="17"/>
  <c r="C19" i="2"/>
  <c r="G2" i="16" s="1"/>
  <c r="I56" i="16" s="1"/>
  <c r="B17" i="6"/>
  <c r="D7" i="7" s="1"/>
  <c r="E61" i="7" s="1"/>
  <c r="I66" i="16"/>
  <c r="I65" i="16"/>
  <c r="E8" i="7"/>
  <c r="F62" i="7" s="1"/>
  <c r="C18" i="9"/>
  <c r="G8" i="17" s="1"/>
  <c r="C16" i="9"/>
  <c r="G10" i="7"/>
  <c r="E64" i="7"/>
  <c r="C16" i="14"/>
  <c r="E14" i="7" s="1"/>
  <c r="F68" i="7" s="1"/>
  <c r="B20" i="6"/>
  <c r="G4" i="7"/>
  <c r="E58" i="7"/>
  <c r="B16" i="9"/>
  <c r="C20" i="2"/>
  <c r="G2" i="17" s="1"/>
  <c r="I46" i="17" s="1"/>
  <c r="B19" i="9"/>
  <c r="F8" i="19" s="1"/>
  <c r="C19" i="9"/>
  <c r="G8" i="19" s="1"/>
  <c r="G54" i="19" s="1"/>
  <c r="I5" i="16"/>
  <c r="I14" i="16"/>
  <c r="C17" i="14"/>
  <c r="G13" i="16" s="1"/>
  <c r="I10" i="16"/>
  <c r="G10" i="17"/>
  <c r="E18" i="11"/>
  <c r="E18" i="14"/>
  <c r="G13" i="17"/>
  <c r="F2" i="17"/>
  <c r="H46" i="17" s="1"/>
  <c r="C19" i="8"/>
  <c r="G7" i="19" s="1"/>
  <c r="G6" i="7"/>
  <c r="F2" i="19"/>
  <c r="F6" i="19"/>
  <c r="C19" i="11"/>
  <c r="F7" i="19"/>
  <c r="F53" i="19" s="1"/>
  <c r="C18" i="8"/>
  <c r="G7" i="17" s="1"/>
  <c r="C21" i="2"/>
  <c r="G2" i="19" s="1"/>
  <c r="G48" i="19" s="1"/>
  <c r="E17" i="10"/>
  <c r="F9" i="19"/>
  <c r="I9" i="19" s="1"/>
  <c r="L9" i="19" s="1"/>
  <c r="C20" i="6"/>
  <c r="G6" i="19" s="1"/>
  <c r="G52" i="19" s="1"/>
  <c r="E19" i="3"/>
  <c r="C19" i="14"/>
  <c r="F3" i="19"/>
  <c r="I3" i="19" s="1"/>
  <c r="L3" i="19" s="1"/>
  <c r="E20" i="3"/>
  <c r="F60" i="7"/>
  <c r="B18" i="6"/>
  <c r="F6" i="16" s="1"/>
  <c r="H60" i="16" s="1"/>
  <c r="I3" i="17"/>
  <c r="E16" i="10"/>
  <c r="F9" i="17"/>
  <c r="C19" i="6"/>
  <c r="E16" i="15"/>
  <c r="G15" i="7"/>
  <c r="F69" i="7"/>
  <c r="F67" i="7"/>
  <c r="G13" i="7"/>
  <c r="E16" i="13"/>
  <c r="F12" i="16"/>
  <c r="F11" i="16"/>
  <c r="E16" i="12"/>
  <c r="E15" i="12"/>
  <c r="D12" i="7"/>
  <c r="G11" i="7"/>
  <c r="E15" i="10"/>
  <c r="F9" i="16"/>
  <c r="D8" i="7"/>
  <c r="F61" i="7"/>
  <c r="C18" i="6"/>
  <c r="G6" i="16" s="1"/>
  <c r="G5" i="7"/>
  <c r="F59" i="7"/>
  <c r="F4" i="16"/>
  <c r="E16" i="4"/>
  <c r="F58" i="7"/>
  <c r="I3" i="16"/>
  <c r="E17" i="11"/>
  <c r="E15" i="15"/>
  <c r="C17" i="9"/>
  <c r="G8" i="16" s="1"/>
  <c r="C17" i="8"/>
  <c r="E15" i="5"/>
  <c r="E18" i="3"/>
  <c r="E16" i="5"/>
  <c r="E15" i="13"/>
  <c r="E14" i="10"/>
  <c r="E16" i="11"/>
  <c r="E15" i="4"/>
  <c r="E17" i="3"/>
  <c r="F52" i="19" l="1"/>
  <c r="I6" i="19"/>
  <c r="L6" i="19" s="1"/>
  <c r="E18" i="8"/>
  <c r="H15" i="7"/>
  <c r="J15" i="7"/>
  <c r="E16" i="9"/>
  <c r="D9" i="7"/>
  <c r="G9" i="7" s="1"/>
  <c r="F54" i="19"/>
  <c r="I8" i="19"/>
  <c r="L8" i="19" s="1"/>
  <c r="E17" i="6"/>
  <c r="H5" i="7"/>
  <c r="J5" i="7"/>
  <c r="H4" i="7"/>
  <c r="J4" i="7"/>
  <c r="G3" i="7"/>
  <c r="H3" i="7" s="1"/>
  <c r="E18" i="2"/>
  <c r="E20" i="2"/>
  <c r="I2" i="16"/>
  <c r="J2" i="16" s="1"/>
  <c r="F48" i="19"/>
  <c r="I2" i="19"/>
  <c r="L2" i="19" s="1"/>
  <c r="H11" i="7"/>
  <c r="J11" i="7"/>
  <c r="H10" i="7"/>
  <c r="J10" i="7"/>
  <c r="H13" i="7"/>
  <c r="J13" i="7"/>
  <c r="H6" i="7"/>
  <c r="J6" i="7"/>
  <c r="J14" i="16"/>
  <c r="L14" i="16"/>
  <c r="J3" i="16"/>
  <c r="L3" i="16"/>
  <c r="J5" i="16"/>
  <c r="L5" i="16"/>
  <c r="J10" i="16"/>
  <c r="L10" i="16"/>
  <c r="J3" i="17"/>
  <c r="L3" i="17"/>
  <c r="J5" i="17"/>
  <c r="L5" i="17"/>
  <c r="G53" i="19"/>
  <c r="I7" i="19"/>
  <c r="I9" i="17"/>
  <c r="H53" i="17"/>
  <c r="I13" i="17"/>
  <c r="I57" i="17"/>
  <c r="I8" i="17"/>
  <c r="I52" i="17"/>
  <c r="E19" i="2"/>
  <c r="E17" i="14"/>
  <c r="G7" i="7"/>
  <c r="E16" i="8"/>
  <c r="J3" i="19"/>
  <c r="F49" i="19"/>
  <c r="I7" i="17"/>
  <c r="I51" i="17"/>
  <c r="E17" i="9"/>
  <c r="E16" i="14"/>
  <c r="J9" i="19"/>
  <c r="F55" i="19"/>
  <c r="E19" i="9"/>
  <c r="I10" i="17"/>
  <c r="I54" i="17"/>
  <c r="I4" i="16"/>
  <c r="H58" i="16"/>
  <c r="E18" i="6"/>
  <c r="I12" i="16"/>
  <c r="H66" i="16"/>
  <c r="I13" i="16"/>
  <c r="I67" i="16"/>
  <c r="I9" i="16"/>
  <c r="H63" i="16"/>
  <c r="I8" i="16"/>
  <c r="I62" i="16"/>
  <c r="G14" i="7"/>
  <c r="E18" i="9"/>
  <c r="I6" i="16"/>
  <c r="I60" i="16"/>
  <c r="I11" i="16"/>
  <c r="H65" i="16"/>
  <c r="G12" i="7"/>
  <c r="E66" i="7"/>
  <c r="E21" i="2"/>
  <c r="I2" i="17"/>
  <c r="G8" i="7"/>
  <c r="E62" i="7"/>
  <c r="J6" i="19"/>
  <c r="E20" i="6"/>
  <c r="E19" i="8"/>
  <c r="G6" i="17"/>
  <c r="E19" i="6"/>
  <c r="G13" i="19"/>
  <c r="I13" i="19" s="1"/>
  <c r="L13" i="19" s="1"/>
  <c r="E19" i="14"/>
  <c r="G10" i="19"/>
  <c r="I10" i="19" s="1"/>
  <c r="L10" i="19" s="1"/>
  <c r="E19" i="11"/>
  <c r="E17" i="8"/>
  <c r="G7" i="16"/>
  <c r="E63" i="7" l="1"/>
  <c r="H9" i="7"/>
  <c r="J9" i="7"/>
  <c r="J8" i="19"/>
  <c r="J3" i="7"/>
  <c r="L2" i="16"/>
  <c r="J2" i="19"/>
  <c r="H14" i="7"/>
  <c r="J14" i="7"/>
  <c r="H12" i="7"/>
  <c r="J12" i="7"/>
  <c r="H8" i="7"/>
  <c r="J8" i="7"/>
  <c r="H7" i="7"/>
  <c r="J7" i="7"/>
  <c r="J8" i="16"/>
  <c r="L8" i="16"/>
  <c r="J13" i="16"/>
  <c r="L13" i="16"/>
  <c r="J9" i="16"/>
  <c r="L9" i="16"/>
  <c r="J6" i="16"/>
  <c r="L6" i="16"/>
  <c r="J11" i="16"/>
  <c r="L11" i="16"/>
  <c r="J4" i="16"/>
  <c r="L4" i="16"/>
  <c r="J12" i="16"/>
  <c r="L12" i="16"/>
  <c r="J8" i="17"/>
  <c r="L8" i="17"/>
  <c r="J10" i="17"/>
  <c r="L10" i="17"/>
  <c r="J7" i="17"/>
  <c r="L7" i="17"/>
  <c r="J9" i="17"/>
  <c r="L9" i="17"/>
  <c r="J13" i="17"/>
  <c r="L13" i="17"/>
  <c r="J2" i="17"/>
  <c r="L2" i="17"/>
  <c r="J7" i="19"/>
  <c r="L7" i="19"/>
  <c r="J10" i="19"/>
  <c r="G56" i="19"/>
  <c r="I6" i="17"/>
  <c r="I50" i="17"/>
  <c r="J13" i="19"/>
  <c r="G59" i="19"/>
  <c r="I7" i="16"/>
  <c r="I61" i="16"/>
  <c r="J7" i="16" l="1"/>
  <c r="L7" i="16"/>
  <c r="J6" i="17"/>
  <c r="L6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Patri, Sai Kireet</author>
  </authors>
  <commentList>
    <comment ref="E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15000 euros per 100 Gbps
</t>
        </r>
      </text>
    </comment>
    <comment ref="F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15000 euros per 100 Gbps
</t>
        </r>
      </text>
    </comment>
    <comment ref="H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15000 euros per 100 Gbps
</t>
        </r>
      </text>
    </comment>
  </commentList>
</comments>
</file>

<file path=xl/sharedStrings.xml><?xml version="1.0" encoding="utf-8"?>
<sst xmlns="http://schemas.openxmlformats.org/spreadsheetml/2006/main" count="651" uniqueCount="141">
  <si>
    <t>Paper</t>
  </si>
  <si>
    <t>Duct Cost</t>
  </si>
  <si>
    <t>Fiber Cost</t>
  </si>
  <si>
    <t>RN Cost</t>
  </si>
  <si>
    <t>Duct Cost /km</t>
  </si>
  <si>
    <t>Fiber Cost /km</t>
  </si>
  <si>
    <t>Phillipson 2013</t>
  </si>
  <si>
    <t>RN1 Cost/unit</t>
  </si>
  <si>
    <t>RN2 Cost/unit</t>
  </si>
  <si>
    <t>Technology deployed</t>
  </si>
  <si>
    <t>CO Cost /unit</t>
  </si>
  <si>
    <t>NA</t>
  </si>
  <si>
    <t>FTTCab</t>
  </si>
  <si>
    <t>G.fast</t>
  </si>
  <si>
    <t>ONT Cost/unit</t>
  </si>
  <si>
    <t>Phillipson 2014</t>
  </si>
  <si>
    <t>WDM</t>
  </si>
  <si>
    <t>Leiva 2012+ 
Huelsermann 2008</t>
  </si>
  <si>
    <t>Position of component</t>
  </si>
  <si>
    <t>Component Name</t>
  </si>
  <si>
    <t>Cost per Unit (OASE)</t>
  </si>
  <si>
    <t>Quantity</t>
  </si>
  <si>
    <t>Component Cost</t>
  </si>
  <si>
    <t>GPON OLT Card(8*2.5Gbps)</t>
  </si>
  <si>
    <t>Pluggable B+</t>
  </si>
  <si>
    <t>Switching Cost</t>
  </si>
  <si>
    <t>Additional</t>
  </si>
  <si>
    <t>Central Office</t>
  </si>
  <si>
    <t>RN1</t>
  </si>
  <si>
    <t>Power Splitter 1:8</t>
  </si>
  <si>
    <t>RN2</t>
  </si>
  <si>
    <t>GPON ONT</t>
  </si>
  <si>
    <t>Building</t>
  </si>
  <si>
    <t>1:8 Mini DSLAM</t>
  </si>
  <si>
    <t>Total Cost</t>
  </si>
  <si>
    <t>OLT Electronic Cost</t>
  </si>
  <si>
    <t>RN Electronics Cost</t>
  </si>
  <si>
    <t>Building Electronics Cost</t>
  </si>
  <si>
    <t>XGPON OLT Card(6*10Gbps)</t>
  </si>
  <si>
    <t>Pluggable Nom1</t>
  </si>
  <si>
    <t>XGPON ONT</t>
  </si>
  <si>
    <t>Multi Frequency Laser</t>
  </si>
  <si>
    <t>OLT Shelf Port Card (1 for 80 channels)</t>
  </si>
  <si>
    <t>80*1G Laser</t>
  </si>
  <si>
    <t>Diplexer+Circulator</t>
  </si>
  <si>
    <t>Switching Capacity</t>
  </si>
  <si>
    <t>Additional Cost</t>
  </si>
  <si>
    <t>1:80 AWG</t>
  </si>
  <si>
    <t>1:8 Power Splitter</t>
  </si>
  <si>
    <t>Technology</t>
  </si>
  <si>
    <t>FTTCab_GPON_25</t>
  </si>
  <si>
    <t>FTTB_XGPON_50</t>
  </si>
  <si>
    <t>FTTB_WRWDM_50</t>
  </si>
  <si>
    <t>FTTH_WRWDM_100</t>
  </si>
  <si>
    <t>FTTH_XGPON_100</t>
  </si>
  <si>
    <t>Total Cost in Cost Units</t>
  </si>
  <si>
    <t>No. Of HH</t>
  </si>
  <si>
    <t>Pure Residential Scenario</t>
  </si>
  <si>
    <t>Data rate</t>
  </si>
  <si>
    <t>Remote Node E&amp;I Costs</t>
  </si>
  <si>
    <t>Building E&amp;I Costs</t>
  </si>
  <si>
    <t>Central Office E&amp;I Costs</t>
  </si>
  <si>
    <t>GPON OLT Card(6*10Gbps)</t>
  </si>
  <si>
    <t>1:6 Mini DSLAM</t>
  </si>
  <si>
    <t>NIL</t>
  </si>
  <si>
    <t>FTTCab_GPON_100</t>
  </si>
  <si>
    <t>FTTB_XGPON_100</t>
  </si>
  <si>
    <t>FTTB_WRWDM_100</t>
  </si>
  <si>
    <t>FTTC_Hybridpon_25</t>
  </si>
  <si>
    <t>FTTB_Hybridpon_50</t>
  </si>
  <si>
    <t>FTTH_Hybridpon_100</t>
  </si>
  <si>
    <t>FTTC_Hybridpon_100</t>
  </si>
  <si>
    <t>FTTB_Hybridpon_100</t>
  </si>
  <si>
    <t>HybridPON ONT</t>
  </si>
  <si>
    <t>1:16 DSLAM</t>
  </si>
  <si>
    <t>Buildings</t>
  </si>
  <si>
    <t>EDFA</t>
  </si>
  <si>
    <t>1:16 Power Splitter</t>
  </si>
  <si>
    <t>CO cost</t>
  </si>
  <si>
    <t>Component Cost(OASE)</t>
  </si>
  <si>
    <t>Cost per Unit (Rokkas)</t>
  </si>
  <si>
    <t>Component Cost(Rokkas)</t>
  </si>
  <si>
    <t>Reference</t>
  </si>
  <si>
    <t>OASE</t>
  </si>
  <si>
    <t>Rokkas 2015</t>
  </si>
  <si>
    <t>Cost per Unit(Rokkas)</t>
  </si>
  <si>
    <t>WDMPON ONT</t>
  </si>
  <si>
    <t>Rokkas (2015)</t>
  </si>
  <si>
    <t>Duct Length</t>
  </si>
  <si>
    <t>Fiber Length</t>
  </si>
  <si>
    <t>Cost per Home passed(Rokkas)</t>
  </si>
  <si>
    <t>Total Cost in Euros(Rokkas)</t>
  </si>
  <si>
    <t>Papers added</t>
  </si>
  <si>
    <t>Title</t>
  </si>
  <si>
    <t>Date of Publishing</t>
  </si>
  <si>
    <t>Authors</t>
  </si>
  <si>
    <t>URL</t>
  </si>
  <si>
    <t>https://ieeexplore.ieee.org/document/7347221/</t>
  </si>
  <si>
    <t>Techno-economic analysis of PON architectures for FTTH deployments: Comparison between GPON,XGPON and NG-PON2 for a Greenfield operator</t>
  </si>
  <si>
    <t> 2015 Conference of Telecommunication, Media and Internet Techno-Economics (CTTE)</t>
  </si>
  <si>
    <t>Journal/Conference</t>
  </si>
  <si>
    <t>Theodoros Rokkas</t>
  </si>
  <si>
    <t>BSG- The costs of deploying next generation fiber broadband</t>
  </si>
  <si>
    <t>http://www.broadbanduk.org/wp-content/uploads/2012/08/http___www-broadbanduk6.pdf</t>
  </si>
  <si>
    <t>Analysys Mason</t>
  </si>
  <si>
    <t>Broadband Stakeholders Group</t>
  </si>
  <si>
    <t>Cost per Unit (BSG)</t>
  </si>
  <si>
    <t>Component Cost(BSG)</t>
  </si>
  <si>
    <t>BSG 2008</t>
  </si>
  <si>
    <t>Cost per Unit(BSG)</t>
  </si>
  <si>
    <t>Total Cost in Euros(BSG)</t>
  </si>
  <si>
    <t>Cost per Home passed(BSG)</t>
  </si>
  <si>
    <t>1:4 Mini DSLAM+Cabinet</t>
  </si>
  <si>
    <t>Cost per Home passed(OASE)</t>
  </si>
  <si>
    <t>Fourth Generation Broadband Delivered by Hybrid FttH Solution—A Techno-Economic Study</t>
  </si>
  <si>
    <t>J. OPT. COMMUN. NETW./VOL. 5, NO. 11/NOVEMBER 2013</t>
  </si>
  <si>
    <t>Frank Phillipson, Charlotte Smit-Rietveld, and Pieter Verhagen</t>
  </si>
  <si>
    <t>https://www.researchgate.net/publication/260357529</t>
  </si>
  <si>
    <t>Cost per Unit(Philipson)</t>
  </si>
  <si>
    <t>Component Cost(Phillipson)</t>
  </si>
  <si>
    <t>Cost per Unit(Phillipson)</t>
  </si>
  <si>
    <t>Cost per Unit (Phillipson)</t>
  </si>
  <si>
    <t>Cost per uNit(Phillipson)</t>
  </si>
  <si>
    <t>Total Cost in Euros(Phillipson)</t>
  </si>
  <si>
    <t>1:32 DSLAM+Cabinet</t>
  </si>
  <si>
    <t>WR-WDMPON ONT+Install Cost</t>
  </si>
  <si>
    <t>Cost per Home passed(Phillipson)</t>
  </si>
  <si>
    <t>CO Cost</t>
  </si>
  <si>
    <t>FF Duct length</t>
  </si>
  <si>
    <t>DF Duct length</t>
  </si>
  <si>
    <t>LMF Duct Length</t>
  </si>
  <si>
    <t>FF length</t>
  </si>
  <si>
    <t>DF Length</t>
  </si>
  <si>
    <t>LMF Length</t>
  </si>
  <si>
    <t>1:4 Power Splitter+Cabinet</t>
  </si>
  <si>
    <t>FTTB_UDWDM_50</t>
  </si>
  <si>
    <t>FTTH_UDWDM_100</t>
  </si>
  <si>
    <t>FTTB_UDWDM_100</t>
  </si>
  <si>
    <t>Total Cost in Euros(OASE)</t>
  </si>
  <si>
    <t>FTTC_GPON_25</t>
  </si>
  <si>
    <t>FTTC_GPON_100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</si>
</sst>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2]\ #,##0;[Red]\-[$€-2]\ #,##0"/>
    <numFmt numFmtId="165" formatCode="[$€-2]\ #,##0.00;[Red]\-[$€-2]\ #,##0.00"/>
  </numFmts>
  <fonts count="1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7.600000000000001"/>
      <color rgb="FF333333"/>
      <name val="Arial"/>
      <family val="2"/>
    </font>
    <font>
      <sz val="9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  <bgColor theme="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5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0" borderId="1" applyNumberFormat="0" applyFill="0" applyAlignment="0" applyProtection="0"/>
    <xf numFmtId="0" fontId="8" fillId="0" borderId="0"/>
    <xf numFmtId="0" fontId="11" fillId="0" borderId="0" applyNumberFormat="0" applyFill="0" applyBorder="0" applyAlignment="0" applyProtection="0"/>
    <xf numFmtId="0" fontId="14" fillId="6" borderId="7" applyNumberFormat="0" applyAlignment="0" applyProtection="0"/>
  </cellStyleXfs>
  <cellXfs count="3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2" xfId="0" applyFont="1" applyBorder="1"/>
    <xf numFmtId="0" fontId="5" fillId="0" borderId="1" xfId="4"/>
    <xf numFmtId="0" fontId="5" fillId="0" borderId="2" xfId="0" applyFont="1" applyBorder="1"/>
    <xf numFmtId="0" fontId="4" fillId="4" borderId="0" xfId="0" applyFont="1" applyFill="1" applyBorder="1"/>
    <xf numFmtId="0" fontId="0" fillId="0" borderId="2" xfId="0" applyNumberFormat="1" applyFont="1" applyBorder="1"/>
    <xf numFmtId="0" fontId="2" fillId="2" borderId="0" xfId="2"/>
    <xf numFmtId="0" fontId="3" fillId="3" borderId="0" xfId="3"/>
    <xf numFmtId="0" fontId="0" fillId="0" borderId="2" xfId="4" applyNumberFormat="1" applyFont="1" applyBorder="1"/>
    <xf numFmtId="0" fontId="0" fillId="0" borderId="0" xfId="0" applyFont="1" applyBorder="1"/>
    <xf numFmtId="0" fontId="0" fillId="0" borderId="0" xfId="0"/>
    <xf numFmtId="0" fontId="2" fillId="2" borderId="0" xfId="2"/>
    <xf numFmtId="0" fontId="1" fillId="0" borderId="4" xfId="1" applyBorder="1"/>
    <xf numFmtId="0" fontId="1" fillId="0" borderId="0" xfId="1" applyBorder="1"/>
    <xf numFmtId="0" fontId="0" fillId="0" borderId="0" xfId="0" applyBorder="1"/>
    <xf numFmtId="0" fontId="1" fillId="0" borderId="3" xfId="1" applyBorder="1"/>
    <xf numFmtId="0" fontId="0" fillId="0" borderId="0" xfId="0"/>
    <xf numFmtId="0" fontId="2" fillId="2" borderId="0" xfId="2"/>
    <xf numFmtId="0" fontId="0" fillId="0" borderId="0" xfId="0"/>
    <xf numFmtId="0" fontId="1" fillId="0" borderId="3" xfId="1" applyBorder="1"/>
    <xf numFmtId="0" fontId="0" fillId="0" borderId="0" xfId="0"/>
    <xf numFmtId="0" fontId="0" fillId="0" borderId="0" xfId="0"/>
    <xf numFmtId="0" fontId="9" fillId="0" borderId="0" xfId="0" applyFont="1" applyAlignment="1">
      <alignment vertical="center" wrapText="1"/>
    </xf>
    <xf numFmtId="0" fontId="11" fillId="0" borderId="0" xfId="6"/>
    <xf numFmtId="14" fontId="0" fillId="0" borderId="0" xfId="0" applyNumberFormat="1"/>
    <xf numFmtId="0" fontId="0" fillId="5" borderId="5" xfId="0" applyFont="1" applyFill="1" applyBorder="1"/>
    <xf numFmtId="0" fontId="0" fillId="0" borderId="5" xfId="0" applyFont="1" applyBorder="1"/>
    <xf numFmtId="0" fontId="0" fillId="0" borderId="0" xfId="0" applyFont="1"/>
    <xf numFmtId="0" fontId="4" fillId="4" borderId="5" xfId="0" applyFont="1" applyFill="1" applyBorder="1"/>
    <xf numFmtId="14" fontId="10" fillId="0" borderId="0" xfId="0" applyNumberFormat="1" applyFont="1"/>
    <xf numFmtId="0" fontId="12" fillId="0" borderId="0" xfId="0" applyFont="1"/>
    <xf numFmtId="0" fontId="13" fillId="4" borderId="0" xfId="0" applyFont="1" applyFill="1" applyBorder="1"/>
    <xf numFmtId="0" fontId="12" fillId="0" borderId="0" xfId="0" applyFont="1" applyBorder="1"/>
    <xf numFmtId="0" fontId="0" fillId="0" borderId="0" xfId="0" applyNumberFormat="1" applyFont="1" applyBorder="1"/>
    <xf numFmtId="0" fontId="0" fillId="5" borderId="6" xfId="0" applyFont="1" applyFill="1" applyBorder="1"/>
    <xf numFmtId="0" fontId="14" fillId="6" borderId="7" xfId="7"/>
  </cellXfs>
  <cellStyles count="8">
    <cellStyle name="Bad" xfId="3" builtinId="27"/>
    <cellStyle name="Good" xfId="2" builtinId="26"/>
    <cellStyle name="Heading 4" xfId="1" builtinId="19"/>
    <cellStyle name="Hyperlink" xfId="6" builtinId="8"/>
    <cellStyle name="Input" xfId="7" builtinId="20"/>
    <cellStyle name="Normal" xfId="0" builtinId="0"/>
    <cellStyle name="Standard 2" xfId="5" xr:uid="{00000000-0005-0000-0000-000006000000}"/>
    <cellStyle name="Total" xfId="4" builtinId="25"/>
  </cellStyles>
  <dxfs count="18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CAPEX in millions</a:t>
            </a:r>
            <a:r>
              <a:rPr lang="de-DE" baseline="0"/>
              <a:t> of Euros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CAPEX_Euros_OASE!$H$2</c:f>
              <c:strCache>
                <c:ptCount val="1"/>
                <c:pt idx="0">
                  <c:v>Total Cost in Euros(OASE)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CAPEX_Euros_OASE!$H$3:$H$15</c:f>
              <c:numCache>
                <c:formatCode>General</c:formatCode>
                <c:ptCount val="13"/>
                <c:pt idx="0">
                  <c:v>12893838.242218347</c:v>
                </c:pt>
                <c:pt idx="1">
                  <c:v>9355881.106567692</c:v>
                </c:pt>
                <c:pt idx="2">
                  <c:v>7332713.2670270251</c:v>
                </c:pt>
                <c:pt idx="3">
                  <c:v>14694196.60036036</c:v>
                </c:pt>
                <c:pt idx="4">
                  <c:v>15662877.773234358</c:v>
                </c:pt>
                <c:pt idx="5">
                  <c:v>13298407.131107235</c:v>
                </c:pt>
                <c:pt idx="6">
                  <c:v>11417562.773234358</c:v>
                </c:pt>
                <c:pt idx="7">
                  <c:v>10668301.600360358</c:v>
                </c:pt>
                <c:pt idx="8">
                  <c:v>11458647.706685591</c:v>
                </c:pt>
                <c:pt idx="9">
                  <c:v>8987884.0369963441</c:v>
                </c:pt>
                <c:pt idx="10">
                  <c:v>16498990.035910908</c:v>
                </c:pt>
                <c:pt idx="11">
                  <c:v>15993847.706685591</c:v>
                </c:pt>
                <c:pt idx="12">
                  <c:v>9968649.0559109077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8-4602-901D-E5BA6EC24506}"/>
            </c:ext>
          </c:extLst>
        </c:ser>
        <c:ser>
          <c:idx val="3"/>
          <c:order val="1"/>
          <c:tx>
            <c:strRef>
              <c:f>CAPEX_Euros_Phillipson!$J$1</c:f>
              <c:strCache>
                <c:ptCount val="1"/>
                <c:pt idx="0">
                  <c:v>Total Cost in Euros(Phillipson)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CAPEX_Euros_Phillipson!$J$2:$J$14</c:f>
              <c:numCache>
                <c:formatCode>General</c:formatCode>
                <c:ptCount val="13"/>
                <c:pt idx="0">
                  <c:v>18276572.868059848</c:v>
                </c:pt>
                <c:pt idx="1">
                  <c:v>8279953.0440472765</c:v>
                </c:pt>
                <c:pt idx="2">
                  <c:v>6763273.1499947971</c:v>
                </c:pt>
                <c:pt idx="3">
                  <c:v>14796673.149994796</c:v>
                </c:pt>
                <c:pt idx="4">
                  <c:v>16724353.044047277</c:v>
                </c:pt>
                <c:pt idx="5">
                  <c:v>18910572.868059848</c:v>
                </c:pt>
                <c:pt idx="6">
                  <c:v>12966603.044047277</c:v>
                </c:pt>
                <c:pt idx="7">
                  <c:v>10859373.149994798</c:v>
                </c:pt>
                <c:pt idx="8">
                  <c:v>12698241.677680973</c:v>
                </c:pt>
                <c:pt idx="9">
                  <c:v>8974196.3853536919</c:v>
                </c:pt>
                <c:pt idx="10">
                  <c:v>15426007.69109684</c:v>
                </c:pt>
                <c:pt idx="11">
                  <c:v>19308241.677680973</c:v>
                </c:pt>
                <c:pt idx="12">
                  <c:v>8098156.9684020169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9-4DD5-A120-89BC345C596F}"/>
            </c:ext>
          </c:extLst>
        </c:ser>
        <c:ser>
          <c:idx val="0"/>
          <c:order val="2"/>
          <c:tx>
            <c:strRef>
              <c:f>CAPEX_Euros_Rokkas!$J$1</c:f>
              <c:strCache>
                <c:ptCount val="1"/>
                <c:pt idx="0">
                  <c:v>Total Cost in Euros(Rokkas)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CAPEX_Euros_Rokkas!$J$2:$J$14</c:f>
              <c:numCache>
                <c:formatCode>General</c:formatCode>
                <c:ptCount val="13"/>
                <c:pt idx="0">
                  <c:v>23959752.46215231</c:v>
                </c:pt>
                <c:pt idx="1">
                  <c:v>10562118.731676059</c:v>
                </c:pt>
                <c:pt idx="2">
                  <c:v>8167674.2766354261</c:v>
                </c:pt>
                <c:pt idx="3">
                  <c:v>20040474.276635427</c:v>
                </c:pt>
                <c:pt idx="4">
                  <c:v>20336618.731676061</c:v>
                </c:pt>
                <c:pt idx="5">
                  <c:v>23904352.46215231</c:v>
                </c:pt>
                <c:pt idx="6">
                  <c:v>11630418.731676059</c:v>
                </c:pt>
                <c:pt idx="7">
                  <c:v>12791874.276635427</c:v>
                </c:pt>
                <c:pt idx="8">
                  <c:v>16988375.974607404</c:v>
                </c:pt>
                <c:pt idx="9">
                  <c:v>9625999.0018886942</c:v>
                </c:pt>
                <c:pt idx="10">
                  <c:v>17907310.307631847</c:v>
                </c:pt>
                <c:pt idx="11">
                  <c:v>26172575.974607404</c:v>
                </c:pt>
                <c:pt idx="12">
                  <c:v>10551059.584937021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8-4602-901D-E5BA6EC24506}"/>
            </c:ext>
          </c:extLst>
        </c:ser>
        <c:ser>
          <c:idx val="2"/>
          <c:order val="3"/>
          <c:tx>
            <c:strRef>
              <c:f>CAPEX_Euros_BSG!$J$1</c:f>
              <c:strCache>
                <c:ptCount val="1"/>
                <c:pt idx="0">
                  <c:v>Total Cost in Euros(BSG)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CAPEX_Euros_BSG!$J$2:$J$14</c:f>
              <c:numCache>
                <c:formatCode>General</c:formatCode>
                <c:ptCount val="13"/>
                <c:pt idx="0">
                  <c:v>37796138.519454971</c:v>
                </c:pt>
                <c:pt idx="1">
                  <c:v>24594777.803101253</c:v>
                </c:pt>
                <c:pt idx="2">
                  <c:v>21730318.969783098</c:v>
                </c:pt>
                <c:pt idx="3">
                  <c:v>32901718.969783094</c:v>
                </c:pt>
                <c:pt idx="4">
                  <c:v>34140037.803101256</c:v>
                </c:pt>
                <c:pt idx="5">
                  <c:v>40062724.879250385</c:v>
                </c:pt>
                <c:pt idx="6">
                  <c:v>26777337.803101253</c:v>
                </c:pt>
                <c:pt idx="7">
                  <c:v>29314918.969783094</c:v>
                </c:pt>
                <c:pt idx="8">
                  <c:v>23906486.407093849</c:v>
                </c:pt>
                <c:pt idx="9">
                  <c:v>23081253.137474932</c:v>
                </c:pt>
                <c:pt idx="10">
                  <c:v>24275102.706450172</c:v>
                </c:pt>
                <c:pt idx="11">
                  <c:v>38907140.481793784</c:v>
                </c:pt>
                <c:pt idx="12">
                  <c:v>23794594.165956512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28-4602-901D-E5BA6EC24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365696"/>
        <c:axId val="188123392"/>
      </c:barChart>
      <c:catAx>
        <c:axId val="190365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123392"/>
        <c:crosses val="autoZero"/>
        <c:auto val="1"/>
        <c:lblAlgn val="ctr"/>
        <c:lblOffset val="100"/>
        <c:noMultiLvlLbl val="0"/>
      </c:catAx>
      <c:valAx>
        <c:axId val="188123392"/>
        <c:scaling>
          <c:logBase val="10"/>
          <c:orientation val="minMax"/>
          <c:min val="1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de-DE" sz="1600"/>
                  <a:t>€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365696"/>
        <c:crosses val="autoZero"/>
        <c:crossBetween val="between"/>
        <c:majorUnit val="10"/>
        <c:minorUnit val="10"/>
        <c:dispUnits>
          <c:builtInUnit val="millions"/>
          <c:dispUnitsLbl>
            <c:layout>
              <c:manualLayout>
                <c:xMode val="edge"/>
                <c:yMode val="edge"/>
                <c:x val="7.0901583662798209E-2"/>
                <c:y val="4.2969286060449023E-2"/>
              </c:manualLayout>
            </c:layout>
          </c:dispUnitsLbl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CAPEX_Euros_Rokkas!$D$1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CAPEX_Euros_Rokkas!$D$2:$D$14</c:f>
              <c:numCache>
                <c:formatCode>General</c:formatCode>
                <c:ptCount val="13"/>
                <c:pt idx="0">
                  <c:v>60163.214483090531</c:v>
                </c:pt>
                <c:pt idx="1">
                  <c:v>108181.99766751831</c:v>
                </c:pt>
                <c:pt idx="2">
                  <c:v>66893.848581055019</c:v>
                </c:pt>
                <c:pt idx="3">
                  <c:v>66893.848581055019</c:v>
                </c:pt>
                <c:pt idx="4">
                  <c:v>108181.99766751831</c:v>
                </c:pt>
                <c:pt idx="5">
                  <c:v>60163.214483090531</c:v>
                </c:pt>
                <c:pt idx="6">
                  <c:v>108181.99766751831</c:v>
                </c:pt>
                <c:pt idx="7">
                  <c:v>66893.848581055019</c:v>
                </c:pt>
                <c:pt idx="8">
                  <c:v>88649.250981062796</c:v>
                </c:pt>
                <c:pt idx="9">
                  <c:v>89276.478946812786</c:v>
                </c:pt>
                <c:pt idx="10">
                  <c:v>89276.478946812786</c:v>
                </c:pt>
                <c:pt idx="11">
                  <c:v>88649.250981062796</c:v>
                </c:pt>
                <c:pt idx="12">
                  <c:v>89276.478946812786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7-4F2C-B3FB-155963218EC0}"/>
            </c:ext>
          </c:extLst>
        </c:ser>
        <c:ser>
          <c:idx val="1"/>
          <c:order val="1"/>
          <c:tx>
            <c:strRef>
              <c:f>CAPEX_Euros_Rokkas!$E$1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CAPEX_Euros_Rokkas!$E$2:$E$14</c:f>
              <c:numCache>
                <c:formatCode>General</c:formatCode>
                <c:ptCount val="13"/>
                <c:pt idx="0">
                  <c:v>1539.8347599557078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1539.8347599557078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16649.727205824103</c:v>
                </c:pt>
                <c:pt idx="11">
                  <c:v>3778.2685110852781</c:v>
                </c:pt>
                <c:pt idx="12">
                  <c:v>1452.7127519276221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37-4F2C-B3FB-155963218EC0}"/>
            </c:ext>
          </c:extLst>
        </c:ser>
        <c:ser>
          <c:idx val="2"/>
          <c:order val="2"/>
          <c:tx>
            <c:strRef>
              <c:f>CAPEX_Euros_Rokkas!$F$1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CAPEX_Euros_Rokkas!$F$2:$F$14</c:f>
              <c:numCache>
                <c:formatCode>General</c:formatCode>
                <c:ptCount val="13"/>
                <c:pt idx="0">
                  <c:v>7048</c:v>
                </c:pt>
                <c:pt idx="1">
                  <c:v>12648</c:v>
                </c:pt>
                <c:pt idx="2">
                  <c:v>16800</c:v>
                </c:pt>
                <c:pt idx="3">
                  <c:v>117600</c:v>
                </c:pt>
                <c:pt idx="4">
                  <c:v>19368</c:v>
                </c:pt>
                <c:pt idx="5">
                  <c:v>11948</c:v>
                </c:pt>
                <c:pt idx="6">
                  <c:v>35736</c:v>
                </c:pt>
                <c:pt idx="7">
                  <c:v>34000</c:v>
                </c:pt>
                <c:pt idx="8">
                  <c:v>9200</c:v>
                </c:pt>
                <c:pt idx="9">
                  <c:v>21040</c:v>
                </c:pt>
                <c:pt idx="10">
                  <c:v>39080</c:v>
                </c:pt>
                <c:pt idx="11">
                  <c:v>28360</c:v>
                </c:pt>
                <c:pt idx="12">
                  <c:v>39128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37-4F2C-B3FB-155963218EC0}"/>
            </c:ext>
          </c:extLst>
        </c:ser>
        <c:ser>
          <c:idx val="3"/>
          <c:order val="3"/>
          <c:tx>
            <c:strRef>
              <c:f>CAPEX_Euros_Rokkas!$G$1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CAPEX_Euros_Rokkas!$G$2:$G$14</c:f>
              <c:numCache>
                <c:formatCode>General</c:formatCode>
                <c:ptCount val="13"/>
                <c:pt idx="0">
                  <c:v>410444</c:v>
                </c:pt>
                <c:pt idx="1">
                  <c:v>16568</c:v>
                </c:pt>
                <c:pt idx="2">
                  <c:v>276</c:v>
                </c:pt>
                <c:pt idx="3">
                  <c:v>1932</c:v>
                </c:pt>
                <c:pt idx="4">
                  <c:v>16568</c:v>
                </c:pt>
                <c:pt idx="5">
                  <c:v>404436</c:v>
                </c:pt>
                <c:pt idx="6">
                  <c:v>16568</c:v>
                </c:pt>
                <c:pt idx="7">
                  <c:v>560</c:v>
                </c:pt>
                <c:pt idx="8">
                  <c:v>238140</c:v>
                </c:pt>
                <c:pt idx="9">
                  <c:v>3540</c:v>
                </c:pt>
                <c:pt idx="10">
                  <c:v>3140</c:v>
                </c:pt>
                <c:pt idx="11">
                  <c:v>402664</c:v>
                </c:pt>
                <c:pt idx="12">
                  <c:v>6164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37-4F2C-B3FB-155963218EC0}"/>
            </c:ext>
          </c:extLst>
        </c:ser>
        <c:ser>
          <c:idx val="4"/>
          <c:order val="4"/>
          <c:tx>
            <c:strRef>
              <c:f>CAPEX_Euros_Rokkas!$H$1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CAPEX_Euros_Rokkas!$H$2:$H$14</c:f>
              <c:numCache>
                <c:formatCode>General</c:formatCode>
                <c:ptCount val="13"/>
                <c:pt idx="0">
                  <c:v>0</c:v>
                </c:pt>
                <c:pt idx="1">
                  <c:v>70000</c:v>
                </c:pt>
                <c:pt idx="2">
                  <c:v>75000</c:v>
                </c:pt>
                <c:pt idx="3">
                  <c:v>210000</c:v>
                </c:pt>
                <c:pt idx="4">
                  <c:v>258770</c:v>
                </c:pt>
                <c:pt idx="5">
                  <c:v>0</c:v>
                </c:pt>
                <c:pt idx="6">
                  <c:v>68278</c:v>
                </c:pt>
                <c:pt idx="7">
                  <c:v>150000</c:v>
                </c:pt>
                <c:pt idx="8">
                  <c:v>0</c:v>
                </c:pt>
                <c:pt idx="9">
                  <c:v>75000</c:v>
                </c:pt>
                <c:pt idx="10">
                  <c:v>210000</c:v>
                </c:pt>
                <c:pt idx="11">
                  <c:v>0</c:v>
                </c:pt>
                <c:pt idx="12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37-4F2C-B3FB-155963218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304704"/>
        <c:axId val="204244672"/>
        <c:axId val="0"/>
      </c:bar3DChart>
      <c:catAx>
        <c:axId val="191304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4244672"/>
        <c:crosses val="autoZero"/>
        <c:auto val="1"/>
        <c:lblAlgn val="ctr"/>
        <c:lblOffset val="100"/>
        <c:noMultiLvlLbl val="0"/>
      </c:catAx>
      <c:valAx>
        <c:axId val="20424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304704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Total CAPEX</a:t>
            </a:r>
            <a:r>
              <a:rPr lang="de-DE" baseline="0"/>
              <a:t> in millions of Euros</a:t>
            </a:r>
            <a:endParaRPr lang="de-DE"/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CAPEX_Euros_Rokkas!$J$1</c:f>
              <c:strCache>
                <c:ptCount val="1"/>
                <c:pt idx="0">
                  <c:v>Total Cost in Euros(Rokkas)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CAPEX_Euros_Rokkas!$J$2:$J$14</c:f>
              <c:numCache>
                <c:formatCode>General</c:formatCode>
                <c:ptCount val="13"/>
                <c:pt idx="0">
                  <c:v>23959752.46215231</c:v>
                </c:pt>
                <c:pt idx="1">
                  <c:v>10562118.731676059</c:v>
                </c:pt>
                <c:pt idx="2">
                  <c:v>8167674.2766354261</c:v>
                </c:pt>
                <c:pt idx="3">
                  <c:v>20040474.276635427</c:v>
                </c:pt>
                <c:pt idx="4">
                  <c:v>20336618.731676061</c:v>
                </c:pt>
                <c:pt idx="5">
                  <c:v>23904352.46215231</c:v>
                </c:pt>
                <c:pt idx="6">
                  <c:v>11630418.731676059</c:v>
                </c:pt>
                <c:pt idx="7">
                  <c:v>12791874.276635427</c:v>
                </c:pt>
                <c:pt idx="8">
                  <c:v>16988375.974607404</c:v>
                </c:pt>
                <c:pt idx="9">
                  <c:v>9625999.0018886942</c:v>
                </c:pt>
                <c:pt idx="10">
                  <c:v>17907310.307631847</c:v>
                </c:pt>
                <c:pt idx="11">
                  <c:v>26172575.974607404</c:v>
                </c:pt>
                <c:pt idx="12">
                  <c:v>10551059.584937021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0-48EB-B477-A25076BE2822}"/>
            </c:ext>
          </c:extLst>
        </c:ser>
        <c:ser>
          <c:idx val="1"/>
          <c:order val="1"/>
          <c:tx>
            <c:strRef>
              <c:f>CAPEX_Euros_OASE!$H$2</c:f>
              <c:strCache>
                <c:ptCount val="1"/>
                <c:pt idx="0">
                  <c:v>Total Cost in Euros(OASE)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CAPEX_Euros_OASE!$H$3:$H$15</c:f>
              <c:numCache>
                <c:formatCode>General</c:formatCode>
                <c:ptCount val="13"/>
                <c:pt idx="0">
                  <c:v>12893838.242218347</c:v>
                </c:pt>
                <c:pt idx="1">
                  <c:v>9355881.106567692</c:v>
                </c:pt>
                <c:pt idx="2">
                  <c:v>7332713.2670270251</c:v>
                </c:pt>
                <c:pt idx="3">
                  <c:v>14694196.60036036</c:v>
                </c:pt>
                <c:pt idx="4">
                  <c:v>15662877.773234358</c:v>
                </c:pt>
                <c:pt idx="5">
                  <c:v>13298407.131107235</c:v>
                </c:pt>
                <c:pt idx="6">
                  <c:v>11417562.773234358</c:v>
                </c:pt>
                <c:pt idx="7">
                  <c:v>10668301.600360358</c:v>
                </c:pt>
                <c:pt idx="8">
                  <c:v>11458647.706685591</c:v>
                </c:pt>
                <c:pt idx="9">
                  <c:v>8987884.0369963441</c:v>
                </c:pt>
                <c:pt idx="10">
                  <c:v>16498990.035910908</c:v>
                </c:pt>
                <c:pt idx="11">
                  <c:v>15993847.706685591</c:v>
                </c:pt>
                <c:pt idx="12">
                  <c:v>9968649.0559109077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30-48EB-B477-A25076BE2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07264"/>
        <c:axId val="204246976"/>
      </c:barChart>
      <c:catAx>
        <c:axId val="191307264"/>
        <c:scaling>
          <c:orientation val="minMax"/>
        </c:scaling>
        <c:delete val="0"/>
        <c:axPos val="b"/>
        <c:title>
          <c:overlay val="0"/>
        </c:title>
        <c:numFmt formatCode="General" sourceLinked="0"/>
        <c:majorTickMark val="out"/>
        <c:minorTickMark val="none"/>
        <c:tickLblPos val="nextTo"/>
        <c:crossAx val="204246976"/>
        <c:crosses val="autoZero"/>
        <c:auto val="1"/>
        <c:lblAlgn val="ctr"/>
        <c:lblOffset val="100"/>
        <c:noMultiLvlLbl val="0"/>
      </c:catAx>
      <c:valAx>
        <c:axId val="204246976"/>
        <c:scaling>
          <c:logBase val="10"/>
          <c:orientation val="minMax"/>
          <c:min val="1000000"/>
        </c:scaling>
        <c:delete val="0"/>
        <c:axPos val="l"/>
        <c:majorGridlines/>
        <c:title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91307264"/>
        <c:crosses val="autoZero"/>
        <c:crossBetween val="between"/>
        <c:majorUnit val="10"/>
        <c:minorUnit val="10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Cost per premise passed in thousands of euros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CAPEX_Euros_Rokkas!$L$1</c:f>
              <c:strCache>
                <c:ptCount val="1"/>
                <c:pt idx="0">
                  <c:v>Cost per Home passed(Rokkas)</c:v>
                </c:pt>
              </c:strCache>
            </c:strRef>
          </c:tx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CAPEX_Euros_Rokkas!$L$2:$L$14</c:f>
              <c:numCache>
                <c:formatCode>General</c:formatCode>
                <c:ptCount val="13"/>
                <c:pt idx="0">
                  <c:v>16.376018359751424</c:v>
                </c:pt>
                <c:pt idx="1">
                  <c:v>7.218999884953905</c:v>
                </c:pt>
                <c:pt idx="2">
                  <c:v>5.5824443145618385</c:v>
                </c:pt>
                <c:pt idx="3">
                  <c:v>13.697269001869611</c:v>
                </c:pt>
                <c:pt idx="4">
                  <c:v>13.899677897393246</c:v>
                </c:pt>
                <c:pt idx="5">
                  <c:v>16.338153552151123</c:v>
                </c:pt>
                <c:pt idx="6">
                  <c:v>7.9491618697806423</c:v>
                </c:pt>
                <c:pt idx="7">
                  <c:v>8.7429938327082404</c:v>
                </c:pt>
                <c:pt idx="8">
                  <c:v>11.611219994947307</c:v>
                </c:pt>
                <c:pt idx="9">
                  <c:v>6.5791805084332546</c:v>
                </c:pt>
                <c:pt idx="10">
                  <c:v>12.239293491649132</c:v>
                </c:pt>
                <c:pt idx="11">
                  <c:v>17.888439597161781</c:v>
                </c:pt>
                <c:pt idx="12">
                  <c:v>7.2114411762265194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F3B-4392-AF6C-AC9EEE9F44F5}"/>
            </c:ext>
          </c:extLst>
        </c:ser>
        <c:ser>
          <c:idx val="1"/>
          <c:order val="1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CAPEX_Euros_OASE!$J$3:$J$15</c:f>
              <c:numCache>
                <c:formatCode>General</c:formatCode>
                <c:ptCount val="13"/>
                <c:pt idx="0">
                  <c:v>8.812684192617283</c:v>
                </c:pt>
                <c:pt idx="1">
                  <c:v>6.3945602532757109</c:v>
                </c:pt>
                <c:pt idx="2">
                  <c:v>5.0117649285947818</c:v>
                </c:pt>
                <c:pt idx="3">
                  <c:v>10.043193630210075</c:v>
                </c:pt>
                <c:pt idx="4">
                  <c:v>10.705268111020681</c:v>
                </c:pt>
                <c:pt idx="5">
                  <c:v>9.0891990507191824</c:v>
                </c:pt>
                <c:pt idx="6">
                  <c:v>7.8036790193659753</c:v>
                </c:pt>
                <c:pt idx="7">
                  <c:v>7.291573781942696</c:v>
                </c:pt>
                <c:pt idx="8">
                  <c:v>7.8317597612504892</c:v>
                </c:pt>
                <c:pt idx="9">
                  <c:v>6.143041512539364</c:v>
                </c:pt>
                <c:pt idx="10">
                  <c:v>11.276734355758942</c:v>
                </c:pt>
                <c:pt idx="11">
                  <c:v>10.931479534335036</c:v>
                </c:pt>
                <c:pt idx="12">
                  <c:v>6.8133750638445134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F3B-4392-AF6C-AC9EEE9F4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91455744"/>
        <c:axId val="204249280"/>
      </c:lineChart>
      <c:catAx>
        <c:axId val="19145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Technology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4249280"/>
        <c:crosses val="autoZero"/>
        <c:auto val="1"/>
        <c:lblAlgn val="ctr"/>
        <c:lblOffset val="100"/>
        <c:noMultiLvlLbl val="1"/>
      </c:catAx>
      <c:valAx>
        <c:axId val="204249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Cost per premise passed in Euros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455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CAPEX_Euros_Rokkas!$J$1</c:f>
              <c:strCache>
                <c:ptCount val="1"/>
                <c:pt idx="0">
                  <c:v>Total Cost in Euros(Rokkas)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CAPEX_Euros_Rokkas!$J$2:$J$14</c:f>
              <c:numCache>
                <c:formatCode>General</c:formatCode>
                <c:ptCount val="13"/>
                <c:pt idx="0">
                  <c:v>23959752.46215231</c:v>
                </c:pt>
                <c:pt idx="1">
                  <c:v>10562118.731676059</c:v>
                </c:pt>
                <c:pt idx="2">
                  <c:v>8167674.2766354261</c:v>
                </c:pt>
                <c:pt idx="3">
                  <c:v>20040474.276635427</c:v>
                </c:pt>
                <c:pt idx="4">
                  <c:v>20336618.731676061</c:v>
                </c:pt>
                <c:pt idx="5">
                  <c:v>23904352.46215231</c:v>
                </c:pt>
                <c:pt idx="6">
                  <c:v>11630418.731676059</c:v>
                </c:pt>
                <c:pt idx="7">
                  <c:v>12791874.276635427</c:v>
                </c:pt>
                <c:pt idx="8">
                  <c:v>16988375.974607404</c:v>
                </c:pt>
                <c:pt idx="9">
                  <c:v>9625999.0018886942</c:v>
                </c:pt>
                <c:pt idx="10">
                  <c:v>17907310.307631847</c:v>
                </c:pt>
                <c:pt idx="11">
                  <c:v>26172575.974607404</c:v>
                </c:pt>
                <c:pt idx="12">
                  <c:v>10551059.584937021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8-4602-901D-E5BA6EC24506}"/>
            </c:ext>
          </c:extLst>
        </c:ser>
        <c:ser>
          <c:idx val="1"/>
          <c:order val="1"/>
          <c:tx>
            <c:strRef>
              <c:f>CAPEX_Euros_OASE!$H$2</c:f>
              <c:strCache>
                <c:ptCount val="1"/>
                <c:pt idx="0">
                  <c:v>Total Cost in Euros(OASE)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CAPEX_Euros_OASE!$H$3:$H$15</c:f>
              <c:numCache>
                <c:formatCode>General</c:formatCode>
                <c:ptCount val="13"/>
                <c:pt idx="0">
                  <c:v>12893838.242218347</c:v>
                </c:pt>
                <c:pt idx="1">
                  <c:v>9355881.106567692</c:v>
                </c:pt>
                <c:pt idx="2">
                  <c:v>7332713.2670270251</c:v>
                </c:pt>
                <c:pt idx="3">
                  <c:v>14694196.60036036</c:v>
                </c:pt>
                <c:pt idx="4">
                  <c:v>15662877.773234358</c:v>
                </c:pt>
                <c:pt idx="5">
                  <c:v>13298407.131107235</c:v>
                </c:pt>
                <c:pt idx="6">
                  <c:v>11417562.773234358</c:v>
                </c:pt>
                <c:pt idx="7">
                  <c:v>10668301.600360358</c:v>
                </c:pt>
                <c:pt idx="8">
                  <c:v>11458647.706685591</c:v>
                </c:pt>
                <c:pt idx="9">
                  <c:v>8987884.0369963441</c:v>
                </c:pt>
                <c:pt idx="10">
                  <c:v>16498990.035910908</c:v>
                </c:pt>
                <c:pt idx="11">
                  <c:v>15993847.706685591</c:v>
                </c:pt>
                <c:pt idx="12">
                  <c:v>9968649.0559109077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8-4602-901D-E5BA6EC24506}"/>
            </c:ext>
          </c:extLst>
        </c:ser>
        <c:ser>
          <c:idx val="2"/>
          <c:order val="2"/>
          <c:tx>
            <c:strRef>
              <c:f>CAPEX_Euros_BSG!$J$1</c:f>
              <c:strCache>
                <c:ptCount val="1"/>
                <c:pt idx="0">
                  <c:v>Total Cost in Euros(BSG)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CAPEX_Euros_BSG!$J$2:$J$14</c:f>
              <c:numCache>
                <c:formatCode>General</c:formatCode>
                <c:ptCount val="13"/>
                <c:pt idx="0">
                  <c:v>37796138.519454971</c:v>
                </c:pt>
                <c:pt idx="1">
                  <c:v>24594777.803101253</c:v>
                </c:pt>
                <c:pt idx="2">
                  <c:v>21730318.969783098</c:v>
                </c:pt>
                <c:pt idx="3">
                  <c:v>32901718.969783094</c:v>
                </c:pt>
                <c:pt idx="4">
                  <c:v>34140037.803101256</c:v>
                </c:pt>
                <c:pt idx="5">
                  <c:v>40062724.879250385</c:v>
                </c:pt>
                <c:pt idx="6">
                  <c:v>26777337.803101253</c:v>
                </c:pt>
                <c:pt idx="7">
                  <c:v>29314918.969783094</c:v>
                </c:pt>
                <c:pt idx="8">
                  <c:v>23906486.407093849</c:v>
                </c:pt>
                <c:pt idx="9">
                  <c:v>23081253.137474932</c:v>
                </c:pt>
                <c:pt idx="10">
                  <c:v>24275102.706450172</c:v>
                </c:pt>
                <c:pt idx="11">
                  <c:v>38907140.481793784</c:v>
                </c:pt>
                <c:pt idx="12">
                  <c:v>23794594.165956512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28-4602-901D-E5BA6EC24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457792"/>
        <c:axId val="204447744"/>
      </c:barChart>
      <c:catAx>
        <c:axId val="19145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4447744"/>
        <c:crosses val="autoZero"/>
        <c:auto val="1"/>
        <c:lblAlgn val="ctr"/>
        <c:lblOffset val="100"/>
        <c:noMultiLvlLbl val="0"/>
      </c:catAx>
      <c:valAx>
        <c:axId val="204447744"/>
        <c:scaling>
          <c:logBase val="10"/>
          <c:orientation val="minMax"/>
          <c:min val="1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457792"/>
        <c:crosses val="autoZero"/>
        <c:crossBetween val="between"/>
        <c:majorUnit val="10"/>
        <c:minorUnit val="10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CAPEX_Euros_BSG!$D$1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CAPEX_Euros_BSG!$D$2:$D$14</c:f>
              <c:numCache>
                <c:formatCode>General</c:formatCode>
                <c:ptCount val="13"/>
                <c:pt idx="0">
                  <c:v>122492.30468757232</c:v>
                </c:pt>
                <c:pt idx="1">
                  <c:v>220258.5472510673</c:v>
                </c:pt>
                <c:pt idx="2">
                  <c:v>136195.87571102803</c:v>
                </c:pt>
                <c:pt idx="3">
                  <c:v>136195.87571102803</c:v>
                </c:pt>
                <c:pt idx="4">
                  <c:v>220258.5472510673</c:v>
                </c:pt>
                <c:pt idx="5">
                  <c:v>122492.30468757232</c:v>
                </c:pt>
                <c:pt idx="6">
                  <c:v>220258.5472510673</c:v>
                </c:pt>
                <c:pt idx="7">
                  <c:v>136195.87571102803</c:v>
                </c:pt>
                <c:pt idx="8">
                  <c:v>81959.434330663411</c:v>
                </c:pt>
                <c:pt idx="9">
                  <c:v>181766.91113571086</c:v>
                </c:pt>
                <c:pt idx="10">
                  <c:v>181766.91113571086</c:v>
                </c:pt>
                <c:pt idx="11">
                  <c:v>180489.8749974439</c:v>
                </c:pt>
                <c:pt idx="12">
                  <c:v>181766.91113571086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B-427F-B18E-025EB10A1FBE}"/>
            </c:ext>
          </c:extLst>
        </c:ser>
        <c:ser>
          <c:idx val="1"/>
          <c:order val="1"/>
          <c:tx>
            <c:strRef>
              <c:f>CAPEX_Euros_BSG!$E$1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CAPEX_Euros_BSG!$E$2:$E$14</c:f>
              <c:numCache>
                <c:formatCode>General</c:formatCode>
                <c:ptCount val="13"/>
                <c:pt idx="0">
                  <c:v>181054.59289743542</c:v>
                </c:pt>
                <c:pt idx="1">
                  <c:v>123148.20881095782</c:v>
                </c:pt>
                <c:pt idx="2">
                  <c:v>140422.50368463391</c:v>
                </c:pt>
                <c:pt idx="3">
                  <c:v>140422.50368463391</c:v>
                </c:pt>
                <c:pt idx="4">
                  <c:v>123148.20881095782</c:v>
                </c:pt>
                <c:pt idx="5">
                  <c:v>181054.59289743542</c:v>
                </c:pt>
                <c:pt idx="6">
                  <c:v>123148.20881095782</c:v>
                </c:pt>
                <c:pt idx="7">
                  <c:v>140422.50368463391</c:v>
                </c:pt>
                <c:pt idx="8">
                  <c:v>121030.53463843174</c:v>
                </c:pt>
                <c:pt idx="9">
                  <c:v>117354.15161378775</c:v>
                </c:pt>
                <c:pt idx="10">
                  <c:v>99287.142993292597</c:v>
                </c:pt>
                <c:pt idx="11">
                  <c:v>121030.53463843174</c:v>
                </c:pt>
                <c:pt idx="12">
                  <c:v>91410.786993292611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0B-427F-B18E-025EB10A1FBE}"/>
            </c:ext>
          </c:extLst>
        </c:ser>
        <c:ser>
          <c:idx val="2"/>
          <c:order val="2"/>
          <c:tx>
            <c:strRef>
              <c:f>CAPEX_Euros_BSG!$F$1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CAPEX_Euros_BSG!$F$2:$F$14</c:f>
              <c:numCache>
                <c:formatCode>General</c:formatCode>
                <c:ptCount val="13"/>
                <c:pt idx="0">
                  <c:v>12919.72426061819</c:v>
                </c:pt>
                <c:pt idx="1">
                  <c:v>18100</c:v>
                </c:pt>
                <c:pt idx="2">
                  <c:v>24350</c:v>
                </c:pt>
                <c:pt idx="3">
                  <c:v>170450</c:v>
                </c:pt>
                <c:pt idx="4">
                  <c:v>93800</c:v>
                </c:pt>
                <c:pt idx="5">
                  <c:v>31780</c:v>
                </c:pt>
                <c:pt idx="6">
                  <c:v>64900</c:v>
                </c:pt>
                <c:pt idx="7">
                  <c:v>42400</c:v>
                </c:pt>
                <c:pt idx="8">
                  <c:v>13425</c:v>
                </c:pt>
                <c:pt idx="9">
                  <c:v>27000</c:v>
                </c:pt>
                <c:pt idx="10">
                  <c:v>54000</c:v>
                </c:pt>
                <c:pt idx="11">
                  <c:v>52040</c:v>
                </c:pt>
                <c:pt idx="12">
                  <c:v>65160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0B-427F-B18E-025EB10A1FBE}"/>
            </c:ext>
          </c:extLst>
        </c:ser>
        <c:ser>
          <c:idx val="3"/>
          <c:order val="3"/>
          <c:tx>
            <c:strRef>
              <c:f>CAPEX_Euros_BSG!$G$1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CAPEX_Euros_BSG!$G$2:$G$14</c:f>
              <c:numCache>
                <c:formatCode>General</c:formatCode>
                <c:ptCount val="13"/>
                <c:pt idx="0">
                  <c:v>439456.14854347339</c:v>
                </c:pt>
                <c:pt idx="1">
                  <c:v>2388.8000000000002</c:v>
                </c:pt>
                <c:pt idx="2">
                  <c:v>138</c:v>
                </c:pt>
                <c:pt idx="3">
                  <c:v>966</c:v>
                </c:pt>
                <c:pt idx="4">
                  <c:v>64840</c:v>
                </c:pt>
                <c:pt idx="5">
                  <c:v>465927.6</c:v>
                </c:pt>
                <c:pt idx="6">
                  <c:v>2388.8000000000002</c:v>
                </c:pt>
                <c:pt idx="7">
                  <c:v>280</c:v>
                </c:pt>
                <c:pt idx="8">
                  <c:v>261714.75917278187</c:v>
                </c:pt>
                <c:pt idx="9">
                  <c:v>503.99999999999994</c:v>
                </c:pt>
                <c:pt idx="10">
                  <c:v>448</c:v>
                </c:pt>
                <c:pt idx="11">
                  <c:v>424582.40000000002</c:v>
                </c:pt>
                <c:pt idx="12">
                  <c:v>876.4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0B-427F-B18E-025EB10A1FBE}"/>
            </c:ext>
          </c:extLst>
        </c:ser>
        <c:ser>
          <c:idx val="4"/>
          <c:order val="4"/>
          <c:tx>
            <c:strRef>
              <c:f>CAPEX_Euros_BSG!$H$1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CAPEX_Euros_BSG!$H$2:$H$14</c:f>
              <c:numCache>
                <c:formatCode>General</c:formatCode>
                <c:ptCount val="13"/>
                <c:pt idx="0">
                  <c:v>0</c:v>
                </c:pt>
                <c:pt idx="1">
                  <c:v>128000</c:v>
                </c:pt>
                <c:pt idx="2">
                  <c:v>133500</c:v>
                </c:pt>
                <c:pt idx="3">
                  <c:v>210000</c:v>
                </c:pt>
                <c:pt idx="4">
                  <c:v>180754</c:v>
                </c:pt>
                <c:pt idx="5">
                  <c:v>0</c:v>
                </c:pt>
                <c:pt idx="6">
                  <c:v>124851.2</c:v>
                </c:pt>
                <c:pt idx="7">
                  <c:v>267000</c:v>
                </c:pt>
                <c:pt idx="8">
                  <c:v>0</c:v>
                </c:pt>
                <c:pt idx="9">
                  <c:v>135000</c:v>
                </c:pt>
                <c:pt idx="10">
                  <c:v>150000</c:v>
                </c:pt>
                <c:pt idx="11">
                  <c:v>0</c:v>
                </c:pt>
                <c:pt idx="12">
                  <c:v>136677.78519012674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0B-427F-B18E-025EB10A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458816"/>
        <c:axId val="204450048"/>
        <c:axId val="0"/>
      </c:bar3DChart>
      <c:catAx>
        <c:axId val="191458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4450048"/>
        <c:crosses val="autoZero"/>
        <c:auto val="1"/>
        <c:lblAlgn val="ctr"/>
        <c:lblOffset val="100"/>
        <c:noMultiLvlLbl val="0"/>
      </c:catAx>
      <c:valAx>
        <c:axId val="20445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458816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CAPEX_Euros_Rokkas!$L$1</c:f>
              <c:strCache>
                <c:ptCount val="1"/>
                <c:pt idx="0">
                  <c:v>Cost per Home passed(Rokkas)</c:v>
                </c:pt>
              </c:strCache>
            </c:strRef>
          </c:tx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CAPEX_Euros_Rokkas!$L$2:$L$14</c:f>
              <c:numCache>
                <c:formatCode>General</c:formatCode>
                <c:ptCount val="13"/>
                <c:pt idx="0">
                  <c:v>16.376018359751424</c:v>
                </c:pt>
                <c:pt idx="1">
                  <c:v>7.218999884953905</c:v>
                </c:pt>
                <c:pt idx="2">
                  <c:v>5.5824443145618385</c:v>
                </c:pt>
                <c:pt idx="3">
                  <c:v>13.697269001869611</c:v>
                </c:pt>
                <c:pt idx="4">
                  <c:v>13.899677897393246</c:v>
                </c:pt>
                <c:pt idx="5">
                  <c:v>16.338153552151123</c:v>
                </c:pt>
                <c:pt idx="6">
                  <c:v>7.9491618697806423</c:v>
                </c:pt>
                <c:pt idx="7">
                  <c:v>8.7429938327082404</c:v>
                </c:pt>
                <c:pt idx="8">
                  <c:v>11.611219994947307</c:v>
                </c:pt>
                <c:pt idx="9">
                  <c:v>6.5791805084332546</c:v>
                </c:pt>
                <c:pt idx="10">
                  <c:v>12.239293491649132</c:v>
                </c:pt>
                <c:pt idx="11">
                  <c:v>17.888439597161781</c:v>
                </c:pt>
                <c:pt idx="12">
                  <c:v>7.2114411762265194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44D-4702-8FC1-2740B63097ED}"/>
            </c:ext>
          </c:extLst>
        </c:ser>
        <c:ser>
          <c:idx val="1"/>
          <c:order val="1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CAPEX_Euros_OASE!$J$3:$J$15</c:f>
              <c:numCache>
                <c:formatCode>General</c:formatCode>
                <c:ptCount val="13"/>
                <c:pt idx="0">
                  <c:v>8.812684192617283</c:v>
                </c:pt>
                <c:pt idx="1">
                  <c:v>6.3945602532757109</c:v>
                </c:pt>
                <c:pt idx="2">
                  <c:v>5.0117649285947818</c:v>
                </c:pt>
                <c:pt idx="3">
                  <c:v>10.043193630210075</c:v>
                </c:pt>
                <c:pt idx="4">
                  <c:v>10.705268111020681</c:v>
                </c:pt>
                <c:pt idx="5">
                  <c:v>9.0891990507191824</c:v>
                </c:pt>
                <c:pt idx="6">
                  <c:v>7.8036790193659753</c:v>
                </c:pt>
                <c:pt idx="7">
                  <c:v>7.291573781942696</c:v>
                </c:pt>
                <c:pt idx="8">
                  <c:v>7.8317597612504892</c:v>
                </c:pt>
                <c:pt idx="9">
                  <c:v>6.143041512539364</c:v>
                </c:pt>
                <c:pt idx="10">
                  <c:v>11.276734355758942</c:v>
                </c:pt>
                <c:pt idx="11">
                  <c:v>10.931479534335036</c:v>
                </c:pt>
                <c:pt idx="12">
                  <c:v>6.8133750638445134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44D-4702-8FC1-2740B63097ED}"/>
            </c:ext>
          </c:extLst>
        </c:ser>
        <c:ser>
          <c:idx val="2"/>
          <c:order val="2"/>
          <c:tx>
            <c:strRef>
              <c:f>CAPEX_Euros_BSG!$L$1</c:f>
              <c:strCache>
                <c:ptCount val="1"/>
                <c:pt idx="0">
                  <c:v>Cost per Home passed(BSG)</c:v>
                </c:pt>
              </c:strCache>
            </c:strRef>
          </c:tx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CAPEX_Euros_BSG!$L$2:$L$14</c:f>
              <c:numCache>
                <c:formatCode>General</c:formatCode>
                <c:ptCount val="13"/>
                <c:pt idx="0">
                  <c:v>25.832915398438224</c:v>
                </c:pt>
                <c:pt idx="1">
                  <c:v>16.810045658602455</c:v>
                </c:pt>
                <c:pt idx="2">
                  <c:v>14.852244528592097</c:v>
                </c:pt>
                <c:pt idx="3">
                  <c:v>22.487676146389923</c:v>
                </c:pt>
                <c:pt idx="4">
                  <c:v>23.334042651289217</c:v>
                </c:pt>
                <c:pt idx="5">
                  <c:v>27.382082481888034</c:v>
                </c:pt>
                <c:pt idx="6">
                  <c:v>18.301782381997988</c:v>
                </c:pt>
                <c:pt idx="7">
                  <c:v>20.036169072369006</c:v>
                </c:pt>
                <c:pt idx="8">
                  <c:v>16.339612061440672</c:v>
                </c:pt>
                <c:pt idx="9">
                  <c:v>15.7755813939409</c:v>
                </c:pt>
                <c:pt idx="10">
                  <c:v>16.591554033524826</c:v>
                </c:pt>
                <c:pt idx="11">
                  <c:v>26.592263332508907</c:v>
                </c:pt>
                <c:pt idx="12">
                  <c:v>16.263135920959957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4D-4702-8FC1-2740B6309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92165376"/>
        <c:axId val="204452352"/>
      </c:lineChart>
      <c:catAx>
        <c:axId val="192165376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204452352"/>
        <c:crosses val="autoZero"/>
        <c:auto val="1"/>
        <c:lblAlgn val="ctr"/>
        <c:lblOffset val="100"/>
        <c:noMultiLvlLbl val="0"/>
      </c:catAx>
      <c:valAx>
        <c:axId val="20445235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per HH passed in Euros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16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CAPEX in millions of Euros</a:t>
            </a:r>
          </a:p>
        </c:rich>
      </c:tx>
      <c:layout>
        <c:manualLayout>
          <c:xMode val="edge"/>
          <c:yMode val="edge"/>
          <c:x val="0.32244915893730108"/>
          <c:y val="3.5493160949566172E-2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CAPEX_Euros_OASE!$H$2</c:f>
              <c:strCache>
                <c:ptCount val="1"/>
                <c:pt idx="0">
                  <c:v>Total Cost in Euros(OASE)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CAPEX_Euros_OASE!$H$3:$H$15</c:f>
              <c:numCache>
                <c:formatCode>General</c:formatCode>
                <c:ptCount val="13"/>
                <c:pt idx="0">
                  <c:v>12893838.242218347</c:v>
                </c:pt>
                <c:pt idx="1">
                  <c:v>9355881.106567692</c:v>
                </c:pt>
                <c:pt idx="2">
                  <c:v>7332713.2670270251</c:v>
                </c:pt>
                <c:pt idx="3">
                  <c:v>14694196.60036036</c:v>
                </c:pt>
                <c:pt idx="4">
                  <c:v>15662877.773234358</c:v>
                </c:pt>
                <c:pt idx="5">
                  <c:v>13298407.131107235</c:v>
                </c:pt>
                <c:pt idx="6">
                  <c:v>11417562.773234358</c:v>
                </c:pt>
                <c:pt idx="7">
                  <c:v>10668301.600360358</c:v>
                </c:pt>
                <c:pt idx="8">
                  <c:v>11458647.706685591</c:v>
                </c:pt>
                <c:pt idx="9">
                  <c:v>8987884.0369963441</c:v>
                </c:pt>
                <c:pt idx="10">
                  <c:v>16498990.035910908</c:v>
                </c:pt>
                <c:pt idx="11">
                  <c:v>15993847.706685591</c:v>
                </c:pt>
                <c:pt idx="12">
                  <c:v>9968649.0559109077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8-4602-901D-E5BA6EC24506}"/>
            </c:ext>
          </c:extLst>
        </c:ser>
        <c:ser>
          <c:idx val="3"/>
          <c:order val="1"/>
          <c:tx>
            <c:strRef>
              <c:f>CAPEX_Euros_Phillipson!$J$1</c:f>
              <c:strCache>
                <c:ptCount val="1"/>
                <c:pt idx="0">
                  <c:v>Total Cost in Euros(Phillipson)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CAPEX_Euros_Phillipson!$J$2:$J$14</c:f>
              <c:numCache>
                <c:formatCode>General</c:formatCode>
                <c:ptCount val="13"/>
                <c:pt idx="0">
                  <c:v>18276572.868059848</c:v>
                </c:pt>
                <c:pt idx="1">
                  <c:v>8279953.0440472765</c:v>
                </c:pt>
                <c:pt idx="2">
                  <c:v>6763273.1499947971</c:v>
                </c:pt>
                <c:pt idx="3">
                  <c:v>14796673.149994796</c:v>
                </c:pt>
                <c:pt idx="4">
                  <c:v>16724353.044047277</c:v>
                </c:pt>
                <c:pt idx="5">
                  <c:v>18910572.868059848</c:v>
                </c:pt>
                <c:pt idx="6">
                  <c:v>12966603.044047277</c:v>
                </c:pt>
                <c:pt idx="7">
                  <c:v>10859373.149994798</c:v>
                </c:pt>
                <c:pt idx="8">
                  <c:v>12698241.677680973</c:v>
                </c:pt>
                <c:pt idx="9">
                  <c:v>8974196.3853536919</c:v>
                </c:pt>
                <c:pt idx="10">
                  <c:v>15426007.69109684</c:v>
                </c:pt>
                <c:pt idx="11">
                  <c:v>19308241.677680973</c:v>
                </c:pt>
                <c:pt idx="12">
                  <c:v>8098156.9684020169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A-40A5-B657-50F1A006A948}"/>
            </c:ext>
          </c:extLst>
        </c:ser>
        <c:ser>
          <c:idx val="2"/>
          <c:order val="2"/>
          <c:tx>
            <c:strRef>
              <c:f>CAPEX_Euros_BSG!$J$1</c:f>
              <c:strCache>
                <c:ptCount val="1"/>
                <c:pt idx="0">
                  <c:v>Total Cost in Euros(BSG)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CAPEX_Euros_BSG!$J$2:$J$14</c:f>
              <c:numCache>
                <c:formatCode>General</c:formatCode>
                <c:ptCount val="13"/>
                <c:pt idx="0">
                  <c:v>37796138.519454971</c:v>
                </c:pt>
                <c:pt idx="1">
                  <c:v>24594777.803101253</c:v>
                </c:pt>
                <c:pt idx="2">
                  <c:v>21730318.969783098</c:v>
                </c:pt>
                <c:pt idx="3">
                  <c:v>32901718.969783094</c:v>
                </c:pt>
                <c:pt idx="4">
                  <c:v>34140037.803101256</c:v>
                </c:pt>
                <c:pt idx="5">
                  <c:v>40062724.879250385</c:v>
                </c:pt>
                <c:pt idx="6">
                  <c:v>26777337.803101253</c:v>
                </c:pt>
                <c:pt idx="7">
                  <c:v>29314918.969783094</c:v>
                </c:pt>
                <c:pt idx="8">
                  <c:v>23906486.407093849</c:v>
                </c:pt>
                <c:pt idx="9">
                  <c:v>23081253.137474932</c:v>
                </c:pt>
                <c:pt idx="10">
                  <c:v>24275102.706450172</c:v>
                </c:pt>
                <c:pt idx="11">
                  <c:v>38907140.481793784</c:v>
                </c:pt>
                <c:pt idx="12">
                  <c:v>23794594.165956512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28-4602-901D-E5BA6EC24506}"/>
            </c:ext>
          </c:extLst>
        </c:ser>
        <c:ser>
          <c:idx val="0"/>
          <c:order val="3"/>
          <c:tx>
            <c:strRef>
              <c:f>CAPEX_Euros_Rokkas!$J$1</c:f>
              <c:strCache>
                <c:ptCount val="1"/>
                <c:pt idx="0">
                  <c:v>Total Cost in Euros(Rokkas)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CAPEX_Euros_Rokkas!$J$2:$J$14</c:f>
              <c:numCache>
                <c:formatCode>General</c:formatCode>
                <c:ptCount val="13"/>
                <c:pt idx="0">
                  <c:v>23959752.46215231</c:v>
                </c:pt>
                <c:pt idx="1">
                  <c:v>10562118.731676059</c:v>
                </c:pt>
                <c:pt idx="2">
                  <c:v>8167674.2766354261</c:v>
                </c:pt>
                <c:pt idx="3">
                  <c:v>20040474.276635427</c:v>
                </c:pt>
                <c:pt idx="4">
                  <c:v>20336618.731676061</c:v>
                </c:pt>
                <c:pt idx="5">
                  <c:v>23904352.46215231</c:v>
                </c:pt>
                <c:pt idx="6">
                  <c:v>11630418.731676059</c:v>
                </c:pt>
                <c:pt idx="7">
                  <c:v>12791874.276635427</c:v>
                </c:pt>
                <c:pt idx="8">
                  <c:v>16988375.974607404</c:v>
                </c:pt>
                <c:pt idx="9">
                  <c:v>9625999.0018886942</c:v>
                </c:pt>
                <c:pt idx="10">
                  <c:v>17907310.307631847</c:v>
                </c:pt>
                <c:pt idx="11">
                  <c:v>26172575.974607404</c:v>
                </c:pt>
                <c:pt idx="12">
                  <c:v>10551059.584937021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8-4602-901D-E5BA6EC24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622592"/>
        <c:axId val="204454080"/>
      </c:barChart>
      <c:catAx>
        <c:axId val="192622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4454080"/>
        <c:crosses val="autoZero"/>
        <c:auto val="1"/>
        <c:lblAlgn val="ctr"/>
        <c:lblOffset val="100"/>
        <c:noMultiLvlLbl val="0"/>
      </c:catAx>
      <c:valAx>
        <c:axId val="204454080"/>
        <c:scaling>
          <c:logBase val="10"/>
          <c:orientation val="minMax"/>
          <c:min val="1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Euros (€)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622592"/>
        <c:crosses val="autoZero"/>
        <c:crossBetween val="between"/>
        <c:majorUnit val="10"/>
        <c:minorUnit val="10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4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Components Cost</a:t>
            </a:r>
            <a:r>
              <a:rPr lang="de-DE" baseline="0"/>
              <a:t> Phillipson 2013 applied to Munich in millions of Cost Units</a:t>
            </a:r>
            <a:endParaRPr lang="de-DE"/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CAPEX_Euros_Phillipson!$D$1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CAPEX_Euros_Phillipson!$D$2:$D$14</c:f>
              <c:numCache>
                <c:formatCode>General</c:formatCode>
                <c:ptCount val="13"/>
                <c:pt idx="0">
                  <c:v>46411.622601241266</c:v>
                </c:pt>
                <c:pt idx="1">
                  <c:v>83454.683914942696</c:v>
                </c:pt>
                <c:pt idx="2">
                  <c:v>51603.826048242438</c:v>
                </c:pt>
                <c:pt idx="3">
                  <c:v>51603.826048242438</c:v>
                </c:pt>
                <c:pt idx="4">
                  <c:v>83454.683914942696</c:v>
                </c:pt>
                <c:pt idx="5">
                  <c:v>46411.622601241266</c:v>
                </c:pt>
                <c:pt idx="6">
                  <c:v>83454.683914942696</c:v>
                </c:pt>
                <c:pt idx="7">
                  <c:v>51603.826048242438</c:v>
                </c:pt>
                <c:pt idx="8">
                  <c:v>68386.565042534159</c:v>
                </c:pt>
                <c:pt idx="9">
                  <c:v>68870.426616112716</c:v>
                </c:pt>
                <c:pt idx="10">
                  <c:v>68870.426616112716</c:v>
                </c:pt>
                <c:pt idx="11">
                  <c:v>68386.565042534159</c:v>
                </c:pt>
                <c:pt idx="12">
                  <c:v>68870.426616112716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B-427F-B18E-025EB10A1FBE}"/>
            </c:ext>
          </c:extLst>
        </c:ser>
        <c:ser>
          <c:idx val="1"/>
          <c:order val="1"/>
          <c:tx>
            <c:strRef>
              <c:f>CAPEX_Euros_Phillipson!$E$1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CAPEX_Euros_Phillipson!$E$2:$E$14</c:f>
              <c:numCache>
                <c:formatCode>General</c:formatCode>
                <c:ptCount val="13"/>
                <c:pt idx="0">
                  <c:v>1539.8347599557078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1539.8347599557078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16649.727205824103</c:v>
                </c:pt>
                <c:pt idx="11">
                  <c:v>3778.2685110852781</c:v>
                </c:pt>
                <c:pt idx="12">
                  <c:v>1452.7127519276221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0B-427F-B18E-025EB10A1FBE}"/>
            </c:ext>
          </c:extLst>
        </c:ser>
        <c:ser>
          <c:idx val="2"/>
          <c:order val="2"/>
          <c:tx>
            <c:strRef>
              <c:f>CAPEX_Euros_Phillipson!$F$1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CAPEX_Euros_Phillipson!$F$2:$F$14</c:f>
              <c:numCache>
                <c:formatCode>General</c:formatCode>
                <c:ptCount val="13"/>
                <c:pt idx="0">
                  <c:v>2000</c:v>
                </c:pt>
                <c:pt idx="1">
                  <c:v>3300</c:v>
                </c:pt>
                <c:pt idx="2">
                  <c:v>4140</c:v>
                </c:pt>
                <c:pt idx="3">
                  <c:v>28980</c:v>
                </c:pt>
                <c:pt idx="4">
                  <c:v>5940</c:v>
                </c:pt>
                <c:pt idx="5">
                  <c:v>5500</c:v>
                </c:pt>
                <c:pt idx="6">
                  <c:v>24360</c:v>
                </c:pt>
                <c:pt idx="7">
                  <c:v>8400</c:v>
                </c:pt>
                <c:pt idx="8">
                  <c:v>2200</c:v>
                </c:pt>
                <c:pt idx="9">
                  <c:v>4950</c:v>
                </c:pt>
                <c:pt idx="10">
                  <c:v>9900</c:v>
                </c:pt>
                <c:pt idx="11">
                  <c:v>9000</c:v>
                </c:pt>
                <c:pt idx="12">
                  <c:v>10540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0B-427F-B18E-025EB10A1FBE}"/>
            </c:ext>
          </c:extLst>
        </c:ser>
        <c:ser>
          <c:idx val="3"/>
          <c:order val="3"/>
          <c:tx>
            <c:strRef>
              <c:f>CAPEX_Euros_Phillipson!$G$1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CAPEX_Euros_Phillipson!$G$2:$G$14</c:f>
              <c:numCache>
                <c:formatCode>General</c:formatCode>
                <c:ptCount val="13"/>
                <c:pt idx="0">
                  <c:v>315580</c:v>
                </c:pt>
                <c:pt idx="1">
                  <c:v>0</c:v>
                </c:pt>
                <c:pt idx="2">
                  <c:v>138</c:v>
                </c:pt>
                <c:pt idx="3">
                  <c:v>966</c:v>
                </c:pt>
                <c:pt idx="4">
                  <c:v>1248</c:v>
                </c:pt>
                <c:pt idx="5">
                  <c:v>324760</c:v>
                </c:pt>
                <c:pt idx="6">
                  <c:v>6240</c:v>
                </c:pt>
                <c:pt idx="7">
                  <c:v>2800</c:v>
                </c:pt>
                <c:pt idx="8">
                  <c:v>179600</c:v>
                </c:pt>
                <c:pt idx="9">
                  <c:v>77000</c:v>
                </c:pt>
                <c:pt idx="10">
                  <c:v>3100</c:v>
                </c:pt>
                <c:pt idx="11">
                  <c:v>305000</c:v>
                </c:pt>
                <c:pt idx="12">
                  <c:v>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0B-427F-B18E-025EB10A1FBE}"/>
            </c:ext>
          </c:extLst>
        </c:ser>
        <c:ser>
          <c:idx val="4"/>
          <c:order val="4"/>
          <c:tx>
            <c:strRef>
              <c:f>CAPEX_Euros_Phillipson!$H$1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CAPEX_Euros_Phillipson!$H$2:$H$14</c:f>
              <c:numCache>
                <c:formatCode>General</c:formatCode>
                <c:ptCount val="13"/>
                <c:pt idx="0">
                  <c:v>0</c:v>
                </c:pt>
                <c:pt idx="1">
                  <c:v>75000</c:v>
                </c:pt>
                <c:pt idx="2">
                  <c:v>75000</c:v>
                </c:pt>
                <c:pt idx="3">
                  <c:v>210000</c:v>
                </c:pt>
                <c:pt idx="4">
                  <c:v>240000</c:v>
                </c:pt>
                <c:pt idx="5">
                  <c:v>0</c:v>
                </c:pt>
                <c:pt idx="6">
                  <c:v>141433</c:v>
                </c:pt>
                <c:pt idx="7">
                  <c:v>150000</c:v>
                </c:pt>
                <c:pt idx="8">
                  <c:v>0</c:v>
                </c:pt>
                <c:pt idx="9">
                  <c:v>25000</c:v>
                </c:pt>
                <c:pt idx="10">
                  <c:v>210000</c:v>
                </c:pt>
                <c:pt idx="11">
                  <c:v>0</c:v>
                </c:pt>
                <c:pt idx="12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0B-427F-B18E-025EB10A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164864"/>
        <c:axId val="204629120"/>
      </c:barChart>
      <c:catAx>
        <c:axId val="192164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4629120"/>
        <c:crosses val="autoZero"/>
        <c:auto val="1"/>
        <c:lblAlgn val="ctr"/>
        <c:lblOffset val="100"/>
        <c:noMultiLvlLbl val="0"/>
      </c:catAx>
      <c:valAx>
        <c:axId val="204629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164864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Cost</a:t>
            </a:r>
            <a:r>
              <a:rPr lang="de-DE" baseline="0"/>
              <a:t> per HH passed in Cost Units</a:t>
            </a:r>
            <a:br>
              <a:rPr lang="de-DE" baseline="0"/>
            </a:br>
            <a:r>
              <a:rPr lang="de-DE" baseline="0"/>
              <a:t>Munich Converged</a:t>
            </a:r>
          </a:p>
          <a:p>
            <a:pPr>
              <a:defRPr/>
            </a:pPr>
            <a:endParaRPr lang="de-DE" baseline="0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OASE</c:v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CAPEX_Euros_OASE!$J$3:$J$15</c:f>
              <c:numCache>
                <c:formatCode>General</c:formatCode>
                <c:ptCount val="13"/>
                <c:pt idx="0">
                  <c:v>8.812684192617283</c:v>
                </c:pt>
                <c:pt idx="1">
                  <c:v>6.3945602532757109</c:v>
                </c:pt>
                <c:pt idx="2">
                  <c:v>5.0117649285947818</c:v>
                </c:pt>
                <c:pt idx="3">
                  <c:v>10.043193630210075</c:v>
                </c:pt>
                <c:pt idx="4">
                  <c:v>10.705268111020681</c:v>
                </c:pt>
                <c:pt idx="5">
                  <c:v>9.0891990507191824</c:v>
                </c:pt>
                <c:pt idx="6">
                  <c:v>7.8036790193659753</c:v>
                </c:pt>
                <c:pt idx="7">
                  <c:v>7.291573781942696</c:v>
                </c:pt>
                <c:pt idx="8">
                  <c:v>7.8317597612504892</c:v>
                </c:pt>
                <c:pt idx="9">
                  <c:v>6.143041512539364</c:v>
                </c:pt>
                <c:pt idx="10">
                  <c:v>11.276734355758942</c:v>
                </c:pt>
                <c:pt idx="11">
                  <c:v>10.931479534335036</c:v>
                </c:pt>
                <c:pt idx="12">
                  <c:v>6.8133750638445134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82B-4785-AF4D-5C7C7FE221A9}"/>
            </c:ext>
          </c:extLst>
        </c:ser>
        <c:ser>
          <c:idx val="0"/>
          <c:order val="1"/>
          <c:tx>
            <c:v>Rokkas</c:v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CAPEX_Euros_Rokkas!$L$2:$L$14</c:f>
              <c:numCache>
                <c:formatCode>General</c:formatCode>
                <c:ptCount val="13"/>
                <c:pt idx="0">
                  <c:v>16.376018359751424</c:v>
                </c:pt>
                <c:pt idx="1">
                  <c:v>7.218999884953905</c:v>
                </c:pt>
                <c:pt idx="2">
                  <c:v>5.5824443145618385</c:v>
                </c:pt>
                <c:pt idx="3">
                  <c:v>13.697269001869611</c:v>
                </c:pt>
                <c:pt idx="4">
                  <c:v>13.899677897393246</c:v>
                </c:pt>
                <c:pt idx="5">
                  <c:v>16.338153552151123</c:v>
                </c:pt>
                <c:pt idx="6">
                  <c:v>7.9491618697806423</c:v>
                </c:pt>
                <c:pt idx="7">
                  <c:v>8.7429938327082404</c:v>
                </c:pt>
                <c:pt idx="8">
                  <c:v>11.611219994947307</c:v>
                </c:pt>
                <c:pt idx="9">
                  <c:v>6.5791805084332546</c:v>
                </c:pt>
                <c:pt idx="10">
                  <c:v>12.239293491649132</c:v>
                </c:pt>
                <c:pt idx="11">
                  <c:v>17.888439597161781</c:v>
                </c:pt>
                <c:pt idx="12">
                  <c:v>7.2114411762265194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82B-4785-AF4D-5C7C7FE221A9}"/>
            </c:ext>
          </c:extLst>
        </c:ser>
        <c:ser>
          <c:idx val="2"/>
          <c:order val="2"/>
          <c:tx>
            <c:v>BSG</c:v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CAPEX_Euros_BSG!$L$2:$L$14</c:f>
              <c:numCache>
                <c:formatCode>General</c:formatCode>
                <c:ptCount val="13"/>
                <c:pt idx="0">
                  <c:v>25.832915398438224</c:v>
                </c:pt>
                <c:pt idx="1">
                  <c:v>16.810045658602455</c:v>
                </c:pt>
                <c:pt idx="2">
                  <c:v>14.852244528592097</c:v>
                </c:pt>
                <c:pt idx="3">
                  <c:v>22.487676146389923</c:v>
                </c:pt>
                <c:pt idx="4">
                  <c:v>23.334042651289217</c:v>
                </c:pt>
                <c:pt idx="5">
                  <c:v>27.382082481888034</c:v>
                </c:pt>
                <c:pt idx="6">
                  <c:v>18.301782381997988</c:v>
                </c:pt>
                <c:pt idx="7">
                  <c:v>20.036169072369006</c:v>
                </c:pt>
                <c:pt idx="8">
                  <c:v>16.339612061440672</c:v>
                </c:pt>
                <c:pt idx="9">
                  <c:v>15.7755813939409</c:v>
                </c:pt>
                <c:pt idx="10">
                  <c:v>16.591554033524826</c:v>
                </c:pt>
                <c:pt idx="11">
                  <c:v>26.592263332508907</c:v>
                </c:pt>
                <c:pt idx="12">
                  <c:v>16.263135920959957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82B-4785-AF4D-5C7C7FE221A9}"/>
            </c:ext>
          </c:extLst>
        </c:ser>
        <c:ser>
          <c:idx val="3"/>
          <c:order val="3"/>
          <c:tx>
            <c:v>Phillipson</c:v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CAPEX_Euros_Phillipson!$L$2:$L$14</c:f>
              <c:numCache>
                <c:formatCode>General</c:formatCode>
                <c:ptCount val="13"/>
                <c:pt idx="0">
                  <c:v>12.49167717043254</c:v>
                </c:pt>
                <c:pt idx="1">
                  <c:v>5.6591846381295037</c:v>
                </c:pt>
                <c:pt idx="2">
                  <c:v>4.6225638370547451</c:v>
                </c:pt>
                <c:pt idx="3">
                  <c:v>10.113234331210988</c:v>
                </c:pt>
                <c:pt idx="4">
                  <c:v>11.43076552802083</c:v>
                </c:pt>
                <c:pt idx="5">
                  <c:v>12.925003668963058</c:v>
                </c:pt>
                <c:pt idx="6">
                  <c:v>8.8624174998614418</c:v>
                </c:pt>
                <c:pt idx="7">
                  <c:v>7.4221674184914201</c:v>
                </c:pt>
                <c:pt idx="8">
                  <c:v>8.6789977976084831</c:v>
                </c:pt>
                <c:pt idx="9">
                  <c:v>6.1336862725402854</c:v>
                </c:pt>
                <c:pt idx="10">
                  <c:v>10.543372080580166</c:v>
                </c:pt>
                <c:pt idx="11">
                  <c:v>13.196802458944004</c:v>
                </c:pt>
                <c:pt idx="12">
                  <c:v>5.5349306051548197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82B-4785-AF4D-5C7C7FE22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smooth val="0"/>
        <c:axId val="192626176"/>
        <c:axId val="204632000"/>
      </c:lineChart>
      <c:catAx>
        <c:axId val="192626176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204632000"/>
        <c:crosses val="autoZero"/>
        <c:auto val="1"/>
        <c:lblAlgn val="ctr"/>
        <c:lblOffset val="100"/>
        <c:noMultiLvlLbl val="0"/>
      </c:catAx>
      <c:valAx>
        <c:axId val="204632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per HH passed in 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626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de-DE" sz="2400"/>
              <a:t>CAPEX of PON Technology Deployment in Munich with</a:t>
            </a:r>
            <a:r>
              <a:rPr lang="de-DE" sz="2400" baseline="0"/>
              <a:t> Different Component Costs</a:t>
            </a:r>
            <a:endParaRPr lang="de-DE" sz="2400"/>
          </a:p>
        </c:rich>
      </c:tx>
      <c:layout>
        <c:manualLayout>
          <c:xMode val="edge"/>
          <c:yMode val="edge"/>
          <c:x val="0.13925322783004959"/>
          <c:y val="1.4562832029030914E-2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OASE</c:v>
          </c:tx>
          <c:invertIfNegative val="0"/>
          <c:val>
            <c:numRef>
              <c:f>CAPEX_Euros_OASE!$G$3:$G$15</c:f>
              <c:numCache>
                <c:formatCode>General</c:formatCode>
                <c:ptCount val="13"/>
                <c:pt idx="0">
                  <c:v>257876.76484436693</c:v>
                </c:pt>
                <c:pt idx="1">
                  <c:v>187117.62213135386</c:v>
                </c:pt>
                <c:pt idx="2">
                  <c:v>146654.2653405405</c:v>
                </c:pt>
                <c:pt idx="3">
                  <c:v>293883.93200720719</c:v>
                </c:pt>
                <c:pt idx="4">
                  <c:v>313257.55546468718</c:v>
                </c:pt>
                <c:pt idx="5">
                  <c:v>265968.14262214472</c:v>
                </c:pt>
                <c:pt idx="6">
                  <c:v>228351.25546468716</c:v>
                </c:pt>
                <c:pt idx="7">
                  <c:v>213366.03200720716</c:v>
                </c:pt>
                <c:pt idx="8">
                  <c:v>229172.95413371181</c:v>
                </c:pt>
                <c:pt idx="9">
                  <c:v>179757.68073992687</c:v>
                </c:pt>
                <c:pt idx="10">
                  <c:v>329979.80071821815</c:v>
                </c:pt>
                <c:pt idx="11">
                  <c:v>319876.95413371181</c:v>
                </c:pt>
                <c:pt idx="12">
                  <c:v>199372.98111821816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E-49F4-AFFA-BBD1711DEFC0}"/>
            </c:ext>
          </c:extLst>
        </c:ser>
        <c:ser>
          <c:idx val="0"/>
          <c:order val="1"/>
          <c:tx>
            <c:v>Phillipson</c:v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CAPEX_Euros_Phillipson!$I$2:$I$14</c:f>
              <c:numCache>
                <c:formatCode>General</c:formatCode>
                <c:ptCount val="13"/>
                <c:pt idx="0">
                  <c:v>365531.45736119698</c:v>
                </c:pt>
                <c:pt idx="1">
                  <c:v>165599.06088094553</c:v>
                </c:pt>
                <c:pt idx="2">
                  <c:v>135265.46299989594</c:v>
                </c:pt>
                <c:pt idx="3">
                  <c:v>295933.46299989591</c:v>
                </c:pt>
                <c:pt idx="4">
                  <c:v>334487.06088094553</c:v>
                </c:pt>
                <c:pt idx="5">
                  <c:v>378211.45736119698</c:v>
                </c:pt>
                <c:pt idx="6">
                  <c:v>259332.06088094553</c:v>
                </c:pt>
                <c:pt idx="7">
                  <c:v>217187.46299989594</c:v>
                </c:pt>
                <c:pt idx="8">
                  <c:v>253964.83355361945</c:v>
                </c:pt>
                <c:pt idx="9">
                  <c:v>179483.92770707383</c:v>
                </c:pt>
                <c:pt idx="10">
                  <c:v>308520.15382193681</c:v>
                </c:pt>
                <c:pt idx="11">
                  <c:v>386164.83355361945</c:v>
                </c:pt>
                <c:pt idx="12">
                  <c:v>161963.13936804034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E-49F4-AFFA-BBD1711DEFC0}"/>
            </c:ext>
          </c:extLst>
        </c:ser>
        <c:ser>
          <c:idx val="2"/>
          <c:order val="2"/>
          <c:tx>
            <c:v>Rokkas</c:v>
          </c:tx>
          <c:invertIfNegative val="0"/>
          <c:val>
            <c:numRef>
              <c:f>CAPEX_Euros_Rokkas!$I$2:$I$14</c:f>
              <c:numCache>
                <c:formatCode>General</c:formatCode>
                <c:ptCount val="13"/>
                <c:pt idx="0">
                  <c:v>479195.0492430462</c:v>
                </c:pt>
                <c:pt idx="1">
                  <c:v>211242.37463352116</c:v>
                </c:pt>
                <c:pt idx="2">
                  <c:v>163353.48553270852</c:v>
                </c:pt>
                <c:pt idx="3">
                  <c:v>400809.48553270852</c:v>
                </c:pt>
                <c:pt idx="4">
                  <c:v>406732.37463352119</c:v>
                </c:pt>
                <c:pt idx="5">
                  <c:v>478087.0492430462</c:v>
                </c:pt>
                <c:pt idx="6">
                  <c:v>232608.37463352116</c:v>
                </c:pt>
                <c:pt idx="7">
                  <c:v>255837.48553270852</c:v>
                </c:pt>
                <c:pt idx="8">
                  <c:v>339767.51949214807</c:v>
                </c:pt>
                <c:pt idx="9">
                  <c:v>192519.9800377739</c:v>
                </c:pt>
                <c:pt idx="10">
                  <c:v>358146.20615263691</c:v>
                </c:pt>
                <c:pt idx="11">
                  <c:v>523451.51949214807</c:v>
                </c:pt>
                <c:pt idx="12">
                  <c:v>211021.19169874041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9E-49F4-AFFA-BBD1711DEFC0}"/>
            </c:ext>
          </c:extLst>
        </c:ser>
        <c:ser>
          <c:idx val="1"/>
          <c:order val="3"/>
          <c:tx>
            <c:v>BSG</c:v>
          </c:tx>
          <c:invertIfNegative val="0"/>
          <c:val>
            <c:numRef>
              <c:f>CAPEX_Euros_BSG!$I$2:$I$14</c:f>
              <c:numCache>
                <c:formatCode>General</c:formatCode>
                <c:ptCount val="13"/>
                <c:pt idx="0">
                  <c:v>755922.77038909937</c:v>
                </c:pt>
                <c:pt idx="1">
                  <c:v>491895.55606202508</c:v>
                </c:pt>
                <c:pt idx="2">
                  <c:v>434606.37939566193</c:v>
                </c:pt>
                <c:pt idx="3">
                  <c:v>658034.37939566188</c:v>
                </c:pt>
                <c:pt idx="4">
                  <c:v>682800.75606202509</c:v>
                </c:pt>
                <c:pt idx="5">
                  <c:v>801254.49758500769</c:v>
                </c:pt>
                <c:pt idx="6">
                  <c:v>535546.75606202509</c:v>
                </c:pt>
                <c:pt idx="7">
                  <c:v>586298.37939566188</c:v>
                </c:pt>
                <c:pt idx="8">
                  <c:v>478129.72814187699</c:v>
                </c:pt>
                <c:pt idx="9">
                  <c:v>461625.06274949864</c:v>
                </c:pt>
                <c:pt idx="10">
                  <c:v>485502.05412900343</c:v>
                </c:pt>
                <c:pt idx="11">
                  <c:v>778142.80963587563</c:v>
                </c:pt>
                <c:pt idx="12">
                  <c:v>475891.88331913023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9E-49F4-AFFA-BBD1711DE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597952"/>
        <c:axId val="204633728"/>
      </c:barChart>
      <c:catAx>
        <c:axId val="1935979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 b="1"/>
            </a:pPr>
            <a:endParaRPr lang="en-US"/>
          </a:p>
        </c:txPr>
        <c:crossAx val="204633728"/>
        <c:crosses val="autoZero"/>
        <c:auto val="1"/>
        <c:lblAlgn val="ctr"/>
        <c:lblOffset val="100"/>
        <c:noMultiLvlLbl val="0"/>
      </c:catAx>
      <c:valAx>
        <c:axId val="204633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de-DE" sz="2800"/>
                  <a:t>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193597952"/>
        <c:crosses val="autoZero"/>
        <c:crossBetween val="between"/>
        <c:dispUnits>
          <c:builtInUnit val="millions"/>
          <c:dispUnitsLbl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</c:dispUnitsLbl>
        </c:dispUnits>
      </c:valAx>
    </c:plotArea>
    <c:legend>
      <c:legendPos val="r"/>
      <c:overlay val="0"/>
      <c:txPr>
        <a:bodyPr/>
        <a:lstStyle/>
        <a:p>
          <a:pPr>
            <a:defRPr sz="1800" b="1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Components Cost</a:t>
            </a:r>
            <a:r>
              <a:rPr lang="de-DE" baseline="0"/>
              <a:t> Phillipson 2013 applied to Munich in millions of Cost Units</a:t>
            </a:r>
            <a:endParaRPr lang="de-DE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7927580068657701E-2"/>
          <c:y val="3.8067422423260923E-2"/>
          <c:w val="0.78789757515876335"/>
          <c:h val="0.774913348597382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CAPEX_Euros_Phillipson!$D$1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CAPEX_Euros_Phillipson!$D$2:$D$14</c:f>
              <c:numCache>
                <c:formatCode>General</c:formatCode>
                <c:ptCount val="13"/>
                <c:pt idx="0">
                  <c:v>46411.622601241266</c:v>
                </c:pt>
                <c:pt idx="1">
                  <c:v>83454.683914942696</c:v>
                </c:pt>
                <c:pt idx="2">
                  <c:v>51603.826048242438</c:v>
                </c:pt>
                <c:pt idx="3">
                  <c:v>51603.826048242438</c:v>
                </c:pt>
                <c:pt idx="4">
                  <c:v>83454.683914942696</c:v>
                </c:pt>
                <c:pt idx="5">
                  <c:v>46411.622601241266</c:v>
                </c:pt>
                <c:pt idx="6">
                  <c:v>83454.683914942696</c:v>
                </c:pt>
                <c:pt idx="7">
                  <c:v>51603.826048242438</c:v>
                </c:pt>
                <c:pt idx="8">
                  <c:v>68386.565042534159</c:v>
                </c:pt>
                <c:pt idx="9">
                  <c:v>68870.426616112716</c:v>
                </c:pt>
                <c:pt idx="10">
                  <c:v>68870.426616112716</c:v>
                </c:pt>
                <c:pt idx="11">
                  <c:v>68386.565042534159</c:v>
                </c:pt>
                <c:pt idx="12">
                  <c:v>68870.426616112716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B-427F-B18E-025EB10A1FBE}"/>
            </c:ext>
          </c:extLst>
        </c:ser>
        <c:ser>
          <c:idx val="1"/>
          <c:order val="1"/>
          <c:tx>
            <c:strRef>
              <c:f>CAPEX_Euros_Phillipson!$E$1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CAPEX_Euros_Phillipson!$E$2:$E$14</c:f>
              <c:numCache>
                <c:formatCode>General</c:formatCode>
                <c:ptCount val="13"/>
                <c:pt idx="0">
                  <c:v>1539.8347599557078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1539.8347599557078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16649.727205824103</c:v>
                </c:pt>
                <c:pt idx="11">
                  <c:v>3778.2685110852781</c:v>
                </c:pt>
                <c:pt idx="12">
                  <c:v>1452.7127519276221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0B-427F-B18E-025EB10A1FBE}"/>
            </c:ext>
          </c:extLst>
        </c:ser>
        <c:ser>
          <c:idx val="2"/>
          <c:order val="2"/>
          <c:tx>
            <c:strRef>
              <c:f>CAPEX_Euros_Phillipson!$F$1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CAPEX_Euros_Phillipson!$F$2:$F$14</c:f>
              <c:numCache>
                <c:formatCode>General</c:formatCode>
                <c:ptCount val="13"/>
                <c:pt idx="0">
                  <c:v>2000</c:v>
                </c:pt>
                <c:pt idx="1">
                  <c:v>3300</c:v>
                </c:pt>
                <c:pt idx="2">
                  <c:v>4140</c:v>
                </c:pt>
                <c:pt idx="3">
                  <c:v>28980</c:v>
                </c:pt>
                <c:pt idx="4">
                  <c:v>5940</c:v>
                </c:pt>
                <c:pt idx="5">
                  <c:v>5500</c:v>
                </c:pt>
                <c:pt idx="6">
                  <c:v>24360</c:v>
                </c:pt>
                <c:pt idx="7">
                  <c:v>8400</c:v>
                </c:pt>
                <c:pt idx="8">
                  <c:v>2200</c:v>
                </c:pt>
                <c:pt idx="9">
                  <c:v>4950</c:v>
                </c:pt>
                <c:pt idx="10">
                  <c:v>9900</c:v>
                </c:pt>
                <c:pt idx="11">
                  <c:v>9000</c:v>
                </c:pt>
                <c:pt idx="12">
                  <c:v>10540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0B-427F-B18E-025EB10A1FBE}"/>
            </c:ext>
          </c:extLst>
        </c:ser>
        <c:ser>
          <c:idx val="3"/>
          <c:order val="3"/>
          <c:tx>
            <c:strRef>
              <c:f>CAPEX_Euros_Phillipson!$G$1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CAPEX_Euros_Phillipson!$G$2:$G$14</c:f>
              <c:numCache>
                <c:formatCode>General</c:formatCode>
                <c:ptCount val="13"/>
                <c:pt idx="0">
                  <c:v>315580</c:v>
                </c:pt>
                <c:pt idx="1">
                  <c:v>0</c:v>
                </c:pt>
                <c:pt idx="2">
                  <c:v>138</c:v>
                </c:pt>
                <c:pt idx="3">
                  <c:v>966</c:v>
                </c:pt>
                <c:pt idx="4">
                  <c:v>1248</c:v>
                </c:pt>
                <c:pt idx="5">
                  <c:v>324760</c:v>
                </c:pt>
                <c:pt idx="6">
                  <c:v>6240</c:v>
                </c:pt>
                <c:pt idx="7">
                  <c:v>2800</c:v>
                </c:pt>
                <c:pt idx="8">
                  <c:v>179600</c:v>
                </c:pt>
                <c:pt idx="9">
                  <c:v>77000</c:v>
                </c:pt>
                <c:pt idx="10">
                  <c:v>3100</c:v>
                </c:pt>
                <c:pt idx="11">
                  <c:v>305000</c:v>
                </c:pt>
                <c:pt idx="12">
                  <c:v>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0B-427F-B18E-025EB10A1FBE}"/>
            </c:ext>
          </c:extLst>
        </c:ser>
        <c:ser>
          <c:idx val="4"/>
          <c:order val="4"/>
          <c:tx>
            <c:strRef>
              <c:f>CAPEX_Euros_Phillipson!$H$1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CAPEX_Euros_Phillipson!$H$2:$H$14</c:f>
              <c:numCache>
                <c:formatCode>General</c:formatCode>
                <c:ptCount val="13"/>
                <c:pt idx="0">
                  <c:v>0</c:v>
                </c:pt>
                <c:pt idx="1">
                  <c:v>75000</c:v>
                </c:pt>
                <c:pt idx="2">
                  <c:v>75000</c:v>
                </c:pt>
                <c:pt idx="3">
                  <c:v>210000</c:v>
                </c:pt>
                <c:pt idx="4">
                  <c:v>240000</c:v>
                </c:pt>
                <c:pt idx="5">
                  <c:v>0</c:v>
                </c:pt>
                <c:pt idx="6">
                  <c:v>141433</c:v>
                </c:pt>
                <c:pt idx="7">
                  <c:v>150000</c:v>
                </c:pt>
                <c:pt idx="8">
                  <c:v>0</c:v>
                </c:pt>
                <c:pt idx="9">
                  <c:v>25000</c:v>
                </c:pt>
                <c:pt idx="10">
                  <c:v>210000</c:v>
                </c:pt>
                <c:pt idx="11">
                  <c:v>0</c:v>
                </c:pt>
                <c:pt idx="12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0B-427F-B18E-025EB10A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153664"/>
        <c:axId val="206092480"/>
      </c:barChart>
      <c:catAx>
        <c:axId val="19115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092480"/>
        <c:crosses val="autoZero"/>
        <c:auto val="1"/>
        <c:lblAlgn val="ctr"/>
        <c:lblOffset val="100"/>
        <c:noMultiLvlLbl val="0"/>
      </c:catAx>
      <c:valAx>
        <c:axId val="206092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153664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baseline="0">
                <a:effectLst/>
              </a:rPr>
              <a:t>Components Cost OASE applied to Munich in millions of Cost Units</a:t>
            </a:r>
            <a:endParaRPr lang="de-DE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7714555145313016E-2"/>
          <c:y val="2.9581469038593596E-2"/>
          <c:w val="0.7366203386107667"/>
          <c:h val="0.767279818194695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CAPEX_Euros_OASE!$B$2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CAPEX_Euros_OASE!$B$3:$B$15</c:f>
              <c:numCache>
                <c:formatCode>General</c:formatCode>
                <c:ptCount val="13"/>
                <c:pt idx="0">
                  <c:v>96261.143172944852</c:v>
                </c:pt>
                <c:pt idx="1">
                  <c:v>146337.87420813384</c:v>
                </c:pt>
                <c:pt idx="2">
                  <c:v>78872.086550701642</c:v>
                </c:pt>
                <c:pt idx="3">
                  <c:v>78872.086550701642</c:v>
                </c:pt>
                <c:pt idx="4">
                  <c:v>146337.87420813384</c:v>
                </c:pt>
                <c:pt idx="5">
                  <c:v>96261.143172944852</c:v>
                </c:pt>
                <c:pt idx="6">
                  <c:v>146337.87420813384</c:v>
                </c:pt>
                <c:pt idx="7">
                  <c:v>78872.086550701642</c:v>
                </c:pt>
                <c:pt idx="8">
                  <c:v>114876.35990534152</c:v>
                </c:pt>
                <c:pt idx="9">
                  <c:v>115530.46906962365</c:v>
                </c:pt>
                <c:pt idx="10">
                  <c:v>115530.46906962365</c:v>
                </c:pt>
                <c:pt idx="11">
                  <c:v>114876.35990534152</c:v>
                </c:pt>
                <c:pt idx="12">
                  <c:v>115530.46906962365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7-40B4-A155-A243BB9F39F7}"/>
            </c:ext>
          </c:extLst>
        </c:ser>
        <c:ser>
          <c:idx val="1"/>
          <c:order val="1"/>
          <c:tx>
            <c:strRef>
              <c:f>CAPEX_Euros_OASE!$C$2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CAPEX_Euros_OASE!$C$3:$C$15</c:f>
              <c:numCache>
                <c:formatCode>General</c:formatCode>
                <c:ptCount val="13"/>
                <c:pt idx="0">
                  <c:v>5.1327825331856927</c:v>
                </c:pt>
                <c:pt idx="1">
                  <c:v>12.814589886676153</c:v>
                </c:pt>
                <c:pt idx="2">
                  <c:v>14.612123172178348</c:v>
                </c:pt>
                <c:pt idx="3">
                  <c:v>14.612123172178348</c:v>
                </c:pt>
                <c:pt idx="4">
                  <c:v>12.814589886676153</c:v>
                </c:pt>
                <c:pt idx="5">
                  <c:v>5.1327825331856927</c:v>
                </c:pt>
                <c:pt idx="6">
                  <c:v>12.814589886676153</c:v>
                </c:pt>
                <c:pt idx="7">
                  <c:v>14.612123172178348</c:v>
                </c:pt>
                <c:pt idx="8">
                  <c:v>12.594228370284263</c:v>
                </c:pt>
                <c:pt idx="9">
                  <c:v>12.211670303203721</c:v>
                </c:pt>
                <c:pt idx="10">
                  <c:v>10.331648594515361</c:v>
                </c:pt>
                <c:pt idx="11">
                  <c:v>12.594228370284263</c:v>
                </c:pt>
                <c:pt idx="12">
                  <c:v>9.5120485945153614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7-40B4-A155-A243BB9F39F7}"/>
            </c:ext>
          </c:extLst>
        </c:ser>
        <c:ser>
          <c:idx val="2"/>
          <c:order val="2"/>
          <c:tx>
            <c:strRef>
              <c:f>CAPEX_Euros_OASE!$D$2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CAPEX_Euros_OASE!$D$3:$D$15</c:f>
              <c:numCache>
                <c:formatCode>General</c:formatCode>
                <c:ptCount val="13"/>
                <c:pt idx="0">
                  <c:v>3056.8888888888887</c:v>
                </c:pt>
                <c:pt idx="1">
                  <c:v>6261.333333333333</c:v>
                </c:pt>
                <c:pt idx="2">
                  <c:v>5611.5666666666666</c:v>
                </c:pt>
                <c:pt idx="3">
                  <c:v>44405.233333333337</c:v>
                </c:pt>
                <c:pt idx="4">
                  <c:v>10122.666666666666</c:v>
                </c:pt>
                <c:pt idx="5">
                  <c:v>5882.666666666667</c:v>
                </c:pt>
                <c:pt idx="6">
                  <c:v>20010.666666666668</c:v>
                </c:pt>
                <c:pt idx="7">
                  <c:v>12519.333333333334</c:v>
                </c:pt>
                <c:pt idx="8">
                  <c:v>4400</c:v>
                </c:pt>
                <c:pt idx="9">
                  <c:v>8160</c:v>
                </c:pt>
                <c:pt idx="10">
                  <c:v>15920</c:v>
                </c:pt>
                <c:pt idx="11">
                  <c:v>31120</c:v>
                </c:pt>
                <c:pt idx="12">
                  <c:v>16400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97-40B4-A155-A243BB9F39F7}"/>
            </c:ext>
          </c:extLst>
        </c:ser>
        <c:ser>
          <c:idx val="3"/>
          <c:order val="3"/>
          <c:tx>
            <c:strRef>
              <c:f>CAPEX_Euros_OASE!$E$2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CAPEX_Euros_OASE!$E$3:$E$15</c:f>
              <c:numCache>
                <c:formatCode>General</c:formatCode>
                <c:ptCount val="13"/>
                <c:pt idx="0">
                  <c:v>158553.60000000001</c:v>
                </c:pt>
                <c:pt idx="1">
                  <c:v>4005.6</c:v>
                </c:pt>
                <c:pt idx="2">
                  <c:v>1656</c:v>
                </c:pt>
                <c:pt idx="3">
                  <c:v>11592</c:v>
                </c:pt>
                <c:pt idx="4">
                  <c:v>4005.6</c:v>
                </c:pt>
                <c:pt idx="5">
                  <c:v>163819.20000000001</c:v>
                </c:pt>
                <c:pt idx="6">
                  <c:v>2002.8</c:v>
                </c:pt>
                <c:pt idx="7">
                  <c:v>3360</c:v>
                </c:pt>
                <c:pt idx="8">
                  <c:v>109884</c:v>
                </c:pt>
                <c:pt idx="9">
                  <c:v>555</c:v>
                </c:pt>
                <c:pt idx="10">
                  <c:v>519</c:v>
                </c:pt>
                <c:pt idx="11">
                  <c:v>173868</c:v>
                </c:pt>
                <c:pt idx="12">
                  <c:v>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97-40B4-A155-A243BB9F39F7}"/>
            </c:ext>
          </c:extLst>
        </c:ser>
        <c:ser>
          <c:idx val="4"/>
          <c:order val="4"/>
          <c:tx>
            <c:strRef>
              <c:f>CAPEX_Euros_OASE!$F$2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CAPEX_Euros_OASE!$F$3:$F$15</c:f>
              <c:numCache>
                <c:formatCode>General</c:formatCode>
                <c:ptCount val="13"/>
                <c:pt idx="0">
                  <c:v>0</c:v>
                </c:pt>
                <c:pt idx="1">
                  <c:v>30500</c:v>
                </c:pt>
                <c:pt idx="2">
                  <c:v>60500</c:v>
                </c:pt>
                <c:pt idx="3">
                  <c:v>159000</c:v>
                </c:pt>
                <c:pt idx="4">
                  <c:v>152778.6</c:v>
                </c:pt>
                <c:pt idx="5">
                  <c:v>0</c:v>
                </c:pt>
                <c:pt idx="6">
                  <c:v>59987.1</c:v>
                </c:pt>
                <c:pt idx="7">
                  <c:v>118600</c:v>
                </c:pt>
                <c:pt idx="8">
                  <c:v>0</c:v>
                </c:pt>
                <c:pt idx="9">
                  <c:v>55500</c:v>
                </c:pt>
                <c:pt idx="10">
                  <c:v>198000</c:v>
                </c:pt>
                <c:pt idx="11">
                  <c:v>0</c:v>
                </c:pt>
                <c:pt idx="12">
                  <c:v>66500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97-40B4-A155-A243BB9F3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155712"/>
        <c:axId val="200450624"/>
      </c:barChart>
      <c:catAx>
        <c:axId val="19115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450624"/>
        <c:crosses val="autoZero"/>
        <c:auto val="1"/>
        <c:lblAlgn val="ctr"/>
        <c:lblOffset val="100"/>
        <c:noMultiLvlLbl val="0"/>
      </c:catAx>
      <c:valAx>
        <c:axId val="20045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55712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baseline="0">
                <a:effectLst/>
              </a:rPr>
              <a:t>Components Cost Rokkas applied to Munich in millions of Cost Units</a:t>
            </a:r>
            <a:endParaRPr lang="de-DE">
              <a:effectLst/>
            </a:endParaRP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CAPEX_Euros_Rokkas!$D$1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CAPEX_Euros_Rokkas!$D$2:$D$14</c:f>
              <c:numCache>
                <c:formatCode>General</c:formatCode>
                <c:ptCount val="13"/>
                <c:pt idx="0">
                  <c:v>60163.214483090531</c:v>
                </c:pt>
                <c:pt idx="1">
                  <c:v>108181.99766751831</c:v>
                </c:pt>
                <c:pt idx="2">
                  <c:v>66893.848581055019</c:v>
                </c:pt>
                <c:pt idx="3">
                  <c:v>66893.848581055019</c:v>
                </c:pt>
                <c:pt idx="4">
                  <c:v>108181.99766751831</c:v>
                </c:pt>
                <c:pt idx="5">
                  <c:v>60163.214483090531</c:v>
                </c:pt>
                <c:pt idx="6">
                  <c:v>108181.99766751831</c:v>
                </c:pt>
                <c:pt idx="7">
                  <c:v>66893.848581055019</c:v>
                </c:pt>
                <c:pt idx="8">
                  <c:v>88649.250981062796</c:v>
                </c:pt>
                <c:pt idx="9">
                  <c:v>89276.478946812786</c:v>
                </c:pt>
                <c:pt idx="10">
                  <c:v>89276.478946812786</c:v>
                </c:pt>
                <c:pt idx="11">
                  <c:v>88649.250981062796</c:v>
                </c:pt>
                <c:pt idx="12">
                  <c:v>89276.478946812786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7-4F2C-B3FB-155963218EC0}"/>
            </c:ext>
          </c:extLst>
        </c:ser>
        <c:ser>
          <c:idx val="1"/>
          <c:order val="1"/>
          <c:tx>
            <c:strRef>
              <c:f>CAPEX_Euros_Rokkas!$E$1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CAPEX_Euros_Rokkas!$E$2:$E$14</c:f>
              <c:numCache>
                <c:formatCode>General</c:formatCode>
                <c:ptCount val="13"/>
                <c:pt idx="0">
                  <c:v>1539.8347599557078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1539.8347599557078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16649.727205824103</c:v>
                </c:pt>
                <c:pt idx="11">
                  <c:v>3778.2685110852781</c:v>
                </c:pt>
                <c:pt idx="12">
                  <c:v>1452.7127519276221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37-4F2C-B3FB-155963218EC0}"/>
            </c:ext>
          </c:extLst>
        </c:ser>
        <c:ser>
          <c:idx val="2"/>
          <c:order val="2"/>
          <c:tx>
            <c:strRef>
              <c:f>CAPEX_Euros_Rokkas!$F$1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CAPEX_Euros_Rokkas!$F$2:$F$14</c:f>
              <c:numCache>
                <c:formatCode>General</c:formatCode>
                <c:ptCount val="13"/>
                <c:pt idx="0">
                  <c:v>7048</c:v>
                </c:pt>
                <c:pt idx="1">
                  <c:v>12648</c:v>
                </c:pt>
                <c:pt idx="2">
                  <c:v>16800</c:v>
                </c:pt>
                <c:pt idx="3">
                  <c:v>117600</c:v>
                </c:pt>
                <c:pt idx="4">
                  <c:v>19368</c:v>
                </c:pt>
                <c:pt idx="5">
                  <c:v>11948</c:v>
                </c:pt>
                <c:pt idx="6">
                  <c:v>35736</c:v>
                </c:pt>
                <c:pt idx="7">
                  <c:v>34000</c:v>
                </c:pt>
                <c:pt idx="8">
                  <c:v>9200</c:v>
                </c:pt>
                <c:pt idx="9">
                  <c:v>21040</c:v>
                </c:pt>
                <c:pt idx="10">
                  <c:v>39080</c:v>
                </c:pt>
                <c:pt idx="11">
                  <c:v>28360</c:v>
                </c:pt>
                <c:pt idx="12">
                  <c:v>39128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37-4F2C-B3FB-155963218EC0}"/>
            </c:ext>
          </c:extLst>
        </c:ser>
        <c:ser>
          <c:idx val="3"/>
          <c:order val="3"/>
          <c:tx>
            <c:strRef>
              <c:f>CAPEX_Euros_Rokkas!$G$1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CAPEX_Euros_Rokkas!$G$2:$G$14</c:f>
              <c:numCache>
                <c:formatCode>General</c:formatCode>
                <c:ptCount val="13"/>
                <c:pt idx="0">
                  <c:v>410444</c:v>
                </c:pt>
                <c:pt idx="1">
                  <c:v>16568</c:v>
                </c:pt>
                <c:pt idx="2">
                  <c:v>276</c:v>
                </c:pt>
                <c:pt idx="3">
                  <c:v>1932</c:v>
                </c:pt>
                <c:pt idx="4">
                  <c:v>16568</c:v>
                </c:pt>
                <c:pt idx="5">
                  <c:v>404436</c:v>
                </c:pt>
                <c:pt idx="6">
                  <c:v>16568</c:v>
                </c:pt>
                <c:pt idx="7">
                  <c:v>560</c:v>
                </c:pt>
                <c:pt idx="8">
                  <c:v>238140</c:v>
                </c:pt>
                <c:pt idx="9">
                  <c:v>3540</c:v>
                </c:pt>
                <c:pt idx="10">
                  <c:v>3140</c:v>
                </c:pt>
                <c:pt idx="11">
                  <c:v>402664</c:v>
                </c:pt>
                <c:pt idx="12">
                  <c:v>6164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37-4F2C-B3FB-155963218EC0}"/>
            </c:ext>
          </c:extLst>
        </c:ser>
        <c:ser>
          <c:idx val="4"/>
          <c:order val="4"/>
          <c:tx>
            <c:strRef>
              <c:f>CAPEX_Euros_Rokkas!$H$1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CAPEX_Euros_Rokkas!$H$2:$H$14</c:f>
              <c:numCache>
                <c:formatCode>General</c:formatCode>
                <c:ptCount val="13"/>
                <c:pt idx="0">
                  <c:v>0</c:v>
                </c:pt>
                <c:pt idx="1">
                  <c:v>70000</c:v>
                </c:pt>
                <c:pt idx="2">
                  <c:v>75000</c:v>
                </c:pt>
                <c:pt idx="3">
                  <c:v>210000</c:v>
                </c:pt>
                <c:pt idx="4">
                  <c:v>258770</c:v>
                </c:pt>
                <c:pt idx="5">
                  <c:v>0</c:v>
                </c:pt>
                <c:pt idx="6">
                  <c:v>68278</c:v>
                </c:pt>
                <c:pt idx="7">
                  <c:v>150000</c:v>
                </c:pt>
                <c:pt idx="8">
                  <c:v>0</c:v>
                </c:pt>
                <c:pt idx="9">
                  <c:v>75000</c:v>
                </c:pt>
                <c:pt idx="10">
                  <c:v>210000</c:v>
                </c:pt>
                <c:pt idx="11">
                  <c:v>0</c:v>
                </c:pt>
                <c:pt idx="12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37-4F2C-B3FB-155963218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362560"/>
        <c:axId val="200452928"/>
      </c:barChart>
      <c:catAx>
        <c:axId val="191362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452928"/>
        <c:crosses val="autoZero"/>
        <c:auto val="1"/>
        <c:lblAlgn val="ctr"/>
        <c:lblOffset val="100"/>
        <c:noMultiLvlLbl val="0"/>
      </c:catAx>
      <c:valAx>
        <c:axId val="20045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362560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Components Cost BSG applied</a:t>
            </a:r>
            <a:r>
              <a:rPr lang="de-DE" baseline="0"/>
              <a:t> to Munich in millions of Cost Units</a:t>
            </a:r>
            <a:endParaRPr lang="de-DE"/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CAPEX_Euros_BSG!$D$1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CAPEX_Euros_BSG!$D$2:$D$14</c:f>
              <c:numCache>
                <c:formatCode>General</c:formatCode>
                <c:ptCount val="13"/>
                <c:pt idx="0">
                  <c:v>122492.30468757232</c:v>
                </c:pt>
                <c:pt idx="1">
                  <c:v>220258.5472510673</c:v>
                </c:pt>
                <c:pt idx="2">
                  <c:v>136195.87571102803</c:v>
                </c:pt>
                <c:pt idx="3">
                  <c:v>136195.87571102803</c:v>
                </c:pt>
                <c:pt idx="4">
                  <c:v>220258.5472510673</c:v>
                </c:pt>
                <c:pt idx="5">
                  <c:v>122492.30468757232</c:v>
                </c:pt>
                <c:pt idx="6">
                  <c:v>220258.5472510673</c:v>
                </c:pt>
                <c:pt idx="7">
                  <c:v>136195.87571102803</c:v>
                </c:pt>
                <c:pt idx="8">
                  <c:v>81959.434330663411</c:v>
                </c:pt>
                <c:pt idx="9">
                  <c:v>181766.91113571086</c:v>
                </c:pt>
                <c:pt idx="10">
                  <c:v>181766.91113571086</c:v>
                </c:pt>
                <c:pt idx="11">
                  <c:v>180489.8749974439</c:v>
                </c:pt>
                <c:pt idx="12">
                  <c:v>181766.91113571086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B-427F-B18E-025EB10A1FBE}"/>
            </c:ext>
          </c:extLst>
        </c:ser>
        <c:ser>
          <c:idx val="1"/>
          <c:order val="1"/>
          <c:tx>
            <c:strRef>
              <c:f>CAPEX_Euros_BSG!$E$1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CAPEX_Euros_BSG!$E$2:$E$14</c:f>
              <c:numCache>
                <c:formatCode>General</c:formatCode>
                <c:ptCount val="13"/>
                <c:pt idx="0">
                  <c:v>181054.59289743542</c:v>
                </c:pt>
                <c:pt idx="1">
                  <c:v>123148.20881095782</c:v>
                </c:pt>
                <c:pt idx="2">
                  <c:v>140422.50368463391</c:v>
                </c:pt>
                <c:pt idx="3">
                  <c:v>140422.50368463391</c:v>
                </c:pt>
                <c:pt idx="4">
                  <c:v>123148.20881095782</c:v>
                </c:pt>
                <c:pt idx="5">
                  <c:v>181054.59289743542</c:v>
                </c:pt>
                <c:pt idx="6">
                  <c:v>123148.20881095782</c:v>
                </c:pt>
                <c:pt idx="7">
                  <c:v>140422.50368463391</c:v>
                </c:pt>
                <c:pt idx="8">
                  <c:v>121030.53463843174</c:v>
                </c:pt>
                <c:pt idx="9">
                  <c:v>117354.15161378775</c:v>
                </c:pt>
                <c:pt idx="10">
                  <c:v>99287.142993292597</c:v>
                </c:pt>
                <c:pt idx="11">
                  <c:v>121030.53463843174</c:v>
                </c:pt>
                <c:pt idx="12">
                  <c:v>91410.786993292611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0B-427F-B18E-025EB10A1FBE}"/>
            </c:ext>
          </c:extLst>
        </c:ser>
        <c:ser>
          <c:idx val="2"/>
          <c:order val="2"/>
          <c:tx>
            <c:strRef>
              <c:f>CAPEX_Euros_BSG!$F$1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CAPEX_Euros_BSG!$F$2:$F$14</c:f>
              <c:numCache>
                <c:formatCode>General</c:formatCode>
                <c:ptCount val="13"/>
                <c:pt idx="0">
                  <c:v>12919.72426061819</c:v>
                </c:pt>
                <c:pt idx="1">
                  <c:v>18100</c:v>
                </c:pt>
                <c:pt idx="2">
                  <c:v>24350</c:v>
                </c:pt>
                <c:pt idx="3">
                  <c:v>170450</c:v>
                </c:pt>
                <c:pt idx="4">
                  <c:v>93800</c:v>
                </c:pt>
                <c:pt idx="5">
                  <c:v>31780</c:v>
                </c:pt>
                <c:pt idx="6">
                  <c:v>64900</c:v>
                </c:pt>
                <c:pt idx="7">
                  <c:v>42400</c:v>
                </c:pt>
                <c:pt idx="8">
                  <c:v>13425</c:v>
                </c:pt>
                <c:pt idx="9">
                  <c:v>27000</c:v>
                </c:pt>
                <c:pt idx="10">
                  <c:v>54000</c:v>
                </c:pt>
                <c:pt idx="11">
                  <c:v>52040</c:v>
                </c:pt>
                <c:pt idx="12">
                  <c:v>65160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0B-427F-B18E-025EB10A1FBE}"/>
            </c:ext>
          </c:extLst>
        </c:ser>
        <c:ser>
          <c:idx val="3"/>
          <c:order val="3"/>
          <c:tx>
            <c:strRef>
              <c:f>CAPEX_Euros_BSG!$G$1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CAPEX_Euros_BSG!$G$2:$G$14</c:f>
              <c:numCache>
                <c:formatCode>General</c:formatCode>
                <c:ptCount val="13"/>
                <c:pt idx="0">
                  <c:v>439456.14854347339</c:v>
                </c:pt>
                <c:pt idx="1">
                  <c:v>2388.8000000000002</c:v>
                </c:pt>
                <c:pt idx="2">
                  <c:v>138</c:v>
                </c:pt>
                <c:pt idx="3">
                  <c:v>966</c:v>
                </c:pt>
                <c:pt idx="4">
                  <c:v>64840</c:v>
                </c:pt>
                <c:pt idx="5">
                  <c:v>465927.6</c:v>
                </c:pt>
                <c:pt idx="6">
                  <c:v>2388.8000000000002</c:v>
                </c:pt>
                <c:pt idx="7">
                  <c:v>280</c:v>
                </c:pt>
                <c:pt idx="8">
                  <c:v>261714.75917278187</c:v>
                </c:pt>
                <c:pt idx="9">
                  <c:v>503.99999999999994</c:v>
                </c:pt>
                <c:pt idx="10">
                  <c:v>448</c:v>
                </c:pt>
                <c:pt idx="11">
                  <c:v>424582.40000000002</c:v>
                </c:pt>
                <c:pt idx="12">
                  <c:v>876.4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0B-427F-B18E-025EB10A1FBE}"/>
            </c:ext>
          </c:extLst>
        </c:ser>
        <c:ser>
          <c:idx val="4"/>
          <c:order val="4"/>
          <c:tx>
            <c:strRef>
              <c:f>CAPEX_Euros_BSG!$H$1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CAPEX_Euros_BSG!$H$2:$H$14</c:f>
              <c:numCache>
                <c:formatCode>General</c:formatCode>
                <c:ptCount val="13"/>
                <c:pt idx="0">
                  <c:v>0</c:v>
                </c:pt>
                <c:pt idx="1">
                  <c:v>128000</c:v>
                </c:pt>
                <c:pt idx="2">
                  <c:v>133500</c:v>
                </c:pt>
                <c:pt idx="3">
                  <c:v>210000</c:v>
                </c:pt>
                <c:pt idx="4">
                  <c:v>180754</c:v>
                </c:pt>
                <c:pt idx="5">
                  <c:v>0</c:v>
                </c:pt>
                <c:pt idx="6">
                  <c:v>124851.2</c:v>
                </c:pt>
                <c:pt idx="7">
                  <c:v>267000</c:v>
                </c:pt>
                <c:pt idx="8">
                  <c:v>0</c:v>
                </c:pt>
                <c:pt idx="9">
                  <c:v>135000</c:v>
                </c:pt>
                <c:pt idx="10">
                  <c:v>150000</c:v>
                </c:pt>
                <c:pt idx="11">
                  <c:v>0</c:v>
                </c:pt>
                <c:pt idx="12">
                  <c:v>136677.78519012674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0B-427F-B18E-025EB10A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364608"/>
        <c:axId val="200455808"/>
      </c:barChart>
      <c:catAx>
        <c:axId val="191364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455808"/>
        <c:crosses val="autoZero"/>
        <c:auto val="1"/>
        <c:lblAlgn val="ctr"/>
        <c:lblOffset val="100"/>
        <c:noMultiLvlLbl val="0"/>
      </c:catAx>
      <c:valAx>
        <c:axId val="20045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364608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565312"/>
        <c:axId val="204161024"/>
      </c:barChart>
      <c:catAx>
        <c:axId val="191565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1024"/>
        <c:crosses val="autoZero"/>
        <c:auto val="1"/>
        <c:lblAlgn val="ctr"/>
        <c:lblOffset val="100"/>
        <c:noMultiLvlLbl val="0"/>
      </c:catAx>
      <c:valAx>
        <c:axId val="2041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6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Cost</a:t>
            </a:r>
            <a:r>
              <a:rPr lang="de-DE" baseline="0"/>
              <a:t> per HH passed in Cost Units</a:t>
            </a:r>
            <a:br>
              <a:rPr lang="de-DE" baseline="0"/>
            </a:br>
            <a:r>
              <a:rPr lang="de-DE" baseline="0"/>
              <a:t>Munich Residential</a:t>
            </a:r>
          </a:p>
          <a:p>
            <a:pPr>
              <a:defRPr/>
            </a:pPr>
            <a:endParaRPr lang="de-DE" baseline="0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OASE</c:v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CAPEX_Euros_OASE!$J$3:$J$15</c:f>
              <c:numCache>
                <c:formatCode>General</c:formatCode>
                <c:ptCount val="13"/>
                <c:pt idx="0">
                  <c:v>8.812684192617283</c:v>
                </c:pt>
                <c:pt idx="1">
                  <c:v>6.3945602532757109</c:v>
                </c:pt>
                <c:pt idx="2">
                  <c:v>5.0117649285947818</c:v>
                </c:pt>
                <c:pt idx="3">
                  <c:v>10.043193630210075</c:v>
                </c:pt>
                <c:pt idx="4">
                  <c:v>10.705268111020681</c:v>
                </c:pt>
                <c:pt idx="5">
                  <c:v>9.0891990507191824</c:v>
                </c:pt>
                <c:pt idx="6">
                  <c:v>7.8036790193659753</c:v>
                </c:pt>
                <c:pt idx="7">
                  <c:v>7.291573781942696</c:v>
                </c:pt>
                <c:pt idx="8">
                  <c:v>7.8317597612504892</c:v>
                </c:pt>
                <c:pt idx="9">
                  <c:v>6.143041512539364</c:v>
                </c:pt>
                <c:pt idx="10">
                  <c:v>11.276734355758942</c:v>
                </c:pt>
                <c:pt idx="11">
                  <c:v>10.931479534335036</c:v>
                </c:pt>
                <c:pt idx="12">
                  <c:v>6.8133750638445134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82B-4785-AF4D-5C7C7FE221A9}"/>
            </c:ext>
          </c:extLst>
        </c:ser>
        <c:ser>
          <c:idx val="0"/>
          <c:order val="1"/>
          <c:tx>
            <c:v>Rokkas</c:v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CAPEX_Euros_Rokkas!$L$2:$L$14</c:f>
              <c:numCache>
                <c:formatCode>General</c:formatCode>
                <c:ptCount val="13"/>
                <c:pt idx="0">
                  <c:v>16.376018359751424</c:v>
                </c:pt>
                <c:pt idx="1">
                  <c:v>7.218999884953905</c:v>
                </c:pt>
                <c:pt idx="2">
                  <c:v>5.5824443145618385</c:v>
                </c:pt>
                <c:pt idx="3">
                  <c:v>13.697269001869611</c:v>
                </c:pt>
                <c:pt idx="4">
                  <c:v>13.899677897393246</c:v>
                </c:pt>
                <c:pt idx="5">
                  <c:v>16.338153552151123</c:v>
                </c:pt>
                <c:pt idx="6">
                  <c:v>7.9491618697806423</c:v>
                </c:pt>
                <c:pt idx="7">
                  <c:v>8.7429938327082404</c:v>
                </c:pt>
                <c:pt idx="8">
                  <c:v>11.611219994947307</c:v>
                </c:pt>
                <c:pt idx="9">
                  <c:v>6.5791805084332546</c:v>
                </c:pt>
                <c:pt idx="10">
                  <c:v>12.239293491649132</c:v>
                </c:pt>
                <c:pt idx="11">
                  <c:v>17.888439597161781</c:v>
                </c:pt>
                <c:pt idx="12">
                  <c:v>7.2114411762265194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82B-4785-AF4D-5C7C7FE221A9}"/>
            </c:ext>
          </c:extLst>
        </c:ser>
        <c:ser>
          <c:idx val="2"/>
          <c:order val="2"/>
          <c:tx>
            <c:v>BSG</c:v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CAPEX_Euros_BSG!$L$2:$L$14</c:f>
              <c:numCache>
                <c:formatCode>General</c:formatCode>
                <c:ptCount val="13"/>
                <c:pt idx="0">
                  <c:v>25.832915398438224</c:v>
                </c:pt>
                <c:pt idx="1">
                  <c:v>16.810045658602455</c:v>
                </c:pt>
                <c:pt idx="2">
                  <c:v>14.852244528592097</c:v>
                </c:pt>
                <c:pt idx="3">
                  <c:v>22.487676146389923</c:v>
                </c:pt>
                <c:pt idx="4">
                  <c:v>23.334042651289217</c:v>
                </c:pt>
                <c:pt idx="5">
                  <c:v>27.382082481888034</c:v>
                </c:pt>
                <c:pt idx="6">
                  <c:v>18.301782381997988</c:v>
                </c:pt>
                <c:pt idx="7">
                  <c:v>20.036169072369006</c:v>
                </c:pt>
                <c:pt idx="8">
                  <c:v>16.339612061440672</c:v>
                </c:pt>
                <c:pt idx="9">
                  <c:v>15.7755813939409</c:v>
                </c:pt>
                <c:pt idx="10">
                  <c:v>16.591554033524826</c:v>
                </c:pt>
                <c:pt idx="11">
                  <c:v>26.592263332508907</c:v>
                </c:pt>
                <c:pt idx="12">
                  <c:v>16.263135920959957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82B-4785-AF4D-5C7C7FE221A9}"/>
            </c:ext>
          </c:extLst>
        </c:ser>
        <c:ser>
          <c:idx val="3"/>
          <c:order val="3"/>
          <c:tx>
            <c:v>Phillipson</c:v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CAPEX_Euros_Phillipson!$L$2:$L$14</c:f>
              <c:numCache>
                <c:formatCode>General</c:formatCode>
                <c:ptCount val="13"/>
                <c:pt idx="0">
                  <c:v>12.49167717043254</c:v>
                </c:pt>
                <c:pt idx="1">
                  <c:v>5.6591846381295037</c:v>
                </c:pt>
                <c:pt idx="2">
                  <c:v>4.6225638370547451</c:v>
                </c:pt>
                <c:pt idx="3">
                  <c:v>10.113234331210988</c:v>
                </c:pt>
                <c:pt idx="4">
                  <c:v>11.43076552802083</c:v>
                </c:pt>
                <c:pt idx="5">
                  <c:v>12.925003668963058</c:v>
                </c:pt>
                <c:pt idx="6">
                  <c:v>8.8624174998614418</c:v>
                </c:pt>
                <c:pt idx="7">
                  <c:v>7.4221674184914201</c:v>
                </c:pt>
                <c:pt idx="8">
                  <c:v>8.6789977976084831</c:v>
                </c:pt>
                <c:pt idx="9">
                  <c:v>6.1336862725402854</c:v>
                </c:pt>
                <c:pt idx="10">
                  <c:v>10.543372080580166</c:v>
                </c:pt>
                <c:pt idx="11">
                  <c:v>13.196802458944004</c:v>
                </c:pt>
                <c:pt idx="12">
                  <c:v>5.5349306051548197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82B-4785-AF4D-5C7C7FE22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smooth val="0"/>
        <c:axId val="191615488"/>
        <c:axId val="204163328"/>
      </c:lineChart>
      <c:catAx>
        <c:axId val="191615488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204163328"/>
        <c:crosses val="autoZero"/>
        <c:auto val="1"/>
        <c:lblAlgn val="ctr"/>
        <c:lblOffset val="100"/>
        <c:noMultiLvlLbl val="0"/>
      </c:catAx>
      <c:valAx>
        <c:axId val="204163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per HH passed in 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61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de-DE" sz="2000"/>
              <a:t>CAPEX of different PON Technologies (Munich Converged</a:t>
            </a:r>
            <a:r>
              <a:rPr lang="de-DE" sz="2000" baseline="0"/>
              <a:t> Scenario</a:t>
            </a:r>
            <a:r>
              <a:rPr lang="de-DE" sz="2000"/>
              <a:t>)</a:t>
            </a:r>
          </a:p>
        </c:rich>
      </c:tx>
      <c:layout>
        <c:manualLayout>
          <c:xMode val="edge"/>
          <c:yMode val="edge"/>
          <c:x val="0.23924596215742913"/>
          <c:y val="3.062200956937799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7714555145313016E-2"/>
          <c:y val="2.9581469038593596E-2"/>
          <c:w val="0.7366203386107667"/>
          <c:h val="0.767279818194695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CAPEX_Euros_OASE!$B$2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CAPEX_Euros_OASE!$B$3:$B$15</c:f>
              <c:numCache>
                <c:formatCode>General</c:formatCode>
                <c:ptCount val="13"/>
                <c:pt idx="0">
                  <c:v>96261.143172944852</c:v>
                </c:pt>
                <c:pt idx="1">
                  <c:v>146337.87420813384</c:v>
                </c:pt>
                <c:pt idx="2">
                  <c:v>78872.086550701642</c:v>
                </c:pt>
                <c:pt idx="3">
                  <c:v>78872.086550701642</c:v>
                </c:pt>
                <c:pt idx="4">
                  <c:v>146337.87420813384</c:v>
                </c:pt>
                <c:pt idx="5">
                  <c:v>96261.143172944852</c:v>
                </c:pt>
                <c:pt idx="6">
                  <c:v>146337.87420813384</c:v>
                </c:pt>
                <c:pt idx="7">
                  <c:v>78872.086550701642</c:v>
                </c:pt>
                <c:pt idx="8">
                  <c:v>114876.35990534152</c:v>
                </c:pt>
                <c:pt idx="9">
                  <c:v>115530.46906962365</c:v>
                </c:pt>
                <c:pt idx="10">
                  <c:v>115530.46906962365</c:v>
                </c:pt>
                <c:pt idx="11">
                  <c:v>114876.35990534152</c:v>
                </c:pt>
                <c:pt idx="12">
                  <c:v>115530.46906962365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7-40B4-A155-A243BB9F39F7}"/>
            </c:ext>
          </c:extLst>
        </c:ser>
        <c:ser>
          <c:idx val="1"/>
          <c:order val="1"/>
          <c:tx>
            <c:strRef>
              <c:f>CAPEX_Euros_OASE!$C$2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CAPEX_Euros_OASE!$C$3:$C$15</c:f>
              <c:numCache>
                <c:formatCode>General</c:formatCode>
                <c:ptCount val="13"/>
                <c:pt idx="0">
                  <c:v>5.1327825331856927</c:v>
                </c:pt>
                <c:pt idx="1">
                  <c:v>12.814589886676153</c:v>
                </c:pt>
                <c:pt idx="2">
                  <c:v>14.612123172178348</c:v>
                </c:pt>
                <c:pt idx="3">
                  <c:v>14.612123172178348</c:v>
                </c:pt>
                <c:pt idx="4">
                  <c:v>12.814589886676153</c:v>
                </c:pt>
                <c:pt idx="5">
                  <c:v>5.1327825331856927</c:v>
                </c:pt>
                <c:pt idx="6">
                  <c:v>12.814589886676153</c:v>
                </c:pt>
                <c:pt idx="7">
                  <c:v>14.612123172178348</c:v>
                </c:pt>
                <c:pt idx="8">
                  <c:v>12.594228370284263</c:v>
                </c:pt>
                <c:pt idx="9">
                  <c:v>12.211670303203721</c:v>
                </c:pt>
                <c:pt idx="10">
                  <c:v>10.331648594515361</c:v>
                </c:pt>
                <c:pt idx="11">
                  <c:v>12.594228370284263</c:v>
                </c:pt>
                <c:pt idx="12">
                  <c:v>9.5120485945153614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7-40B4-A155-A243BB9F39F7}"/>
            </c:ext>
          </c:extLst>
        </c:ser>
        <c:ser>
          <c:idx val="2"/>
          <c:order val="2"/>
          <c:tx>
            <c:strRef>
              <c:f>CAPEX_Euros_OASE!$D$2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CAPEX_Euros_OASE!$D$3:$D$15</c:f>
              <c:numCache>
                <c:formatCode>General</c:formatCode>
                <c:ptCount val="13"/>
                <c:pt idx="0">
                  <c:v>3056.8888888888887</c:v>
                </c:pt>
                <c:pt idx="1">
                  <c:v>6261.333333333333</c:v>
                </c:pt>
                <c:pt idx="2">
                  <c:v>5611.5666666666666</c:v>
                </c:pt>
                <c:pt idx="3">
                  <c:v>44405.233333333337</c:v>
                </c:pt>
                <c:pt idx="4">
                  <c:v>10122.666666666666</c:v>
                </c:pt>
                <c:pt idx="5">
                  <c:v>5882.666666666667</c:v>
                </c:pt>
                <c:pt idx="6">
                  <c:v>20010.666666666668</c:v>
                </c:pt>
                <c:pt idx="7">
                  <c:v>12519.333333333334</c:v>
                </c:pt>
                <c:pt idx="8">
                  <c:v>4400</c:v>
                </c:pt>
                <c:pt idx="9">
                  <c:v>8160</c:v>
                </c:pt>
                <c:pt idx="10">
                  <c:v>15920</c:v>
                </c:pt>
                <c:pt idx="11">
                  <c:v>31120</c:v>
                </c:pt>
                <c:pt idx="12">
                  <c:v>16400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97-40B4-A155-A243BB9F39F7}"/>
            </c:ext>
          </c:extLst>
        </c:ser>
        <c:ser>
          <c:idx val="3"/>
          <c:order val="3"/>
          <c:tx>
            <c:strRef>
              <c:f>CAPEX_Euros_OASE!$E$2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CAPEX_Euros_OASE!$E$3:$E$15</c:f>
              <c:numCache>
                <c:formatCode>General</c:formatCode>
                <c:ptCount val="13"/>
                <c:pt idx="0">
                  <c:v>158553.60000000001</c:v>
                </c:pt>
                <c:pt idx="1">
                  <c:v>4005.6</c:v>
                </c:pt>
                <c:pt idx="2">
                  <c:v>1656</c:v>
                </c:pt>
                <c:pt idx="3">
                  <c:v>11592</c:v>
                </c:pt>
                <c:pt idx="4">
                  <c:v>4005.6</c:v>
                </c:pt>
                <c:pt idx="5">
                  <c:v>163819.20000000001</c:v>
                </c:pt>
                <c:pt idx="6">
                  <c:v>2002.8</c:v>
                </c:pt>
                <c:pt idx="7">
                  <c:v>3360</c:v>
                </c:pt>
                <c:pt idx="8">
                  <c:v>109884</c:v>
                </c:pt>
                <c:pt idx="9">
                  <c:v>555</c:v>
                </c:pt>
                <c:pt idx="10">
                  <c:v>519</c:v>
                </c:pt>
                <c:pt idx="11">
                  <c:v>173868</c:v>
                </c:pt>
                <c:pt idx="12">
                  <c:v>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97-40B4-A155-A243BB9F39F7}"/>
            </c:ext>
          </c:extLst>
        </c:ser>
        <c:ser>
          <c:idx val="4"/>
          <c:order val="4"/>
          <c:tx>
            <c:strRef>
              <c:f>CAPEX_Euros_OASE!$F$2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CAPEX_Euros_OASE!$F$3:$F$15</c:f>
              <c:numCache>
                <c:formatCode>General</c:formatCode>
                <c:ptCount val="13"/>
                <c:pt idx="0">
                  <c:v>0</c:v>
                </c:pt>
                <c:pt idx="1">
                  <c:v>30500</c:v>
                </c:pt>
                <c:pt idx="2">
                  <c:v>60500</c:v>
                </c:pt>
                <c:pt idx="3">
                  <c:v>159000</c:v>
                </c:pt>
                <c:pt idx="4">
                  <c:v>152778.6</c:v>
                </c:pt>
                <c:pt idx="5">
                  <c:v>0</c:v>
                </c:pt>
                <c:pt idx="6">
                  <c:v>59987.1</c:v>
                </c:pt>
                <c:pt idx="7">
                  <c:v>118600</c:v>
                </c:pt>
                <c:pt idx="8">
                  <c:v>0</c:v>
                </c:pt>
                <c:pt idx="9">
                  <c:v>55500</c:v>
                </c:pt>
                <c:pt idx="10">
                  <c:v>198000</c:v>
                </c:pt>
                <c:pt idx="11">
                  <c:v>0</c:v>
                </c:pt>
                <c:pt idx="12">
                  <c:v>66500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97-40B4-A155-A243BB9F3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554624"/>
        <c:axId val="204206016"/>
      </c:barChart>
      <c:catAx>
        <c:axId val="190554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204206016"/>
        <c:crosses val="autoZero"/>
        <c:auto val="1"/>
        <c:lblAlgn val="ctr"/>
        <c:lblOffset val="100"/>
        <c:noMultiLvlLbl val="0"/>
      </c:catAx>
      <c:valAx>
        <c:axId val="204206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de-DE" sz="1800"/>
                  <a:t>Millions of 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554624"/>
        <c:crosses val="autoZero"/>
        <c:crossBetween val="between"/>
        <c:dispUnits>
          <c:builtInUnit val="millions"/>
        </c:dispUnits>
      </c:valAx>
    </c:plotArea>
    <c:legend>
      <c:legendPos val="r"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xVal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xVal>
          <c:yVal>
            <c:numRef>
              <c:f>CAPEX_Euros_OASE!$J$3:$J$15</c:f>
              <c:numCache>
                <c:formatCode>General</c:formatCode>
                <c:ptCount val="13"/>
                <c:pt idx="0">
                  <c:v>8.812684192617283</c:v>
                </c:pt>
                <c:pt idx="1">
                  <c:v>6.3945602532757109</c:v>
                </c:pt>
                <c:pt idx="2">
                  <c:v>5.0117649285947818</c:v>
                </c:pt>
                <c:pt idx="3">
                  <c:v>10.043193630210075</c:v>
                </c:pt>
                <c:pt idx="4">
                  <c:v>10.705268111020681</c:v>
                </c:pt>
                <c:pt idx="5">
                  <c:v>9.0891990507191824</c:v>
                </c:pt>
                <c:pt idx="6">
                  <c:v>7.8036790193659753</c:v>
                </c:pt>
                <c:pt idx="7">
                  <c:v>7.291573781942696</c:v>
                </c:pt>
                <c:pt idx="8">
                  <c:v>7.8317597612504892</c:v>
                </c:pt>
                <c:pt idx="9">
                  <c:v>6.143041512539364</c:v>
                </c:pt>
                <c:pt idx="10">
                  <c:v>11.276734355758942</c:v>
                </c:pt>
                <c:pt idx="11">
                  <c:v>10.931479534335036</c:v>
                </c:pt>
                <c:pt idx="12">
                  <c:v>6.8133750638445134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E4-40AC-8BD3-6DC3AD95A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08896"/>
        <c:axId val="204209472"/>
      </c:scatterChart>
      <c:valAx>
        <c:axId val="20420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09472"/>
        <c:crosses val="autoZero"/>
        <c:crossBetween val="midCat"/>
      </c:valAx>
      <c:valAx>
        <c:axId val="20420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08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14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20</xdr:col>
      <xdr:colOff>142874</xdr:colOff>
      <xdr:row>35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172</xdr:row>
      <xdr:rowOff>133350</xdr:rowOff>
    </xdr:from>
    <xdr:to>
      <xdr:col>20</xdr:col>
      <xdr:colOff>190500</xdr:colOff>
      <xdr:row>209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69</xdr:row>
      <xdr:rowOff>19049</xdr:rowOff>
    </xdr:from>
    <xdr:to>
      <xdr:col>20</xdr:col>
      <xdr:colOff>200024</xdr:colOff>
      <xdr:row>100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100</xdr:row>
      <xdr:rowOff>114299</xdr:rowOff>
    </xdr:from>
    <xdr:to>
      <xdr:col>20</xdr:col>
      <xdr:colOff>247650</xdr:colOff>
      <xdr:row>140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140</xdr:row>
      <xdr:rowOff>28574</xdr:rowOff>
    </xdr:from>
    <xdr:to>
      <xdr:col>20</xdr:col>
      <xdr:colOff>228600</xdr:colOff>
      <xdr:row>172</xdr:row>
      <xdr:rowOff>57149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32657</xdr:colOff>
      <xdr:row>53</xdr:row>
      <xdr:rowOff>76200</xdr:rowOff>
    </xdr:from>
    <xdr:to>
      <xdr:col>29</xdr:col>
      <xdr:colOff>337457</xdr:colOff>
      <xdr:row>68</xdr:row>
      <xdr:rowOff>43543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35</xdr:row>
      <xdr:rowOff>108857</xdr:rowOff>
    </xdr:from>
    <xdr:to>
      <xdr:col>20</xdr:col>
      <xdr:colOff>149677</xdr:colOff>
      <xdr:row>69</xdr:row>
      <xdr:rowOff>24766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857250</xdr:colOff>
      <xdr:row>14</xdr:row>
      <xdr:rowOff>166687</xdr:rowOff>
    </xdr:from>
    <xdr:to>
      <xdr:col>6</xdr:col>
      <xdr:colOff>47623</xdr:colOff>
      <xdr:row>41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1619250</xdr:colOff>
      <xdr:row>20</xdr:row>
      <xdr:rowOff>100011</xdr:rowOff>
    </xdr:from>
    <xdr:to>
      <xdr:col>12</xdr:col>
      <xdr:colOff>483392</xdr:colOff>
      <xdr:row>50</xdr:row>
      <xdr:rowOff>59531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3</xdr:col>
      <xdr:colOff>2933700</xdr:colOff>
      <xdr:row>53</xdr:row>
      <xdr:rowOff>52388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257174</xdr:colOff>
      <xdr:row>17</xdr:row>
      <xdr:rowOff>95250</xdr:rowOff>
    </xdr:from>
    <xdr:to>
      <xdr:col>9</xdr:col>
      <xdr:colOff>1695449</xdr:colOff>
      <xdr:row>45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514350</xdr:colOff>
      <xdr:row>16</xdr:row>
      <xdr:rowOff>95250</xdr:rowOff>
    </xdr:from>
    <xdr:to>
      <xdr:col>19</xdr:col>
      <xdr:colOff>257175</xdr:colOff>
      <xdr:row>53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1165860</xdr:colOff>
      <xdr:row>15</xdr:row>
      <xdr:rowOff>76200</xdr:rowOff>
    </xdr:from>
    <xdr:to>
      <xdr:col>8</xdr:col>
      <xdr:colOff>266700</xdr:colOff>
      <xdr:row>37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594360</xdr:colOff>
      <xdr:row>15</xdr:row>
      <xdr:rowOff>76200</xdr:rowOff>
    </xdr:from>
    <xdr:to>
      <xdr:col>4</xdr:col>
      <xdr:colOff>1074420</xdr:colOff>
      <xdr:row>37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754380</xdr:colOff>
      <xdr:row>15</xdr:row>
      <xdr:rowOff>99061</xdr:rowOff>
    </xdr:from>
    <xdr:to>
      <xdr:col>19</xdr:col>
      <xdr:colOff>426720</xdr:colOff>
      <xdr:row>43</xdr:row>
      <xdr:rowOff>106681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8224" cy="60828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9525</xdr:rowOff>
    </xdr:from>
    <xdr:to>
      <xdr:col>4</xdr:col>
      <xdr:colOff>293793</xdr:colOff>
      <xdr:row>42</xdr:row>
      <xdr:rowOff>40005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3</xdr:row>
      <xdr:rowOff>148589</xdr:rowOff>
    </xdr:from>
    <xdr:to>
      <xdr:col>25</xdr:col>
      <xdr:colOff>171449</xdr:colOff>
      <xdr:row>38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977900</xdr:colOff>
      <xdr:row>16</xdr:row>
      <xdr:rowOff>50799</xdr:rowOff>
    </xdr:from>
    <xdr:to>
      <xdr:col>19</xdr:col>
      <xdr:colOff>285750</xdr:colOff>
      <xdr:row>60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K10" totalsRowShown="0" headerRowDxfId="185" dataDxfId="184" tableBorderDxfId="183">
  <autoFilter ref="A1:K10" xr:uid="{00000000-0009-0000-0100-000002000000}"/>
  <tableColumns count="11">
    <tableColumn id="1" xr3:uid="{00000000-0010-0000-0000-000001000000}" name="Position of component" dataDxfId="182"/>
    <tableColumn id="2" xr3:uid="{00000000-0010-0000-0000-000002000000}" name="Component Name" dataDxfId="181"/>
    <tableColumn id="3" xr3:uid="{00000000-0010-0000-0000-000003000000}" name="Cost per Unit (OASE)" dataDxfId="180"/>
    <tableColumn id="6" xr3:uid="{00000000-0010-0000-0000-000006000000}" name="Cost per Unit (Rokkas)" dataDxfId="179"/>
    <tableColumn id="8" xr3:uid="{00000000-0010-0000-0000-000008000000}" name="Cost per Unit (BSG)" dataDxfId="178"/>
    <tableColumn id="10" xr3:uid="{00000000-0010-0000-0000-00000A000000}" name="Cost per Unit(Philipson)" dataDxfId="177"/>
    <tableColumn id="4" xr3:uid="{00000000-0010-0000-0000-000004000000}" name="Quantity" dataDxfId="176"/>
    <tableColumn id="5" xr3:uid="{00000000-0010-0000-0000-000005000000}" name="Component Cost(OASE)" dataDxfId="175">
      <calculatedColumnFormula>Table2[[#This Row],[Cost per Unit (OASE)]]*Table2[[#This Row],[Quantity]]</calculatedColumnFormula>
    </tableColumn>
    <tableColumn id="7" xr3:uid="{00000000-0010-0000-0000-000007000000}" name="Component Cost(Rokkas)" dataDxfId="174">
      <calculatedColumnFormula>Table2[[#This Row],[Cost per Unit (Rokkas)]]*Table2[[#This Row],[Quantity]]</calculatedColumnFormula>
    </tableColumn>
    <tableColumn id="9" xr3:uid="{00000000-0010-0000-0000-000009000000}" name="Component Cost(BSG)" dataDxfId="173">
      <calculatedColumnFormula>Table2[[#This Row],[Cost per Unit (BSG)]]*Table2[[#This Row],[Quantity]]</calculatedColumnFormula>
    </tableColumn>
    <tableColumn id="11" xr3:uid="{00000000-0010-0000-0000-00000B000000}" name="Component Cost(Phillipson)" dataDxfId="172">
      <calculatedColumnFormula>Table2[[#This Row],[Cost per Unit(Philipson)]]*Table2[[#This Row],[Quantity]]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21213" displayName="Table21213" ref="A1:K9" totalsRowShown="0" headerRowDxfId="59" dataDxfId="58" tableBorderDxfId="57">
  <autoFilter ref="A1:K9" xr:uid="{00000000-0009-0000-0100-00000C000000}"/>
  <tableColumns count="11">
    <tableColumn id="1" xr3:uid="{00000000-0010-0000-0900-000001000000}" name="Position of component" dataDxfId="56"/>
    <tableColumn id="2" xr3:uid="{00000000-0010-0000-0900-000002000000}" name="Component Name" dataDxfId="55"/>
    <tableColumn id="3" xr3:uid="{00000000-0010-0000-0900-000003000000}" name="Cost per Unit (OASE)" dataDxfId="54"/>
    <tableColumn id="6" xr3:uid="{00000000-0010-0000-0900-000006000000}" name="Cost per Unit (Rokkas)" dataDxfId="53"/>
    <tableColumn id="8" xr3:uid="{00000000-0010-0000-0900-000008000000}" name="Cost per Unit(BSG)" dataDxfId="52"/>
    <tableColumn id="11" xr3:uid="{00000000-0010-0000-0900-00000B000000}" name="Cost per uNit(Phillipson)" dataDxfId="51"/>
    <tableColumn id="4" xr3:uid="{00000000-0010-0000-0900-000004000000}" name="Quantity" dataDxfId="50"/>
    <tableColumn id="5" xr3:uid="{00000000-0010-0000-0900-000005000000}" name="Component Cost" dataDxfId="49">
      <calculatedColumnFormula>Table21213[[#This Row],[Cost per Unit (OASE)]]*Table21213[[#This Row],[Quantity]]</calculatedColumnFormula>
    </tableColumn>
    <tableColumn id="7" xr3:uid="{00000000-0010-0000-0900-000007000000}" name="Component Cost(Rokkas)" dataDxfId="48">
      <calculatedColumnFormula>Table21213[[#This Row],[Cost per Unit (Rokkas)]]*Table21213[[#This Row],[Quantity]]</calculatedColumnFormula>
    </tableColumn>
    <tableColumn id="9" xr3:uid="{00000000-0010-0000-0900-000009000000}" name="Component Cost(BSG)" dataDxfId="47">
      <calculatedColumnFormula>Table21213[[#This Row],[Cost per Unit(BSG)]]*Table21213[[#This Row],[Quantity]]</calculatedColumnFormula>
    </tableColumn>
    <tableColumn id="10" xr3:uid="{00000000-0010-0000-0900-00000A000000}" name="Component Cost(Phillipson)" dataDxfId="46">
      <calculatedColumnFormula>Table21213[[#This Row],[Cost per uNit(Phillipson)]]*Table21213[[#This Row],[Quantity]]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121314" displayName="Table2121314" ref="A1:K9" totalsRowShown="0" headerRowDxfId="45" dataDxfId="44" tableBorderDxfId="43">
  <autoFilter ref="A1:K9" xr:uid="{00000000-0009-0000-0100-00000D000000}"/>
  <tableColumns count="11">
    <tableColumn id="1" xr3:uid="{00000000-0010-0000-0A00-000001000000}" name="Position of component" dataDxfId="42"/>
    <tableColumn id="2" xr3:uid="{00000000-0010-0000-0A00-000002000000}" name="Component Name" dataDxfId="41"/>
    <tableColumn id="3" xr3:uid="{00000000-0010-0000-0A00-000003000000}" name="Cost per Unit (OASE)" dataDxfId="40"/>
    <tableColumn id="6" xr3:uid="{00000000-0010-0000-0A00-000006000000}" name="Cost per Unit (Rokkas)" dataDxfId="39"/>
    <tableColumn id="8" xr3:uid="{00000000-0010-0000-0A00-000008000000}" name="Cost per Unit(BSG)" dataDxfId="38"/>
    <tableColumn id="10" xr3:uid="{00000000-0010-0000-0A00-00000A000000}" name="Cost per Unit(Phillipson)" dataDxfId="37"/>
    <tableColumn id="4" xr3:uid="{00000000-0010-0000-0A00-000004000000}" name="Quantity" dataDxfId="36"/>
    <tableColumn id="5" xr3:uid="{00000000-0010-0000-0A00-000005000000}" name="Component Cost" dataDxfId="35">
      <calculatedColumnFormula>Table2121314[[#This Row],[Cost per Unit (OASE)]]*Table2121314[[#This Row],[Quantity]]</calculatedColumnFormula>
    </tableColumn>
    <tableColumn id="7" xr3:uid="{00000000-0010-0000-0A00-000007000000}" name="Component Cost(Rokkas)" dataDxfId="34">
      <calculatedColumnFormula>Table2121314[[#This Row],[Cost per Unit (Rokkas)]]*Table2121314[[#This Row],[Quantity]]</calculatedColumnFormula>
    </tableColumn>
    <tableColumn id="9" xr3:uid="{00000000-0010-0000-0A00-000009000000}" name="Component Cost(BSG)" dataDxfId="33">
      <calculatedColumnFormula>Table2121314[[#This Row],[Cost per Unit(BSG)]]*Table2121314[[#This Row],[Quantity]]</calculatedColumnFormula>
    </tableColumn>
    <tableColumn id="11" xr3:uid="{00000000-0010-0000-0A00-00000B000000}" name="Component Cost(Phillipson)" dataDxfId="32">
      <calculatedColumnFormula>Table2121314[[#This Row],[Cost per Unit(Phillipson)]]*Table2121314[[#This Row],[Quantity]]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21215" displayName="Table21215" ref="A1:K10" totalsRowShown="0" headerRowDxfId="31" dataDxfId="30" tableBorderDxfId="29">
  <autoFilter ref="A1:K10" xr:uid="{00000000-0009-0000-0100-00000E000000}"/>
  <tableColumns count="11">
    <tableColumn id="1" xr3:uid="{00000000-0010-0000-0B00-000001000000}" name="Position of component" dataDxfId="28"/>
    <tableColumn id="2" xr3:uid="{00000000-0010-0000-0B00-000002000000}" name="Component Name" dataDxfId="27"/>
    <tableColumn id="3" xr3:uid="{00000000-0010-0000-0B00-000003000000}" name="Cost per Unit (OASE)" dataDxfId="26"/>
    <tableColumn id="6" xr3:uid="{00000000-0010-0000-0B00-000006000000}" name="Cost per Unit (Rokkas)" dataDxfId="25"/>
    <tableColumn id="8" xr3:uid="{00000000-0010-0000-0B00-000008000000}" name="Cost per Unit (BSG)" dataDxfId="24"/>
    <tableColumn id="10" xr3:uid="{00000000-0010-0000-0B00-00000A000000}" name="Cost per Unit(Phillipson)" dataDxfId="23"/>
    <tableColumn id="4" xr3:uid="{00000000-0010-0000-0B00-000004000000}" name="Quantity" dataDxfId="22"/>
    <tableColumn id="5" xr3:uid="{00000000-0010-0000-0B00-000005000000}" name="Component Cost" dataDxfId="21">
      <calculatedColumnFormula>Table21215[[#This Row],[Cost per Unit (OASE)]]*Table21215[[#This Row],[Quantity]]</calculatedColumnFormula>
    </tableColumn>
    <tableColumn id="7" xr3:uid="{00000000-0010-0000-0B00-000007000000}" name="Component Cost(Rokkas)" dataDxfId="20">
      <calculatedColumnFormula>Table21215[[#This Row],[Cost per Unit (Rokkas)]]*Table21215[[#This Row],[Quantity]]</calculatedColumnFormula>
    </tableColumn>
    <tableColumn id="9" xr3:uid="{00000000-0010-0000-0B00-000009000000}" name="Component Cost(BSG)" dataDxfId="19">
      <calculatedColumnFormula>Table21215[[#This Row],[Cost per Unit (BSG)]]*Table21215[[#This Row],[Quantity]]</calculatedColumnFormula>
    </tableColumn>
    <tableColumn id="11" xr3:uid="{00000000-0010-0000-0B00-00000B000000}" name="Component Cost(Phillipson)" dataDxfId="18">
      <calculatedColumnFormula>Table21215[[#This Row],[Cost per Unit(Phillipson)]]*Table21215[[#This Row],[Quantity]]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C000000}" name="Table2121316" displayName="Table2121316" ref="A1:K9" totalsRowShown="0" headerRowDxfId="17" dataDxfId="16" tableBorderDxfId="15">
  <autoFilter ref="A1:K9" xr:uid="{00000000-0009-0000-0100-00000F000000}"/>
  <tableColumns count="11">
    <tableColumn id="1" xr3:uid="{00000000-0010-0000-0C00-000001000000}" name="Position of component" dataDxfId="14"/>
    <tableColumn id="2" xr3:uid="{00000000-0010-0000-0C00-000002000000}" name="Component Name" dataDxfId="13"/>
    <tableColumn id="3" xr3:uid="{00000000-0010-0000-0C00-000003000000}" name="Cost per Unit (OASE)" dataDxfId="12"/>
    <tableColumn id="6" xr3:uid="{00000000-0010-0000-0C00-000006000000}" name="Cost per Unit (Rokkas)" dataDxfId="11"/>
    <tableColumn id="8" xr3:uid="{00000000-0010-0000-0C00-000008000000}" name="Cost per Unit(BSG)" dataDxfId="10"/>
    <tableColumn id="10" xr3:uid="{00000000-0010-0000-0C00-00000A000000}" name="Cost per Unit(Phillipson)" dataDxfId="9"/>
    <tableColumn id="4" xr3:uid="{00000000-0010-0000-0C00-000004000000}" name="Quantity" dataDxfId="8"/>
    <tableColumn id="5" xr3:uid="{00000000-0010-0000-0C00-000005000000}" name="Component Cost" dataDxfId="7">
      <calculatedColumnFormula>Table2121316[[#This Row],[Cost per Unit (OASE)]]*Table2121316[[#This Row],[Quantity]]</calculatedColumnFormula>
    </tableColumn>
    <tableColumn id="7" xr3:uid="{00000000-0010-0000-0C00-000007000000}" name="Component Cost(Rokkas)" dataDxfId="6">
      <calculatedColumnFormula>D2*G2</calculatedColumnFormula>
    </tableColumn>
    <tableColumn id="9" xr3:uid="{00000000-0010-0000-0C00-000009000000}" name="Component Cost(BSG)" dataDxfId="5">
      <calculatedColumnFormula>Table2121316[[#This Row],[Cost per Unit(BSG)]]*Table2121316[[#This Row],[Quantity]]</calculatedColumnFormula>
    </tableColumn>
    <tableColumn id="11" xr3:uid="{00000000-0010-0000-0C00-00000B000000}" name="Component Cost(Phillipson)" dataDxfId="4">
      <calculatedColumnFormula>Table2121316[[#This Row],[Cost per Unit(Phillipson)]]*Table2121316[[#This Row],[Quantity]]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D000000}" name="Table7" displayName="Table7" ref="A2:K15" totalsRowShown="0">
  <autoFilter ref="A2:K15" xr:uid="{00000000-0009-0000-0100-000007000000}"/>
  <tableColumns count="11">
    <tableColumn id="1" xr3:uid="{00000000-0010-0000-0D00-000001000000}" name="Technology"/>
    <tableColumn id="2" xr3:uid="{00000000-0010-0000-0D00-000002000000}" name="Duct Cost"/>
    <tableColumn id="3" xr3:uid="{00000000-0010-0000-0D00-000003000000}" name="Fiber Cost"/>
    <tableColumn id="4" xr3:uid="{00000000-0010-0000-0D00-000004000000}" name="Central Office E&amp;I Costs"/>
    <tableColumn id="5" xr3:uid="{00000000-0010-0000-0D00-000005000000}" name="Remote Node E&amp;I Costs"/>
    <tableColumn id="6" xr3:uid="{00000000-0010-0000-0D00-000006000000}" name="Building E&amp;I Costs"/>
    <tableColumn id="7" xr3:uid="{00000000-0010-0000-0D00-000007000000}" name="Total Cost in Cost Units">
      <calculatedColumnFormula>SUM(B3:F3)</calculatedColumnFormula>
    </tableColumn>
    <tableColumn id="8" xr3:uid="{00000000-0010-0000-0D00-000008000000}" name="Total Cost in Euros(OASE)" dataDxfId="3">
      <calculatedColumnFormula>G3*50</calculatedColumnFormula>
    </tableColumn>
    <tableColumn id="9" xr3:uid="{00000000-0010-0000-0D00-000009000000}" name="No. Of HH"/>
    <tableColumn id="10" xr3:uid="{00000000-0010-0000-0D00-00000A000000}" name="Cost per Home passed(OASE)">
      <calculatedColumnFormula>G3/I3</calculatedColumnFormula>
    </tableColumn>
    <tableColumn id="11" xr3:uid="{00000000-0010-0000-0D00-00000B000000}" name="Data rat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E000000}" name="Table717" displayName="Table717" ref="A1:M14" totalsRowShown="0">
  <autoFilter ref="A1:M14" xr:uid="{00000000-0009-0000-0100-000010000000}"/>
  <tableColumns count="13">
    <tableColumn id="1" xr3:uid="{00000000-0010-0000-0E00-000001000000}" name="Technology"/>
    <tableColumn id="13" xr3:uid="{00000000-0010-0000-0E00-00000D000000}" name="Duct Length" dataCellStyle="Heading 4">
      <calculatedColumnFormula>B75+C75+D75</calculatedColumnFormula>
    </tableColumn>
    <tableColumn id="12" xr3:uid="{00000000-0010-0000-0E00-00000C000000}" name="Fiber Length" dataCellStyle="Heading 4">
      <calculatedColumnFormula>E75+F75+G75</calculatedColumnFormula>
    </tableColumn>
    <tableColumn id="2" xr3:uid="{00000000-0010-0000-0E00-000002000000}" name="Duct Cost">
      <calculatedColumnFormula>35*Table717[[#This Row],[Duct Length]]/50</calculatedColumnFormula>
    </tableColumn>
    <tableColumn id="3" xr3:uid="{00000000-0010-0000-0E00-000003000000}" name="Fiber Cost">
      <calculatedColumnFormula>Table717[[#This Row],[Fiber Length]]*0.3/50</calculatedColumnFormula>
    </tableColumn>
    <tableColumn id="4" xr3:uid="{00000000-0010-0000-0E00-000004000000}" name="Central Office E&amp;I Costs"/>
    <tableColumn id="5" xr3:uid="{00000000-0010-0000-0E00-000005000000}" name="Remote Node E&amp;I Costs"/>
    <tableColumn id="6" xr3:uid="{00000000-0010-0000-0E00-000006000000}" name="Building E&amp;I Costs"/>
    <tableColumn id="7" xr3:uid="{00000000-0010-0000-0E00-000007000000}" name="Total Cost in Cost Units">
      <calculatedColumnFormula>SUM(Table717[[#This Row],[Duct Cost]:[Building E&amp;I Costs]])</calculatedColumnFormula>
    </tableColumn>
    <tableColumn id="8" xr3:uid="{00000000-0010-0000-0E00-000008000000}" name="Total Cost in Euros(Rokkas)" dataDxfId="2">
      <calculatedColumnFormula>I2*50</calculatedColumnFormula>
    </tableColumn>
    <tableColumn id="9" xr3:uid="{00000000-0010-0000-0E00-000009000000}" name="No. Of HH"/>
    <tableColumn id="10" xr3:uid="{00000000-0010-0000-0E00-00000A000000}" name="Cost per Home passed(Rokkas)">
      <calculatedColumnFormula>I2/K2</calculatedColumnFormula>
    </tableColumn>
    <tableColumn id="11" xr3:uid="{00000000-0010-0000-0E00-00000B000000}" name="Data rat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F000000}" name="Table7172" displayName="Table7172" ref="A1:M14" totalsRowShown="0">
  <autoFilter ref="A1:M14" xr:uid="{00000000-0009-0000-0100-000001000000}"/>
  <tableColumns count="13">
    <tableColumn id="1" xr3:uid="{00000000-0010-0000-0F00-000001000000}" name="Technology"/>
    <tableColumn id="13" xr3:uid="{00000000-0010-0000-0F00-00000D000000}" name="Duct Length" dataCellStyle="Heading 4"/>
    <tableColumn id="12" xr3:uid="{00000000-0010-0000-0F00-00000C000000}" name="Fiber Length" dataCellStyle="Heading 4"/>
    <tableColumn id="2" xr3:uid="{00000000-0010-0000-0F00-000002000000}" name="Duct Cost">
      <calculatedColumnFormula>71.26*Table7172[[#This Row],[Duct Length]]/50</calculatedColumnFormula>
    </tableColumn>
    <tableColumn id="3" xr3:uid="{00000000-0010-0000-0F00-000003000000}" name="Fiber Cost">
      <calculatedColumnFormula>9.61*Table7172[[#This Row],[Fiber Length]]/50</calculatedColumnFormula>
    </tableColumn>
    <tableColumn id="4" xr3:uid="{00000000-0010-0000-0F00-000004000000}" name="Central Office E&amp;I Costs"/>
    <tableColumn id="5" xr3:uid="{00000000-0010-0000-0F00-000005000000}" name="Remote Node E&amp;I Costs"/>
    <tableColumn id="6" xr3:uid="{00000000-0010-0000-0F00-000006000000}" name="Building E&amp;I Costs"/>
    <tableColumn id="7" xr3:uid="{00000000-0010-0000-0F00-000007000000}" name="Total Cost in Cost Units">
      <calculatedColumnFormula>SUM(Table7172[[#This Row],[Duct Cost]:[Building E&amp;I Costs]])</calculatedColumnFormula>
    </tableColumn>
    <tableColumn id="8" xr3:uid="{00000000-0010-0000-0F00-000008000000}" name="Total Cost in Euros(BSG)" dataDxfId="1">
      <calculatedColumnFormula>I2*50</calculatedColumnFormula>
    </tableColumn>
    <tableColumn id="9" xr3:uid="{00000000-0010-0000-0F00-000009000000}" name="No. Of HH"/>
    <tableColumn id="10" xr3:uid="{00000000-0010-0000-0F00-00000A000000}" name="Cost per Home passed(BSG)">
      <calculatedColumnFormula>I2/K2</calculatedColumnFormula>
    </tableColumn>
    <tableColumn id="11" xr3:uid="{00000000-0010-0000-0F00-00000B000000}" name="Data rate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717218" displayName="Table717218" ref="A1:M14" totalsRowShown="0">
  <autoFilter ref="A1:M14" xr:uid="{00000000-0009-0000-0100-000011000000}"/>
  <tableColumns count="13">
    <tableColumn id="1" xr3:uid="{00000000-0010-0000-1000-000001000000}" name="Technology"/>
    <tableColumn id="13" xr3:uid="{00000000-0010-0000-1000-00000D000000}" name="Duct Length" dataCellStyle="Heading 4"/>
    <tableColumn id="12" xr3:uid="{00000000-0010-0000-1000-00000C000000}" name="Fiber Length" dataCellStyle="Heading 4"/>
    <tableColumn id="2" xr3:uid="{00000000-0010-0000-1000-000002000000}" name="Duct Cost">
      <calculatedColumnFormula>27*Table717218[[#This Row],[Duct Length]]/50</calculatedColumnFormula>
    </tableColumn>
    <tableColumn id="3" xr3:uid="{00000000-0010-0000-1000-000003000000}" name="Fiber Cost">
      <calculatedColumnFormula>0.3*Table717218[[#This Row],[Fiber Length]]/50</calculatedColumnFormula>
    </tableColumn>
    <tableColumn id="4" xr3:uid="{00000000-0010-0000-1000-000004000000}" name="Central Office E&amp;I Costs"/>
    <tableColumn id="5" xr3:uid="{00000000-0010-0000-1000-000005000000}" name="Remote Node E&amp;I Costs"/>
    <tableColumn id="6" xr3:uid="{00000000-0010-0000-1000-000006000000}" name="Building E&amp;I Costs"/>
    <tableColumn id="7" xr3:uid="{00000000-0010-0000-1000-000007000000}" name="Total Cost in Cost Units">
      <calculatedColumnFormula>SUM(Table717218[[#This Row],[Duct Cost]:[Building E&amp;I Costs]])</calculatedColumnFormula>
    </tableColumn>
    <tableColumn id="8" xr3:uid="{00000000-0010-0000-1000-000008000000}" name="Total Cost in Euros(Phillipson)" dataDxfId="0">
      <calculatedColumnFormula>I2*50</calculatedColumnFormula>
    </tableColumn>
    <tableColumn id="9" xr3:uid="{00000000-0010-0000-1000-000009000000}" name="No. Of HH"/>
    <tableColumn id="10" xr3:uid="{00000000-0010-0000-1000-00000A000000}" name="Cost per Home passed(Phillipson)">
      <calculatedColumnFormula>I2/K2</calculatedColumnFormula>
    </tableColumn>
    <tableColumn id="11" xr3:uid="{00000000-0010-0000-1000-00000B000000}" name="Data r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24" displayName="Table24" ref="A1:K10" totalsRowShown="0" headerRowDxfId="171" dataDxfId="170" tableBorderDxfId="169">
  <autoFilter ref="A1:K10" xr:uid="{00000000-0009-0000-0100-000003000000}"/>
  <tableColumns count="11">
    <tableColumn id="1" xr3:uid="{00000000-0010-0000-0100-000001000000}" name="Position of component" dataDxfId="168"/>
    <tableColumn id="2" xr3:uid="{00000000-0010-0000-0100-000002000000}" name="Component Name" dataDxfId="167"/>
    <tableColumn id="3" xr3:uid="{00000000-0010-0000-0100-000003000000}" name="Cost per Unit (OASE)" dataDxfId="166"/>
    <tableColumn id="7" xr3:uid="{00000000-0010-0000-0100-000007000000}" name="Cost per Unit (Rokkas)" dataDxfId="165"/>
    <tableColumn id="6" xr3:uid="{00000000-0010-0000-0100-000006000000}" name="Cost per Unit(BSG)" dataDxfId="164"/>
    <tableColumn id="10" xr3:uid="{00000000-0010-0000-0100-00000A000000}" name="Cost per Unit(Phillipson)" dataDxfId="163"/>
    <tableColumn id="4" xr3:uid="{00000000-0010-0000-0100-000004000000}" name="Quantity" dataDxfId="162"/>
    <tableColumn id="5" xr3:uid="{00000000-0010-0000-0100-000005000000}" name="Component Cost" dataDxfId="161">
      <calculatedColumnFormula>Table24[[#This Row],[Cost per Unit (OASE)]]*Table24[[#This Row],[Quantity]]</calculatedColumnFormula>
    </tableColumn>
    <tableColumn id="8" xr3:uid="{00000000-0010-0000-0100-000008000000}" name="Component Cost(Rokkas)" dataDxfId="160">
      <calculatedColumnFormula>Table24[[#This Row],[Cost per Unit (Rokkas)]]*Table24[[#This Row],[Quantity]]</calculatedColumnFormula>
    </tableColumn>
    <tableColumn id="9" xr3:uid="{00000000-0010-0000-0100-000009000000}" name="Component Cost(BSG)" dataDxfId="159">
      <calculatedColumnFormula>Table24[[#This Row],[Cost per Unit(BSG)]]*Table24[[#This Row],[Quantity]]</calculatedColumnFormula>
    </tableColumn>
    <tableColumn id="11" xr3:uid="{00000000-0010-0000-0100-00000B000000}" name="Component Cost(Phillipson)" dataDxfId="158">
      <calculatedColumnFormula>Table24[[#This Row],[Cost per Unit(Phillipson)]]*Table24[[#This Row],[Quantity]]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245" displayName="Table245" ref="A1:K10" totalsRowShown="0" headerRowDxfId="157" dataDxfId="156" tableBorderDxfId="155">
  <autoFilter ref="A1:K10" xr:uid="{00000000-0009-0000-0100-000004000000}"/>
  <tableColumns count="11">
    <tableColumn id="1" xr3:uid="{00000000-0010-0000-0200-000001000000}" name="Position of component" dataDxfId="154"/>
    <tableColumn id="2" xr3:uid="{00000000-0010-0000-0200-000002000000}" name="Component Name" dataDxfId="153"/>
    <tableColumn id="3" xr3:uid="{00000000-0010-0000-0200-000003000000}" name="Cost per Unit (OASE)" dataDxfId="152"/>
    <tableColumn id="6" xr3:uid="{00000000-0010-0000-0200-000006000000}" name="Cost per Unit(Rokkas)" dataDxfId="151"/>
    <tableColumn id="8" xr3:uid="{00000000-0010-0000-0200-000008000000}" name="Cost per Unit(BSG)" dataDxfId="150"/>
    <tableColumn id="10" xr3:uid="{00000000-0010-0000-0200-00000A000000}" name="Cost per Unit(Phillipson)" dataDxfId="149"/>
    <tableColumn id="4" xr3:uid="{00000000-0010-0000-0200-000004000000}" name="Quantity" dataDxfId="148"/>
    <tableColumn id="5" xr3:uid="{00000000-0010-0000-0200-000005000000}" name="Component Cost(OASE)" dataDxfId="147">
      <calculatedColumnFormula>Table245[[#This Row],[Cost per Unit (OASE)]]*Table245[[#This Row],[Quantity]]</calculatedColumnFormula>
    </tableColumn>
    <tableColumn id="7" xr3:uid="{00000000-0010-0000-0200-000007000000}" name="Component Cost(Rokkas)" dataDxfId="146"/>
    <tableColumn id="9" xr3:uid="{00000000-0010-0000-0200-000009000000}" name="Component Cost(BSG)" dataDxfId="145">
      <calculatedColumnFormula>Table245[[#This Row],[Cost per Unit(BSG)]]*Table245[[#This Row],[Quantity]]</calculatedColumnFormula>
    </tableColumn>
    <tableColumn id="11" xr3:uid="{00000000-0010-0000-0200-00000B000000}" name="Component Cost(Phillipson)" dataDxfId="144">
      <calculatedColumnFormula>Table245[[#This Row],[Cost per Unit(Phillipson)]]*Table245[[#This Row],[Quantity]]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2456" displayName="Table2456" ref="A1:K10" totalsRowShown="0" headerRowDxfId="143" dataDxfId="142" tableBorderDxfId="141">
  <autoFilter ref="A1:K10" xr:uid="{00000000-0009-0000-0100-000005000000}"/>
  <tableColumns count="11">
    <tableColumn id="1" xr3:uid="{00000000-0010-0000-0300-000001000000}" name="Position of component" dataDxfId="140"/>
    <tableColumn id="2" xr3:uid="{00000000-0010-0000-0300-000002000000}" name="Component Name" dataDxfId="139"/>
    <tableColumn id="3" xr3:uid="{00000000-0010-0000-0300-000003000000}" name="Cost per Unit (OASE)" dataDxfId="138"/>
    <tableColumn id="6" xr3:uid="{00000000-0010-0000-0300-000006000000}" name="Cost per Unit(Rokkas)" dataDxfId="137"/>
    <tableColumn id="8" xr3:uid="{00000000-0010-0000-0300-000008000000}" name="Cost per Unit (BSG)" dataDxfId="136"/>
    <tableColumn id="10" xr3:uid="{00000000-0010-0000-0300-00000A000000}" name="Cost per Unit(Phillipson)" dataDxfId="135"/>
    <tableColumn id="4" xr3:uid="{00000000-0010-0000-0300-000004000000}" name="Quantity" dataDxfId="134"/>
    <tableColumn id="5" xr3:uid="{00000000-0010-0000-0300-000005000000}" name="Component Cost" dataDxfId="133">
      <calculatedColumnFormula>Table2456[[#This Row],[Cost per Unit (OASE)]]*Table2456[[#This Row],[Quantity]]</calculatedColumnFormula>
    </tableColumn>
    <tableColumn id="7" xr3:uid="{00000000-0010-0000-0300-000007000000}" name="Component Cost(Rokkas)" dataDxfId="132">
      <calculatedColumnFormula>Table2456[[#This Row],[Cost per Unit(Rokkas)]]*Table2456[[#This Row],[Quantity]]</calculatedColumnFormula>
    </tableColumn>
    <tableColumn id="9" xr3:uid="{00000000-0010-0000-0300-000009000000}" name="Component Cost(BSG)" dataDxfId="131">
      <calculatedColumnFormula>Table2456[[#This Row],[Cost per Unit (BSG)]]*Table2456[[#This Row],[Quantity]]</calculatedColumnFormula>
    </tableColumn>
    <tableColumn id="11" xr3:uid="{00000000-0010-0000-0300-00000B000000}" name="Component Cost(Phillipson)" dataDxfId="130">
      <calculatedColumnFormula>Table2456[[#This Row],[Cost per Unit(Phillipson)]]*Table2456[[#This Row],[Quantity]]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247" displayName="Table247" ref="A1:K10" totalsRowShown="0" headerRowDxfId="129" dataDxfId="128" tableBorderDxfId="127">
  <autoFilter ref="A1:K10" xr:uid="{00000000-0009-0000-0100-000006000000}"/>
  <tableColumns count="11">
    <tableColumn id="1" xr3:uid="{00000000-0010-0000-0400-000001000000}" name="Position of component" dataDxfId="126"/>
    <tableColumn id="2" xr3:uid="{00000000-0010-0000-0400-000002000000}" name="Component Name" dataDxfId="125"/>
    <tableColumn id="3" xr3:uid="{00000000-0010-0000-0400-000003000000}" name="Cost per Unit (OASE)" dataDxfId="124"/>
    <tableColumn id="6" xr3:uid="{00000000-0010-0000-0400-000006000000}" name="Cost per Unit (Rokkas)" dataDxfId="123"/>
    <tableColumn id="8" xr3:uid="{00000000-0010-0000-0400-000008000000}" name="Cost per Unit (BSG)" dataDxfId="122"/>
    <tableColumn id="10" xr3:uid="{00000000-0010-0000-0400-00000A000000}" name="Cost per Unit(Phillipson)" dataDxfId="121"/>
    <tableColumn id="4" xr3:uid="{00000000-0010-0000-0400-000004000000}" name="Quantity" dataDxfId="120"/>
    <tableColumn id="5" xr3:uid="{00000000-0010-0000-0400-000005000000}" name="Component Cost" dataDxfId="119">
      <calculatedColumnFormula>Table247[[#This Row],[Cost per Unit (OASE)]]*Table247[[#This Row],[Quantity]]</calculatedColumnFormula>
    </tableColumn>
    <tableColumn id="7" xr3:uid="{00000000-0010-0000-0400-000007000000}" name="Component Cost(Rokkas)" dataDxfId="118">
      <calculatedColumnFormula>Table247[[#This Row],[Cost per Unit (Rokkas)]]*Table247[[#This Row],[Quantity]]</calculatedColumnFormula>
    </tableColumn>
    <tableColumn id="9" xr3:uid="{00000000-0010-0000-0400-000009000000}" name="Component Cost(BSG)" dataDxfId="117">
      <calculatedColumnFormula>Table247[[#This Row],[Cost per Unit (BSG)]]*Table247[[#This Row],[Quantity]]</calculatedColumnFormula>
    </tableColumn>
    <tableColumn id="11" xr3:uid="{00000000-0010-0000-0400-00000B000000}" name="Component Cost(Phillipson)" dataDxfId="116">
      <calculatedColumnFormula>Table247[[#This Row],[Cost per Unit(Phillipson)]]*Table247[[#This Row],[Quantity]]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29" displayName="Table29" ref="A1:K11" totalsRowShown="0" headerRowDxfId="115" dataDxfId="114" tableBorderDxfId="113">
  <autoFilter ref="A1:K11" xr:uid="{00000000-0009-0000-0100-000008000000}"/>
  <tableColumns count="11">
    <tableColumn id="1" xr3:uid="{00000000-0010-0000-0500-000001000000}" name="Position of component" dataDxfId="112"/>
    <tableColumn id="2" xr3:uid="{00000000-0010-0000-0500-000002000000}" name="Component Name" dataDxfId="111"/>
    <tableColumn id="3" xr3:uid="{00000000-0010-0000-0500-000003000000}" name="Cost per Unit (OASE)" dataDxfId="110"/>
    <tableColumn id="6" xr3:uid="{00000000-0010-0000-0500-000006000000}" name="Cost per Unit (Rokkas)" dataDxfId="109"/>
    <tableColumn id="8" xr3:uid="{00000000-0010-0000-0500-000008000000}" name="Cost per Unit(BSG)" dataDxfId="108"/>
    <tableColumn id="10" xr3:uid="{00000000-0010-0000-0500-00000A000000}" name="Cost per Unit (Phillipson)" dataDxfId="107"/>
    <tableColumn id="4" xr3:uid="{00000000-0010-0000-0500-000004000000}" name="Quantity" dataDxfId="106"/>
    <tableColumn id="5" xr3:uid="{00000000-0010-0000-0500-000005000000}" name="Component Cost" dataDxfId="105">
      <calculatedColumnFormula>Table29[[#This Row],[Cost per Unit (OASE)]]*Table29[[#This Row],[Quantity]]</calculatedColumnFormula>
    </tableColumn>
    <tableColumn id="7" xr3:uid="{00000000-0010-0000-0500-000007000000}" name="Component Cost(Rokkas)" dataDxfId="104">
      <calculatedColumnFormula>D2*G2</calculatedColumnFormula>
    </tableColumn>
    <tableColumn id="9" xr3:uid="{00000000-0010-0000-0500-000009000000}" name="Component Cost(BSG)" dataDxfId="103">
      <calculatedColumnFormula>Table29[[#This Row],[Cost per Unit(BSG)]]*Table29[[#This Row],[Quantity]]</calculatedColumnFormula>
    </tableColumn>
    <tableColumn id="11" xr3:uid="{00000000-0010-0000-0500-00000B000000}" name="Component Cost(Phillipson)" dataDxfId="102">
      <calculatedColumnFormula>Table29[[#This Row],[Cost per Unit (Phillipson)]]*Table29[[#This Row],[Quantity]]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le2410" displayName="Table2410" ref="A1:K10" totalsRowShown="0" headerRowDxfId="101" dataDxfId="100" tableBorderDxfId="99">
  <autoFilter ref="A1:K10" xr:uid="{00000000-0009-0000-0100-000009000000}"/>
  <tableColumns count="11">
    <tableColumn id="1" xr3:uid="{00000000-0010-0000-0600-000001000000}" name="Position of component" dataDxfId="98"/>
    <tableColumn id="2" xr3:uid="{00000000-0010-0000-0600-000002000000}" name="Component Name" dataDxfId="97"/>
    <tableColumn id="3" xr3:uid="{00000000-0010-0000-0600-000003000000}" name="Cost per Unit (OASE)" dataDxfId="96"/>
    <tableColumn id="6" xr3:uid="{00000000-0010-0000-0600-000006000000}" name="Cost per Unit (Rokkas)" dataDxfId="95"/>
    <tableColumn id="8" xr3:uid="{00000000-0010-0000-0600-000008000000}" name="Cost per Unit(BSG)" dataDxfId="94"/>
    <tableColumn id="10" xr3:uid="{00000000-0010-0000-0600-00000A000000}" name="Cost per Unit(Phillipson)" dataDxfId="93"/>
    <tableColumn id="4" xr3:uid="{00000000-0010-0000-0600-000004000000}" name="Quantity" dataDxfId="92"/>
    <tableColumn id="5" xr3:uid="{00000000-0010-0000-0600-000005000000}" name="Component Cost" dataDxfId="91">
      <calculatedColumnFormula>Table2410[[#This Row],[Cost per Unit (OASE)]]*Table2410[[#This Row],[Quantity]]</calculatedColumnFormula>
    </tableColumn>
    <tableColumn id="7" xr3:uid="{00000000-0010-0000-0600-000007000000}" name="Component Cost(Rokkas)" dataDxfId="90">
      <calculatedColumnFormula>Table2410[[#This Row],[Cost per Unit (Rokkas)]]*Table2410[[#This Row],[Quantity]]</calculatedColumnFormula>
    </tableColumn>
    <tableColumn id="9" xr3:uid="{00000000-0010-0000-0600-000009000000}" name="Component Cost(BSG)" dataDxfId="89">
      <calculatedColumnFormula>Table2410[[#This Row],[Cost per Unit(BSG)]]*Table2410[[#This Row],[Quantity]]</calculatedColumnFormula>
    </tableColumn>
    <tableColumn id="11" xr3:uid="{00000000-0010-0000-0600-00000B000000}" name="Component Cost(Phillipson)" dataDxfId="88">
      <calculatedColumnFormula>Table2410[[#This Row],[Cost per Unit(Phillipson)]]*Table2410[[#This Row],[Quantity]]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7000000}" name="Table24511" displayName="Table24511" ref="A1:K10" totalsRowShown="0" headerRowDxfId="87" dataDxfId="86" tableBorderDxfId="85">
  <autoFilter ref="A1:K10" xr:uid="{00000000-0009-0000-0100-00000A000000}"/>
  <tableColumns count="11">
    <tableColumn id="1" xr3:uid="{00000000-0010-0000-0700-000001000000}" name="Position of component" dataDxfId="84"/>
    <tableColumn id="2" xr3:uid="{00000000-0010-0000-0700-000002000000}" name="Component Name" dataDxfId="83"/>
    <tableColumn id="3" xr3:uid="{00000000-0010-0000-0700-000003000000}" name="Cost per Unit (OASE)" dataDxfId="82"/>
    <tableColumn id="6" xr3:uid="{00000000-0010-0000-0700-000006000000}" name="Cost per Unit(Rokkas)" dataDxfId="81"/>
    <tableColumn id="8" xr3:uid="{00000000-0010-0000-0700-000008000000}" name="Cost per Unit(BSG)" dataDxfId="80"/>
    <tableColumn id="10" xr3:uid="{00000000-0010-0000-0700-00000A000000}" name="Cost per Unit(Phillipson)" dataDxfId="79"/>
    <tableColumn id="4" xr3:uid="{00000000-0010-0000-0700-000004000000}" name="Quantity" dataDxfId="78"/>
    <tableColumn id="5" xr3:uid="{00000000-0010-0000-0700-000005000000}" name="Component Cost" dataDxfId="77">
      <calculatedColumnFormula>Table24511[[#This Row],[Cost per Unit (OASE)]]*Table24511[[#This Row],[Quantity]]</calculatedColumnFormula>
    </tableColumn>
    <tableColumn id="7" xr3:uid="{00000000-0010-0000-0700-000007000000}" name="Component Cost(Rokkas)" dataDxfId="76">
      <calculatedColumnFormula>Table24511[[#This Row],[Cost per Unit(Rokkas)]]*Table24511[[#This Row],[Quantity]]</calculatedColumnFormula>
    </tableColumn>
    <tableColumn id="9" xr3:uid="{00000000-0010-0000-0700-000009000000}" name="Component Cost(BSG)" dataDxfId="75">
      <calculatedColumnFormula>Table24511[[#This Row],[Cost per Unit(BSG)]]*Table24511[[#This Row],[Quantity]]</calculatedColumnFormula>
    </tableColumn>
    <tableColumn id="11" xr3:uid="{00000000-0010-0000-0700-00000B000000}" name="Component Cost(Phillipson)" dataDxfId="74">
      <calculatedColumnFormula>Table24511[[#This Row],[Cost per Unit(Phillipson)]]*Table24511[[#This Row],[Quantity]]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12" displayName="Table212" ref="A1:K10" totalsRowShown="0" headerRowDxfId="73" dataDxfId="72" tableBorderDxfId="71">
  <autoFilter ref="A1:K10" xr:uid="{00000000-0009-0000-0100-00000B000000}"/>
  <tableColumns count="11">
    <tableColumn id="1" xr3:uid="{00000000-0010-0000-0800-000001000000}" name="Position of component" dataDxfId="70"/>
    <tableColumn id="2" xr3:uid="{00000000-0010-0000-0800-000002000000}" name="Component Name" dataDxfId="69"/>
    <tableColumn id="3" xr3:uid="{00000000-0010-0000-0800-000003000000}" name="Cost per Unit (OASE)" dataDxfId="68"/>
    <tableColumn id="6" xr3:uid="{00000000-0010-0000-0800-000006000000}" name="Cost per Unit (Rokkas)" dataDxfId="67"/>
    <tableColumn id="8" xr3:uid="{00000000-0010-0000-0800-000008000000}" name="Cost per Unit (BSG)" dataDxfId="66"/>
    <tableColumn id="10" xr3:uid="{00000000-0010-0000-0800-00000A000000}" name="Cost per Unit(Phillipson)" dataDxfId="65"/>
    <tableColumn id="4" xr3:uid="{00000000-0010-0000-0800-000004000000}" name="Quantity" dataDxfId="64"/>
    <tableColumn id="5" xr3:uid="{00000000-0010-0000-0800-000005000000}" name="Component Cost" dataDxfId="63">
      <calculatedColumnFormula>Table212[[#This Row],[Cost per Unit (OASE)]]*Table212[[#This Row],[Quantity]]</calculatedColumnFormula>
    </tableColumn>
    <tableColumn id="7" xr3:uid="{00000000-0010-0000-0800-000007000000}" name="Component Cost(Rokkas)" dataDxfId="62">
      <calculatedColumnFormula>Table212[[#This Row],[Cost per Unit (Rokkas)]]*Table212[[#This Row],[Quantity]]</calculatedColumnFormula>
    </tableColumn>
    <tableColumn id="9" xr3:uid="{00000000-0010-0000-0800-000009000000}" name="Component Cost(BSG)" dataDxfId="61">
      <calculatedColumnFormula>Table212[[#This Row],[Cost per Unit (BSG)]]*Table212[[#This Row],[Quantity]]</calculatedColumnFormula>
    </tableColumn>
    <tableColumn id="11" xr3:uid="{00000000-0010-0000-0800-00000B000000}" name="Component Cost(Phillipson)" dataDxfId="60">
      <calculatedColumnFormula>Table212[[#This Row],[Cost per Unit(Phillipson)]]*Table212[[#This Row],[Quantity]]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eeexplore.ieee.org/document/7347221/" TargetMode="External"/><Relationship Id="rId1" Type="http://schemas.openxmlformats.org/officeDocument/2006/relationships/hyperlink" Target="https://ieeexplore.ieee.org/xpl/mostRecentIssue.jsp?punumber=7347193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opLeftCell="A7" workbookViewId="0">
      <selection activeCell="B11" sqref="B11"/>
    </sheetView>
  </sheetViews>
  <sheetFormatPr defaultRowHeight="14.5" x14ac:dyDescent="0.35"/>
  <cols>
    <col min="1" max="1" width="35.7265625" customWidth="1"/>
    <col min="2" max="2" width="79" customWidth="1"/>
    <col min="3" max="3" width="36.81640625" customWidth="1"/>
    <col min="4" max="4" width="36.1796875" customWidth="1"/>
    <col min="5" max="5" width="40.81640625" customWidth="1"/>
    <col min="6" max="6" width="18" customWidth="1"/>
    <col min="7" max="7" width="19" customWidth="1"/>
    <col min="8" max="8" width="25.453125" customWidth="1"/>
  </cols>
  <sheetData>
    <row r="1" spans="1:8" x14ac:dyDescent="0.35">
      <c r="A1" t="s">
        <v>0</v>
      </c>
      <c r="B1" t="s">
        <v>9</v>
      </c>
      <c r="C1" t="s">
        <v>4</v>
      </c>
      <c r="D1" t="s">
        <v>5</v>
      </c>
      <c r="E1" t="s">
        <v>10</v>
      </c>
      <c r="F1" t="s">
        <v>7</v>
      </c>
      <c r="G1" t="s">
        <v>8</v>
      </c>
      <c r="H1" t="s">
        <v>14</v>
      </c>
    </row>
    <row r="2" spans="1:8" x14ac:dyDescent="0.35">
      <c r="A2" t="s">
        <v>6</v>
      </c>
      <c r="B2" t="s">
        <v>12</v>
      </c>
      <c r="C2" s="1">
        <v>27</v>
      </c>
      <c r="D2" s="2">
        <v>0.3</v>
      </c>
      <c r="E2" t="s">
        <v>11</v>
      </c>
      <c r="F2">
        <v>11000</v>
      </c>
      <c r="G2">
        <v>2500</v>
      </c>
      <c r="H2">
        <v>250</v>
      </c>
    </row>
    <row r="3" spans="1:8" x14ac:dyDescent="0.35">
      <c r="A3" t="s">
        <v>15</v>
      </c>
      <c r="B3" t="s">
        <v>13</v>
      </c>
      <c r="C3" s="2">
        <v>19.5</v>
      </c>
      <c r="D3" s="2">
        <v>0.3</v>
      </c>
      <c r="E3" t="s">
        <v>11</v>
      </c>
      <c r="F3">
        <v>11000</v>
      </c>
      <c r="G3">
        <v>2500</v>
      </c>
      <c r="H3">
        <v>250</v>
      </c>
    </row>
    <row r="4" spans="1:8" ht="29" x14ac:dyDescent="0.35">
      <c r="A4" s="3" t="s">
        <v>17</v>
      </c>
      <c r="B4" t="s">
        <v>16</v>
      </c>
      <c r="C4" t="s">
        <v>11</v>
      </c>
      <c r="D4" t="s">
        <v>11</v>
      </c>
      <c r="E4">
        <f>(15)*1000</f>
        <v>15000</v>
      </c>
      <c r="F4">
        <v>250</v>
      </c>
      <c r="G4">
        <v>0</v>
      </c>
      <c r="H4">
        <f>(15)*1000</f>
        <v>15000</v>
      </c>
    </row>
    <row r="8" spans="1:8" x14ac:dyDescent="0.35">
      <c r="A8" t="s">
        <v>92</v>
      </c>
    </row>
    <row r="10" spans="1:8" x14ac:dyDescent="0.35">
      <c r="A10" t="s">
        <v>93</v>
      </c>
      <c r="B10" t="s">
        <v>96</v>
      </c>
      <c r="C10" t="s">
        <v>95</v>
      </c>
      <c r="D10" t="s">
        <v>94</v>
      </c>
      <c r="E10" t="s">
        <v>100</v>
      </c>
    </row>
    <row r="11" spans="1:8" ht="180" x14ac:dyDescent="0.35">
      <c r="A11" s="25" t="s">
        <v>98</v>
      </c>
      <c r="B11" s="26" t="s">
        <v>97</v>
      </c>
      <c r="C11" t="s">
        <v>101</v>
      </c>
      <c r="D11" s="32">
        <v>42348</v>
      </c>
      <c r="E11" s="26" t="s">
        <v>99</v>
      </c>
    </row>
    <row r="12" spans="1:8" ht="90" x14ac:dyDescent="0.35">
      <c r="A12" s="25" t="s">
        <v>102</v>
      </c>
      <c r="B12" t="s">
        <v>103</v>
      </c>
      <c r="C12" t="s">
        <v>104</v>
      </c>
      <c r="D12" s="27">
        <v>41161</v>
      </c>
      <c r="E12" t="s">
        <v>105</v>
      </c>
    </row>
    <row r="13" spans="1:8" ht="112.5" x14ac:dyDescent="0.35">
      <c r="A13" s="25" t="s">
        <v>114</v>
      </c>
      <c r="B13" t="s">
        <v>117</v>
      </c>
      <c r="C13" t="s">
        <v>116</v>
      </c>
      <c r="D13" s="27">
        <v>41589</v>
      </c>
      <c r="E13" t="s">
        <v>115</v>
      </c>
    </row>
  </sheetData>
  <hyperlinks>
    <hyperlink ref="E11" r:id="rId1" display="https://ieeexplore.ieee.org/xpl/mostRecentIssue.jsp?punumber=7347193" xr:uid="{00000000-0004-0000-0000-000000000000}"/>
    <hyperlink ref="B11" r:id="rId2" xr:uid="{00000000-0004-0000-0000-000001000000}"/>
  </hyperlinks>
  <pageMargins left="0.7" right="0.7" top="0.75" bottom="0.75" header="0.3" footer="0.3"/>
  <pageSetup paperSize="9" orientation="portrait" verticalDpi="0" r:id="rId3"/>
  <headerFooter>
    <oddFooter>&amp;LUnrestricted</oddFooter>
  </headerFooter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8"/>
  <sheetViews>
    <sheetView workbookViewId="0">
      <selection activeCell="G10" sqref="G10"/>
    </sheetView>
  </sheetViews>
  <sheetFormatPr defaultColWidth="9.1796875" defaultRowHeight="14.5" x14ac:dyDescent="0.35"/>
  <cols>
    <col min="1" max="1" width="29.26953125" style="13" customWidth="1"/>
    <col min="2" max="2" width="38" style="13" customWidth="1"/>
    <col min="3" max="3" width="21.26953125" style="13" customWidth="1"/>
    <col min="4" max="4" width="18" style="13" customWidth="1"/>
    <col min="5" max="5" width="17.81640625" style="13" customWidth="1"/>
    <col min="6" max="6" width="23.81640625" style="24" customWidth="1"/>
    <col min="7" max="7" width="16.54296875" style="13" customWidth="1"/>
    <col min="8" max="16384" width="9.1796875" style="13"/>
  </cols>
  <sheetData>
    <row r="1" spans="1:11" x14ac:dyDescent="0.35">
      <c r="A1" s="7" t="s">
        <v>18</v>
      </c>
      <c r="B1" s="7" t="s">
        <v>19</v>
      </c>
      <c r="C1" s="7" t="s">
        <v>20</v>
      </c>
      <c r="D1" s="7" t="s">
        <v>85</v>
      </c>
      <c r="E1" s="7" t="s">
        <v>109</v>
      </c>
      <c r="F1" s="7" t="s">
        <v>120</v>
      </c>
      <c r="G1" s="7" t="s">
        <v>21</v>
      </c>
      <c r="H1" s="7" t="s">
        <v>22</v>
      </c>
      <c r="I1" s="7" t="s">
        <v>81</v>
      </c>
      <c r="J1" s="7" t="s">
        <v>107</v>
      </c>
      <c r="K1" s="34" t="s">
        <v>119</v>
      </c>
    </row>
    <row r="2" spans="1:11" x14ac:dyDescent="0.35">
      <c r="A2" s="6" t="s">
        <v>27</v>
      </c>
      <c r="B2" s="6" t="s">
        <v>41</v>
      </c>
      <c r="C2" s="4">
        <v>16</v>
      </c>
      <c r="D2" s="4">
        <v>0</v>
      </c>
      <c r="E2" s="4">
        <v>0</v>
      </c>
      <c r="F2" s="4">
        <v>0</v>
      </c>
      <c r="G2" s="4">
        <v>8</v>
      </c>
      <c r="H2" s="4">
        <f>Table24511[[#This Row],[Cost per Unit (OASE)]]*Table24511[[#This Row],[Quantity]]</f>
        <v>128</v>
      </c>
      <c r="I2" s="12">
        <f>Table24511[[#This Row],[Cost per Unit(Rokkas)]]*Table24511[[#This Row],[Quantity]]</f>
        <v>0</v>
      </c>
      <c r="J2" s="12">
        <f>Table24511[[#This Row],[Cost per Unit(BSG)]]*Table24511[[#This Row],[Quantity]]</f>
        <v>0</v>
      </c>
      <c r="K2" s="35">
        <f>Table24511[[#This Row],[Cost per Unit(Phillipson)]]*Table24511[[#This Row],[Quantity]]</f>
        <v>0</v>
      </c>
    </row>
    <row r="3" spans="1:11" x14ac:dyDescent="0.35">
      <c r="A3" s="6" t="s">
        <v>27</v>
      </c>
      <c r="B3" s="6" t="s">
        <v>42</v>
      </c>
      <c r="C3" s="4">
        <v>17</v>
      </c>
      <c r="D3" s="4">
        <f>10000/50</f>
        <v>200</v>
      </c>
      <c r="E3" s="4">
        <v>300</v>
      </c>
      <c r="F3" s="4">
        <v>60</v>
      </c>
      <c r="G3" s="4">
        <v>140</v>
      </c>
      <c r="H3" s="4">
        <f>Table24511[[#This Row],[Cost per Unit (OASE)]]*Table24511[[#This Row],[Quantity]]</f>
        <v>2380</v>
      </c>
      <c r="I3" s="12">
        <f>Table24511[[#This Row],[Cost per Unit(Rokkas)]]*Table24511[[#This Row],[Quantity]]</f>
        <v>28000</v>
      </c>
      <c r="J3" s="12">
        <f>Table24511[[#This Row],[Cost per Unit(BSG)]]*Table24511[[#This Row],[Quantity]]</f>
        <v>42000</v>
      </c>
      <c r="K3" s="35">
        <f>Table24511[[#This Row],[Cost per Unit(Phillipson)]]*Table24511[[#This Row],[Quantity]]</f>
        <v>8400</v>
      </c>
    </row>
    <row r="4" spans="1:11" x14ac:dyDescent="0.35">
      <c r="A4" s="6" t="s">
        <v>27</v>
      </c>
      <c r="B4" s="6" t="s">
        <v>43</v>
      </c>
      <c r="C4" s="4">
        <v>63</v>
      </c>
      <c r="D4" s="4">
        <v>0</v>
      </c>
      <c r="E4" s="4">
        <v>0</v>
      </c>
      <c r="F4" s="4">
        <v>0</v>
      </c>
      <c r="G4" s="4">
        <v>140</v>
      </c>
      <c r="H4" s="4">
        <f>Table24511[[#This Row],[Cost per Unit (OASE)]]*Table24511[[#This Row],[Quantity]]</f>
        <v>8820</v>
      </c>
      <c r="I4" s="12">
        <f>Table24511[[#This Row],[Cost per Unit(Rokkas)]]*Table24511[[#This Row],[Quantity]]</f>
        <v>0</v>
      </c>
      <c r="J4" s="12">
        <f>Table24511[[#This Row],[Cost per Unit(BSG)]]*Table24511[[#This Row],[Quantity]]</f>
        <v>0</v>
      </c>
      <c r="K4" s="35">
        <f>Table24511[[#This Row],[Cost per Unit(Phillipson)]]*Table24511[[#This Row],[Quantity]]</f>
        <v>0</v>
      </c>
    </row>
    <row r="5" spans="1:11" x14ac:dyDescent="0.35">
      <c r="A5" s="6" t="s">
        <v>27</v>
      </c>
      <c r="B5" s="6" t="s">
        <v>44</v>
      </c>
      <c r="C5" s="4">
        <v>2.2999999999999998</v>
      </c>
      <c r="D5" s="4">
        <v>0</v>
      </c>
      <c r="E5" s="4">
        <v>0</v>
      </c>
      <c r="F5" s="4">
        <v>0</v>
      </c>
      <c r="G5" s="4">
        <v>140</v>
      </c>
      <c r="H5" s="4">
        <f>Table24511[[#This Row],[Cost per Unit (OASE)]]*Table24511[[#This Row],[Quantity]]</f>
        <v>322</v>
      </c>
      <c r="I5" s="12">
        <f>Table24511[[#This Row],[Cost per Unit(Rokkas)]]*Table24511[[#This Row],[Quantity]]</f>
        <v>0</v>
      </c>
      <c r="J5" s="12">
        <f>Table24511[[#This Row],[Cost per Unit(BSG)]]*Table24511[[#This Row],[Quantity]]</f>
        <v>0</v>
      </c>
      <c r="K5" s="35">
        <f>Table24511[[#This Row],[Cost per Unit(Phillipson)]]*Table24511[[#This Row],[Quantity]]</f>
        <v>0</v>
      </c>
    </row>
    <row r="6" spans="1:11" x14ac:dyDescent="0.35">
      <c r="A6" s="6" t="s">
        <v>27</v>
      </c>
      <c r="B6" s="6" t="s">
        <v>45</v>
      </c>
      <c r="C6" s="4">
        <f>0.1/4.5</f>
        <v>2.2222222222222223E-2</v>
      </c>
      <c r="D6" s="4">
        <v>0</v>
      </c>
      <c r="E6" s="4">
        <v>0</v>
      </c>
      <c r="F6" s="4">
        <v>0</v>
      </c>
      <c r="G6" s="4">
        <v>3120</v>
      </c>
      <c r="H6" s="4">
        <f>Table24511[[#This Row],[Cost per Unit (OASE)]]*Table24511[[#This Row],[Quantity]]</f>
        <v>69.333333333333343</v>
      </c>
      <c r="I6" s="12">
        <f>Table24511[[#This Row],[Cost per Unit(Rokkas)]]*Table24511[[#This Row],[Quantity]]</f>
        <v>0</v>
      </c>
      <c r="J6" s="12">
        <f>Table24511[[#This Row],[Cost per Unit(BSG)]]*Table24511[[#This Row],[Quantity]]</f>
        <v>0</v>
      </c>
      <c r="K6" s="35">
        <f>Table24511[[#This Row],[Cost per Unit(Phillipson)]]*Table24511[[#This Row],[Quantity]]</f>
        <v>0</v>
      </c>
    </row>
    <row r="7" spans="1:11" x14ac:dyDescent="0.35">
      <c r="A7" s="6" t="s">
        <v>27</v>
      </c>
      <c r="B7" s="6" t="s">
        <v>46</v>
      </c>
      <c r="C7" s="4">
        <v>400</v>
      </c>
      <c r="D7" s="4">
        <v>3000</v>
      </c>
      <c r="E7" s="4">
        <v>200</v>
      </c>
      <c r="F7" s="4">
        <v>0</v>
      </c>
      <c r="G7" s="4">
        <v>2</v>
      </c>
      <c r="H7" s="4">
        <f>Table24511[[#This Row],[Cost per Unit (OASE)]]*Table24511[[#This Row],[Quantity]]</f>
        <v>800</v>
      </c>
      <c r="I7" s="12">
        <f>Table24511[[#This Row],[Cost per Unit(Rokkas)]]*Table24511[[#This Row],[Quantity]]</f>
        <v>6000</v>
      </c>
      <c r="J7" s="12">
        <f>Table24511[[#This Row],[Cost per Unit(BSG)]]*Table24511[[#This Row],[Quantity]]</f>
        <v>400</v>
      </c>
      <c r="K7" s="35">
        <f>Table24511[[#This Row],[Cost per Unit(Phillipson)]]*Table24511[[#This Row],[Quantity]]</f>
        <v>0</v>
      </c>
    </row>
    <row r="8" spans="1:11" x14ac:dyDescent="0.35">
      <c r="A8" s="6" t="s">
        <v>28</v>
      </c>
      <c r="B8" s="6" t="s">
        <v>47</v>
      </c>
      <c r="C8" s="4">
        <f>80*0.3</f>
        <v>24</v>
      </c>
      <c r="D8" s="4">
        <f>200/50</f>
        <v>4</v>
      </c>
      <c r="E8" s="4">
        <v>2</v>
      </c>
      <c r="F8" s="4">
        <v>20</v>
      </c>
      <c r="G8" s="4">
        <v>140</v>
      </c>
      <c r="H8" s="4">
        <f>Table24511[[#This Row],[Cost per Unit (OASE)]]*Table24511[[#This Row],[Quantity]]</f>
        <v>3360</v>
      </c>
      <c r="I8" s="12">
        <f>Table24511[[#This Row],[Cost per Unit(Rokkas)]]*Table24511[[#This Row],[Quantity]]</f>
        <v>560</v>
      </c>
      <c r="J8" s="12">
        <f>Table24511[[#This Row],[Cost per Unit(BSG)]]*Table24511[[#This Row],[Quantity]]</f>
        <v>280</v>
      </c>
      <c r="K8" s="35">
        <f>Table24511[[#This Row],[Cost per Unit(Phillipson)]]*Table24511[[#This Row],[Quantity]]</f>
        <v>2800</v>
      </c>
    </row>
    <row r="9" spans="1:11" x14ac:dyDescent="0.35">
      <c r="A9" s="6" t="s">
        <v>32</v>
      </c>
      <c r="B9" s="6" t="s">
        <v>63</v>
      </c>
      <c r="C9" s="4">
        <v>10</v>
      </c>
      <c r="D9" s="4">
        <v>10</v>
      </c>
      <c r="E9" s="4">
        <v>24</v>
      </c>
      <c r="F9" s="4">
        <v>10</v>
      </c>
      <c r="G9" s="4">
        <v>10000</v>
      </c>
      <c r="H9" s="4">
        <f>Table24511[[#This Row],[Cost per Unit (OASE)]]*Table24511[[#This Row],[Quantity]]</f>
        <v>100000</v>
      </c>
      <c r="I9" s="12">
        <f>Table24511[[#This Row],[Cost per Unit(Rokkas)]]*Table24511[[#This Row],[Quantity]]</f>
        <v>100000</v>
      </c>
      <c r="J9" s="12">
        <f>Table24511[[#This Row],[Cost per Unit(BSG)]]*Table24511[[#This Row],[Quantity]]</f>
        <v>240000</v>
      </c>
      <c r="K9" s="35">
        <f>Table24511[[#This Row],[Cost per Unit(Phillipson)]]*Table24511[[#This Row],[Quantity]]</f>
        <v>100000</v>
      </c>
    </row>
    <row r="10" spans="1:11" x14ac:dyDescent="0.35">
      <c r="A10" s="6" t="s">
        <v>32</v>
      </c>
      <c r="B10" s="6" t="s">
        <v>40</v>
      </c>
      <c r="C10" s="4">
        <v>1.86</v>
      </c>
      <c r="D10" s="4">
        <f>250/50</f>
        <v>5</v>
      </c>
      <c r="E10" s="4">
        <f>135/50</f>
        <v>2.7</v>
      </c>
      <c r="F10" s="4">
        <v>5</v>
      </c>
      <c r="G10" s="4">
        <v>10000</v>
      </c>
      <c r="H10" s="4">
        <f>Table24511[[#This Row],[Cost per Unit (OASE)]]*Table24511[[#This Row],[Quantity]]</f>
        <v>18600</v>
      </c>
      <c r="I10" s="12">
        <f>Table24511[[#This Row],[Cost per Unit(Rokkas)]]*Table24511[[#This Row],[Quantity]]</f>
        <v>50000</v>
      </c>
      <c r="J10" s="12">
        <f>Table24511[[#This Row],[Cost per Unit(BSG)]]*Table24511[[#This Row],[Quantity]]</f>
        <v>27000</v>
      </c>
      <c r="K10" s="35">
        <f>Table24511[[#This Row],[Cost per Unit(Phillipson)]]*Table24511[[#This Row],[Quantity]]</f>
        <v>50000</v>
      </c>
    </row>
    <row r="13" spans="1:11" x14ac:dyDescent="0.35">
      <c r="A13" s="13" t="s">
        <v>82</v>
      </c>
      <c r="B13" s="13" t="s">
        <v>35</v>
      </c>
      <c r="C13" s="13" t="s">
        <v>36</v>
      </c>
      <c r="D13" s="13" t="s">
        <v>37</v>
      </c>
      <c r="E13" s="13" t="s">
        <v>34</v>
      </c>
    </row>
    <row r="14" spans="1:11" ht="15" thickBot="1" x14ac:dyDescent="0.4">
      <c r="A14" s="13" t="s">
        <v>83</v>
      </c>
      <c r="B14" s="14">
        <f>SUM(H2:H7)</f>
        <v>12519.333333333334</v>
      </c>
      <c r="C14" s="14">
        <f>SUM(H8:H8)</f>
        <v>3360</v>
      </c>
      <c r="D14" s="10">
        <f>SUM(H9:H10)</f>
        <v>118600</v>
      </c>
      <c r="E14" s="5">
        <f>SUM(B14:D14)</f>
        <v>134479.33333333334</v>
      </c>
      <c r="F14" s="5"/>
    </row>
    <row r="15" spans="1:11" ht="15.5" thickTop="1" thickBot="1" x14ac:dyDescent="0.4">
      <c r="A15" s="13" t="s">
        <v>84</v>
      </c>
      <c r="B15" s="13">
        <f>SUM(I2:I7)</f>
        <v>34000</v>
      </c>
      <c r="C15" s="13">
        <f>SUM(I8)</f>
        <v>560</v>
      </c>
      <c r="D15" s="13">
        <f>SUM(I9:I10)</f>
        <v>150000</v>
      </c>
      <c r="E15" s="5">
        <f>SUM(B15:D15)</f>
        <v>184560</v>
      </c>
      <c r="F15" s="5"/>
    </row>
    <row r="16" spans="1:11" ht="15.5" thickTop="1" thickBot="1" x14ac:dyDescent="0.4">
      <c r="A16" s="13" t="s">
        <v>108</v>
      </c>
      <c r="B16" s="13">
        <f>SUM(J2:J7)</f>
        <v>42400</v>
      </c>
      <c r="C16" s="13">
        <f>SUM(J8)</f>
        <v>280</v>
      </c>
      <c r="D16" s="13">
        <f>SUM(J9:J10)</f>
        <v>267000</v>
      </c>
      <c r="E16" s="5">
        <f>SUM(B16:D16)</f>
        <v>309680</v>
      </c>
      <c r="F16" s="5"/>
    </row>
    <row r="17" spans="1:5" ht="15.5" thickTop="1" thickBot="1" x14ac:dyDescent="0.4">
      <c r="A17" s="13" t="s">
        <v>6</v>
      </c>
      <c r="B17" s="24">
        <f>SUM(K2:K7)</f>
        <v>8400</v>
      </c>
      <c r="C17" s="24">
        <f>SUM(K8)</f>
        <v>2800</v>
      </c>
      <c r="D17" s="24">
        <f>SUM(K9:K10)</f>
        <v>150000</v>
      </c>
      <c r="E17" s="5">
        <f>SUM(B17:D17)</f>
        <v>161200</v>
      </c>
    </row>
    <row r="18" spans="1:5" ht="15" thickTop="1" x14ac:dyDescent="0.35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0"/>
  <sheetViews>
    <sheetView workbookViewId="0">
      <selection activeCell="E9" sqref="E9"/>
    </sheetView>
  </sheetViews>
  <sheetFormatPr defaultColWidth="9.1796875" defaultRowHeight="14.5" x14ac:dyDescent="0.35"/>
  <cols>
    <col min="1" max="1" width="29.26953125" style="19" customWidth="1"/>
    <col min="2" max="2" width="38" style="19" customWidth="1"/>
    <col min="3" max="3" width="21.26953125" style="19" customWidth="1"/>
    <col min="4" max="4" width="21.26953125" style="21" customWidth="1"/>
    <col min="5" max="6" width="21.26953125" style="24" customWidth="1"/>
    <col min="7" max="7" width="18" style="19" customWidth="1"/>
    <col min="8" max="8" width="17.81640625" style="19" customWidth="1"/>
    <col min="9" max="16384" width="9.1796875" style="19"/>
  </cols>
  <sheetData>
    <row r="1" spans="1:11" x14ac:dyDescent="0.35">
      <c r="A1" s="7" t="s">
        <v>18</v>
      </c>
      <c r="B1" s="7" t="s">
        <v>19</v>
      </c>
      <c r="C1" s="7" t="s">
        <v>20</v>
      </c>
      <c r="D1" s="7" t="s">
        <v>80</v>
      </c>
      <c r="E1" s="7" t="s">
        <v>106</v>
      </c>
      <c r="F1" s="7" t="s">
        <v>120</v>
      </c>
      <c r="G1" s="7" t="s">
        <v>21</v>
      </c>
      <c r="H1" s="7" t="s">
        <v>22</v>
      </c>
      <c r="I1" s="7" t="s">
        <v>81</v>
      </c>
      <c r="J1" s="7" t="s">
        <v>107</v>
      </c>
      <c r="K1" s="34" t="s">
        <v>119</v>
      </c>
    </row>
    <row r="2" spans="1:11" x14ac:dyDescent="0.35">
      <c r="A2" s="6" t="s">
        <v>27</v>
      </c>
      <c r="B2" s="6" t="s">
        <v>23</v>
      </c>
      <c r="C2" s="4">
        <v>80</v>
      </c>
      <c r="D2" s="4">
        <v>140</v>
      </c>
      <c r="E2" s="4">
        <v>300</v>
      </c>
      <c r="F2" s="4">
        <v>50</v>
      </c>
      <c r="G2" s="4">
        <v>44</v>
      </c>
      <c r="H2" s="4">
        <f>Table212[[#This Row],[Cost per Unit (OASE)]]*Table212[[#This Row],[Quantity]]</f>
        <v>3520</v>
      </c>
      <c r="I2" s="12">
        <f>Table212[[#This Row],[Cost per Unit (Rokkas)]]*Table212[[#This Row],[Quantity]]</f>
        <v>6160</v>
      </c>
      <c r="J2" s="12">
        <f>Table212[[#This Row],[Cost per Unit (BSG)]]*Table212[[#This Row],[Quantity]]</f>
        <v>13200</v>
      </c>
      <c r="K2" s="35">
        <f>Table212[[#This Row],[Cost per Unit(Phillipson)]]*Table212[[#This Row],[Quantity]]</f>
        <v>2200</v>
      </c>
    </row>
    <row r="3" spans="1:11" x14ac:dyDescent="0.35">
      <c r="A3" s="6" t="s">
        <v>27</v>
      </c>
      <c r="B3" s="6" t="s">
        <v>76</v>
      </c>
      <c r="C3" s="4">
        <v>40</v>
      </c>
      <c r="D3" s="4">
        <f>200/50</f>
        <v>4</v>
      </c>
      <c r="E3" s="4">
        <v>0</v>
      </c>
      <c r="F3" s="4">
        <v>0</v>
      </c>
      <c r="G3" s="4">
        <v>10</v>
      </c>
      <c r="H3" s="4">
        <f>Table212[[#This Row],[Cost per Unit (OASE)]]*Table212[[#This Row],[Quantity]]</f>
        <v>400</v>
      </c>
      <c r="I3" s="12">
        <f>Table212[[#This Row],[Cost per Unit (Rokkas)]]*Table212[[#This Row],[Quantity]]</f>
        <v>40</v>
      </c>
      <c r="J3" s="12">
        <f>Table212[[#This Row],[Cost per Unit (BSG)]]*Table212[[#This Row],[Quantity]]</f>
        <v>0</v>
      </c>
      <c r="K3" s="35">
        <f>Table212[[#This Row],[Cost per Unit(Phillipson)]]*Table212[[#This Row],[Quantity]]</f>
        <v>0</v>
      </c>
    </row>
    <row r="4" spans="1:11" x14ac:dyDescent="0.35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800</v>
      </c>
      <c r="H4" s="4">
        <f>Table212[[#This Row],[Cost per Unit (OASE)]]*Table212[[#This Row],[Quantity]]</f>
        <v>80</v>
      </c>
      <c r="I4" s="12">
        <f>Table212[[#This Row],[Cost per Unit (Rokkas)]]*Table212[[#This Row],[Quantity]]</f>
        <v>0</v>
      </c>
      <c r="J4" s="12">
        <f>Table212[[#This Row],[Cost per Unit (BSG)]]*Table212[[#This Row],[Quantity]]</f>
        <v>0</v>
      </c>
      <c r="K4" s="35">
        <f>Table212[[#This Row],[Cost per Unit(Phillipson)]]*Table212[[#This Row],[Quantity]]</f>
        <v>0</v>
      </c>
    </row>
    <row r="5" spans="1:11" x14ac:dyDescent="0.35">
      <c r="A5" s="6" t="s">
        <v>27</v>
      </c>
      <c r="B5" s="6" t="s">
        <v>46</v>
      </c>
      <c r="C5" s="4">
        <v>400</v>
      </c>
      <c r="D5" s="4">
        <v>3000</v>
      </c>
      <c r="E5" s="4">
        <v>225</v>
      </c>
      <c r="F5" s="4">
        <v>0</v>
      </c>
      <c r="G5" s="4">
        <v>1</v>
      </c>
      <c r="H5" s="4">
        <f>Table212[[#This Row],[Cost per Unit (OASE)]]*Table212[[#This Row],[Quantity]]</f>
        <v>400</v>
      </c>
      <c r="I5" s="12">
        <f>Table212[[#This Row],[Cost per Unit (Rokkas)]]*Table212[[#This Row],[Quantity]]</f>
        <v>3000</v>
      </c>
      <c r="J5" s="12">
        <f>Table212[[#This Row],[Cost per Unit (BSG)]]*Table212[[#This Row],[Quantity]]</f>
        <v>225</v>
      </c>
      <c r="K5" s="35">
        <f>Table212[[#This Row],[Cost per Unit(Phillipson)]]*Table212[[#This Row],[Quantity]]</f>
        <v>0</v>
      </c>
    </row>
    <row r="6" spans="1:11" x14ac:dyDescent="0.35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1.6</v>
      </c>
      <c r="F6" s="4">
        <v>0</v>
      </c>
      <c r="G6" s="4">
        <v>10</v>
      </c>
      <c r="H6" s="4">
        <f>Table212[[#This Row],[Cost per Unit (OASE)]]*Table212[[#This Row],[Quantity]]</f>
        <v>240</v>
      </c>
      <c r="I6" s="12">
        <f>Table212[[#This Row],[Cost per Unit (Rokkas)]]*Table212[[#This Row],[Quantity]]</f>
        <v>40</v>
      </c>
      <c r="J6" s="12">
        <f>Table212[[#This Row],[Cost per Unit (BSG)]]*Table212[[#This Row],[Quantity]]</f>
        <v>16</v>
      </c>
      <c r="K6" s="35">
        <f>Table212[[#This Row],[Cost per Unit(Phillipson)]]*Table212[[#This Row],[Quantity]]</f>
        <v>0</v>
      </c>
    </row>
    <row r="7" spans="1:11" x14ac:dyDescent="0.35">
      <c r="A7" s="6" t="s">
        <v>30</v>
      </c>
      <c r="B7" s="6" t="s">
        <v>112</v>
      </c>
      <c r="C7" s="24">
        <v>112</v>
      </c>
      <c r="D7" s="24">
        <f>10+15000/50</f>
        <v>310</v>
      </c>
      <c r="E7" s="24">
        <v>300</v>
      </c>
      <c r="F7" s="24">
        <v>220</v>
      </c>
      <c r="G7" s="4">
        <v>650</v>
      </c>
      <c r="H7" s="4">
        <f>Table212[[#This Row],[Cost per Unit (OASE)]]*Table212[[#This Row],[Quantity]]</f>
        <v>72800</v>
      </c>
      <c r="I7" s="12">
        <f>Table212[[#This Row],[Cost per Unit (Rokkas)]]*Table212[[#This Row],[Quantity]]</f>
        <v>201500</v>
      </c>
      <c r="J7" s="12">
        <f>Table212[[#This Row],[Cost per Unit (BSG)]]*Table212[[#This Row],[Quantity]]</f>
        <v>195000</v>
      </c>
      <c r="K7" s="35">
        <f>Table212[[#This Row],[Cost per Unit(Phillipson)]]*Table212[[#This Row],[Quantity]]</f>
        <v>143000</v>
      </c>
    </row>
    <row r="8" spans="1:11" x14ac:dyDescent="0.35">
      <c r="A8" s="6" t="s">
        <v>30</v>
      </c>
      <c r="B8" s="6" t="s">
        <v>73</v>
      </c>
      <c r="C8" s="4">
        <v>3.1</v>
      </c>
      <c r="D8" s="4">
        <f>250/50</f>
        <v>5</v>
      </c>
      <c r="E8" s="4">
        <f>150/44.97</f>
        <v>3.3355570380253505</v>
      </c>
      <c r="F8" s="4">
        <v>5</v>
      </c>
      <c r="G8" s="4">
        <f>610*4</f>
        <v>2440</v>
      </c>
      <c r="H8" s="4">
        <f>Table212[[#This Row],[Cost per Unit (OASE)]]*Table212[[#This Row],[Quantity]]</f>
        <v>7564</v>
      </c>
      <c r="I8" s="12">
        <f>Table212[[#This Row],[Cost per Unit (Rokkas)]]*Table212[[#This Row],[Quantity]]</f>
        <v>12200</v>
      </c>
      <c r="J8" s="12">
        <f>Table212[[#This Row],[Cost per Unit (BSG)]]*Table212[[#This Row],[Quantity]]</f>
        <v>8138.7591727818553</v>
      </c>
      <c r="K8" s="35">
        <f>Table212[[#This Row],[Cost per Unit(Phillipson)]]*Table212[[#This Row],[Quantity]]</f>
        <v>12200</v>
      </c>
    </row>
    <row r="9" spans="1:11" x14ac:dyDescent="0.35">
      <c r="A9" s="6" t="s">
        <v>30</v>
      </c>
      <c r="B9" s="6" t="s">
        <v>74</v>
      </c>
      <c r="C9" s="4">
        <v>12</v>
      </c>
      <c r="D9" s="4">
        <v>10</v>
      </c>
      <c r="E9" s="4">
        <v>24</v>
      </c>
      <c r="F9" s="4">
        <v>10</v>
      </c>
      <c r="G9" s="4">
        <f>610*4</f>
        <v>2440</v>
      </c>
      <c r="H9" s="4">
        <f>Table212[[#This Row],[Cost per Unit (OASE)]]*Table212[[#This Row],[Quantity]]</f>
        <v>29280</v>
      </c>
      <c r="I9" s="12">
        <f>Table212[[#This Row],[Cost per Unit (Rokkas)]]*Table212[[#This Row],[Quantity]]</f>
        <v>24400</v>
      </c>
      <c r="J9" s="12">
        <f>Table212[[#This Row],[Cost per Unit (BSG)]]*Table212[[#This Row],[Quantity]]</f>
        <v>58560</v>
      </c>
      <c r="K9" s="35">
        <f>Table212[[#This Row],[Cost per Unit(Phillipson)]]*Table212[[#This Row],[Quantity]]</f>
        <v>24400</v>
      </c>
    </row>
    <row r="10" spans="1:11" x14ac:dyDescent="0.35">
      <c r="A10" s="6" t="s">
        <v>75</v>
      </c>
      <c r="B10" s="6" t="s">
        <v>64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f>Table212[[#This Row],[Cost per Unit (OASE)]]*Table212[[#This Row],[Quantity]]</f>
        <v>0</v>
      </c>
      <c r="I10" s="12">
        <f>Table212[[#This Row],[Cost per Unit (Rokkas)]]*Table212[[#This Row],[Quantity]]</f>
        <v>0</v>
      </c>
      <c r="J10" s="12">
        <f>Table212[[#This Row],[Cost per Unit (BSG)]]*Table212[[#This Row],[Quantity]]</f>
        <v>0</v>
      </c>
      <c r="K10" s="35">
        <f>Table212[[#This Row],[Cost per Unit(Phillipson)]]*Table212[[#This Row],[Quantity]]</f>
        <v>0</v>
      </c>
    </row>
    <row r="15" spans="1:11" x14ac:dyDescent="0.35">
      <c r="A15" s="19" t="s">
        <v>82</v>
      </c>
      <c r="B15" s="19" t="s">
        <v>35</v>
      </c>
      <c r="C15" s="19" t="s">
        <v>36</v>
      </c>
      <c r="D15" s="19" t="s">
        <v>37</v>
      </c>
      <c r="E15" s="19" t="s">
        <v>34</v>
      </c>
      <c r="G15" s="21"/>
    </row>
    <row r="16" spans="1:11" ht="15" thickBot="1" x14ac:dyDescent="0.4">
      <c r="A16" s="19" t="s">
        <v>83</v>
      </c>
      <c r="B16" s="20">
        <f>SUM(H2:H5)</f>
        <v>4400</v>
      </c>
      <c r="C16" s="20">
        <f>SUM(H6:H9)</f>
        <v>109884</v>
      </c>
      <c r="D16" s="10">
        <f>SUM(H10)</f>
        <v>0</v>
      </c>
      <c r="E16" s="5">
        <f>SUM(B16:D16)</f>
        <v>114284</v>
      </c>
      <c r="F16" s="5"/>
      <c r="G16" s="10"/>
    </row>
    <row r="17" spans="1:6" ht="15.5" thickTop="1" thickBot="1" x14ac:dyDescent="0.4">
      <c r="A17" s="19" t="s">
        <v>84</v>
      </c>
      <c r="B17" s="19">
        <f>SUM(I2:I5)</f>
        <v>9200</v>
      </c>
      <c r="C17" s="19">
        <f>SUM(I6:I9)</f>
        <v>238140</v>
      </c>
      <c r="D17" s="21">
        <v>0</v>
      </c>
      <c r="E17" s="5">
        <f>SUM(B17:D17)</f>
        <v>247340</v>
      </c>
      <c r="F17" s="5"/>
    </row>
    <row r="18" spans="1:6" ht="15.5" thickTop="1" thickBot="1" x14ac:dyDescent="0.4">
      <c r="A18" s="19" t="s">
        <v>108</v>
      </c>
      <c r="B18" s="19">
        <f>SUM(J2:J5)</f>
        <v>13425</v>
      </c>
      <c r="C18" s="19">
        <f>SUM(J6:J9)</f>
        <v>261714.75917278187</v>
      </c>
      <c r="D18" s="21">
        <v>0</v>
      </c>
      <c r="E18" s="5">
        <f>SUM(B18:D18)</f>
        <v>275139.75917278184</v>
      </c>
      <c r="F18" s="5"/>
    </row>
    <row r="19" spans="1:6" ht="15.5" thickTop="1" thickBot="1" x14ac:dyDescent="0.4">
      <c r="A19" s="19" t="s">
        <v>6</v>
      </c>
      <c r="B19" s="24">
        <f>SUM(K2:K5)</f>
        <v>2200</v>
      </c>
      <c r="C19" s="24">
        <f>SUM(K6:K9)</f>
        <v>179600</v>
      </c>
      <c r="D19" s="24">
        <v>0</v>
      </c>
      <c r="E19" s="5">
        <f>SUM(B19:D19)</f>
        <v>181800</v>
      </c>
    </row>
    <row r="20" spans="1:6" ht="15" thickTop="1" x14ac:dyDescent="0.35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9"/>
  <sheetViews>
    <sheetView workbookViewId="0">
      <selection activeCell="G8" sqref="G8"/>
    </sheetView>
  </sheetViews>
  <sheetFormatPr defaultColWidth="9.1796875" defaultRowHeight="14.5" x14ac:dyDescent="0.35"/>
  <cols>
    <col min="1" max="1" width="29.26953125" style="19" customWidth="1"/>
    <col min="2" max="2" width="38" style="19" customWidth="1"/>
    <col min="3" max="3" width="21.26953125" style="19" customWidth="1"/>
    <col min="4" max="4" width="21.26953125" style="21" customWidth="1"/>
    <col min="5" max="6" width="21.26953125" style="24" customWidth="1"/>
    <col min="7" max="7" width="18" style="19" customWidth="1"/>
    <col min="8" max="8" width="17.81640625" style="19" customWidth="1"/>
    <col min="9" max="16384" width="9.1796875" style="19"/>
  </cols>
  <sheetData>
    <row r="1" spans="1:11" x14ac:dyDescent="0.35">
      <c r="A1" s="7" t="s">
        <v>18</v>
      </c>
      <c r="B1" s="7" t="s">
        <v>19</v>
      </c>
      <c r="C1" s="7" t="s">
        <v>20</v>
      </c>
      <c r="D1" s="7" t="s">
        <v>80</v>
      </c>
      <c r="E1" s="7" t="s">
        <v>109</v>
      </c>
      <c r="F1" s="7" t="s">
        <v>122</v>
      </c>
      <c r="G1" s="7" t="s">
        <v>21</v>
      </c>
      <c r="H1" s="7" t="s">
        <v>22</v>
      </c>
      <c r="I1" s="7" t="s">
        <v>81</v>
      </c>
      <c r="J1" s="7" t="s">
        <v>107</v>
      </c>
      <c r="K1" s="34" t="s">
        <v>119</v>
      </c>
    </row>
    <row r="2" spans="1:11" x14ac:dyDescent="0.35">
      <c r="A2" s="6" t="s">
        <v>27</v>
      </c>
      <c r="B2" s="6" t="s">
        <v>38</v>
      </c>
      <c r="C2" s="4">
        <v>80</v>
      </c>
      <c r="D2" s="4">
        <v>200</v>
      </c>
      <c r="E2" s="4">
        <v>300</v>
      </c>
      <c r="F2" s="4">
        <v>55</v>
      </c>
      <c r="G2" s="4">
        <v>90</v>
      </c>
      <c r="H2" s="4">
        <f>Table21213[[#This Row],[Cost per Unit (OASE)]]*Table21213[[#This Row],[Quantity]]</f>
        <v>7200</v>
      </c>
      <c r="I2" s="12">
        <f>Table21213[[#This Row],[Cost per Unit (Rokkas)]]*Table21213[[#This Row],[Quantity]]</f>
        <v>18000</v>
      </c>
      <c r="J2" s="12">
        <f>Table21213[[#This Row],[Cost per Unit(BSG)]]*Table21213[[#This Row],[Quantity]]</f>
        <v>27000</v>
      </c>
      <c r="K2" s="35">
        <f>Table21213[[#This Row],[Cost per uNit(Phillipson)]]*Table21213[[#This Row],[Quantity]]</f>
        <v>4950</v>
      </c>
    </row>
    <row r="3" spans="1:11" x14ac:dyDescent="0.35">
      <c r="A3" s="6" t="s">
        <v>27</v>
      </c>
      <c r="B3" s="6" t="s">
        <v>76</v>
      </c>
      <c r="C3" s="4">
        <v>40</v>
      </c>
      <c r="D3" s="4">
        <v>4</v>
      </c>
      <c r="E3" s="4">
        <v>0</v>
      </c>
      <c r="F3" s="4">
        <v>0</v>
      </c>
      <c r="G3" s="4">
        <v>10</v>
      </c>
      <c r="H3" s="4">
        <f>Table21213[[#This Row],[Cost per Unit (OASE)]]*Table21213[[#This Row],[Quantity]]</f>
        <v>400</v>
      </c>
      <c r="I3" s="12">
        <f>Table21213[[#This Row],[Cost per Unit (Rokkas)]]*Table21213[[#This Row],[Quantity]]</f>
        <v>40</v>
      </c>
      <c r="J3" s="12">
        <f>Table21213[[#This Row],[Cost per Unit(BSG)]]*Table21213[[#This Row],[Quantity]]</f>
        <v>0</v>
      </c>
      <c r="K3" s="35">
        <f>Table21213[[#This Row],[Cost per uNit(Phillipson)]]*Table21213[[#This Row],[Quantity]]</f>
        <v>0</v>
      </c>
    </row>
    <row r="4" spans="1:11" x14ac:dyDescent="0.35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1600</v>
      </c>
      <c r="H4" s="4">
        <f>Table21213[[#This Row],[Cost per Unit (OASE)]]*Table21213[[#This Row],[Quantity]]</f>
        <v>160</v>
      </c>
      <c r="I4" s="12">
        <f>Table21213[[#This Row],[Cost per Unit (Rokkas)]]*Table21213[[#This Row],[Quantity]]</f>
        <v>0</v>
      </c>
      <c r="J4" s="12">
        <f>Table21213[[#This Row],[Cost per Unit(BSG)]]*Table21213[[#This Row],[Quantity]]</f>
        <v>0</v>
      </c>
      <c r="K4" s="35">
        <f>Table21213[[#This Row],[Cost per uNit(Phillipson)]]*Table21213[[#This Row],[Quantity]]</f>
        <v>0</v>
      </c>
    </row>
    <row r="5" spans="1:11" x14ac:dyDescent="0.35">
      <c r="A5" s="6" t="s">
        <v>27</v>
      </c>
      <c r="B5" s="6" t="s">
        <v>46</v>
      </c>
      <c r="C5" s="4">
        <v>400</v>
      </c>
      <c r="D5" s="4">
        <v>3000</v>
      </c>
      <c r="E5" s="4">
        <v>0</v>
      </c>
      <c r="F5" s="4">
        <v>0</v>
      </c>
      <c r="G5" s="4">
        <v>1</v>
      </c>
      <c r="H5" s="4">
        <f>Table21213[[#This Row],[Cost per Unit (OASE)]]*Table21213[[#This Row],[Quantity]]</f>
        <v>400</v>
      </c>
      <c r="I5" s="12">
        <f>Table21213[[#This Row],[Cost per Unit (Rokkas)]]*Table21213[[#This Row],[Quantity]]</f>
        <v>3000</v>
      </c>
      <c r="J5" s="12">
        <f>Table21213[[#This Row],[Cost per Unit(BSG)]]*Table21213[[#This Row],[Quantity]]</f>
        <v>0</v>
      </c>
      <c r="K5" s="35">
        <f>Table21213[[#This Row],[Cost per uNit(Phillipson)]]*Table21213[[#This Row],[Quantity]]</f>
        <v>0</v>
      </c>
    </row>
    <row r="6" spans="1:11" x14ac:dyDescent="0.35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10</v>
      </c>
      <c r="H6" s="4">
        <f>Table21213[[#This Row],[Cost per Unit (OASE)]]*Table21213[[#This Row],[Quantity]]</f>
        <v>240</v>
      </c>
      <c r="I6" s="12">
        <f>Table21213[[#This Row],[Cost per Unit (Rokkas)]]*Table21213[[#This Row],[Quantity]]</f>
        <v>40</v>
      </c>
      <c r="J6" s="12">
        <f>Table21213[[#This Row],[Cost per Unit(BSG)]]*Table21213[[#This Row],[Quantity]]</f>
        <v>14</v>
      </c>
      <c r="K6" s="35">
        <f>Table21213[[#This Row],[Cost per uNit(Phillipson)]]*Table21213[[#This Row],[Quantity]]</f>
        <v>0</v>
      </c>
    </row>
    <row r="7" spans="1:11" x14ac:dyDescent="0.35">
      <c r="A7" s="6" t="s">
        <v>30</v>
      </c>
      <c r="B7" s="6" t="s">
        <v>77</v>
      </c>
      <c r="C7" s="4">
        <v>0.9</v>
      </c>
      <c r="D7" s="4">
        <v>10</v>
      </c>
      <c r="E7" s="4">
        <v>1.4</v>
      </c>
      <c r="F7" s="4">
        <v>220</v>
      </c>
      <c r="G7" s="4">
        <v>350</v>
      </c>
      <c r="H7" s="4">
        <f>Table21213[[#This Row],[Cost per Unit (OASE)]]*Table21213[[#This Row],[Quantity]]</f>
        <v>315</v>
      </c>
      <c r="I7" s="12">
        <f>Table21213[[#This Row],[Cost per Unit (Rokkas)]]*Table21213[[#This Row],[Quantity]]</f>
        <v>3500</v>
      </c>
      <c r="J7" s="12">
        <f>Table21213[[#This Row],[Cost per Unit(BSG)]]*Table21213[[#This Row],[Quantity]]</f>
        <v>489.99999999999994</v>
      </c>
      <c r="K7" s="35">
        <f>Table21213[[#This Row],[Cost per uNit(Phillipson)]]*Table21213[[#This Row],[Quantity]]</f>
        <v>77000</v>
      </c>
    </row>
    <row r="8" spans="1:11" x14ac:dyDescent="0.35">
      <c r="A8" s="6" t="s">
        <v>75</v>
      </c>
      <c r="B8" s="6" t="s">
        <v>73</v>
      </c>
      <c r="C8" s="4">
        <v>3.1</v>
      </c>
      <c r="D8" s="4">
        <f>250/50</f>
        <v>5</v>
      </c>
      <c r="E8" s="4">
        <f>150/50</f>
        <v>3</v>
      </c>
      <c r="F8" s="4">
        <v>5</v>
      </c>
      <c r="G8" s="4">
        <v>5000</v>
      </c>
      <c r="H8" s="4">
        <f>Table21213[[#This Row],[Cost per Unit (OASE)]]*Table21213[[#This Row],[Quantity]]</f>
        <v>15500</v>
      </c>
      <c r="I8" s="12">
        <f>Table21213[[#This Row],[Cost per Unit (Rokkas)]]*Table21213[[#This Row],[Quantity]]</f>
        <v>25000</v>
      </c>
      <c r="J8" s="12">
        <f>Table21213[[#This Row],[Cost per Unit(BSG)]]*Table21213[[#This Row],[Quantity]]</f>
        <v>15000</v>
      </c>
      <c r="K8" s="35">
        <f>Table21213[[#This Row],[Cost per uNit(Phillipson)]]*Table21213[[#This Row],[Quantity]]</f>
        <v>25000</v>
      </c>
    </row>
    <row r="9" spans="1:11" x14ac:dyDescent="0.35">
      <c r="A9" s="6" t="s">
        <v>75</v>
      </c>
      <c r="B9" s="6" t="s">
        <v>63</v>
      </c>
      <c r="C9" s="4">
        <v>8</v>
      </c>
      <c r="D9" s="4">
        <v>10</v>
      </c>
      <c r="E9" s="4">
        <v>24</v>
      </c>
      <c r="F9" s="4">
        <v>0</v>
      </c>
      <c r="G9" s="4">
        <v>5000</v>
      </c>
      <c r="H9" s="4">
        <f>Table21213[[#This Row],[Cost per Unit (OASE)]]*Table21213[[#This Row],[Quantity]]</f>
        <v>40000</v>
      </c>
      <c r="I9" s="12">
        <f>Table21213[[#This Row],[Cost per Unit (Rokkas)]]*Table21213[[#This Row],[Quantity]]</f>
        <v>50000</v>
      </c>
      <c r="J9" s="12">
        <f>Table21213[[#This Row],[Cost per Unit(BSG)]]*Table21213[[#This Row],[Quantity]]</f>
        <v>120000</v>
      </c>
      <c r="K9" s="35">
        <f>Table21213[[#This Row],[Cost per uNit(Phillipson)]]*Table21213[[#This Row],[Quantity]]</f>
        <v>0</v>
      </c>
    </row>
    <row r="14" spans="1:11" x14ac:dyDescent="0.35">
      <c r="A14" s="19" t="s">
        <v>82</v>
      </c>
      <c r="B14" s="19" t="s">
        <v>35</v>
      </c>
      <c r="C14" s="19" t="s">
        <v>36</v>
      </c>
      <c r="D14" s="19" t="s">
        <v>37</v>
      </c>
      <c r="E14" s="19" t="s">
        <v>34</v>
      </c>
      <c r="G14" s="21"/>
    </row>
    <row r="15" spans="1:11" ht="15" thickBot="1" x14ac:dyDescent="0.4">
      <c r="A15" s="19" t="s">
        <v>83</v>
      </c>
      <c r="B15" s="20">
        <f>SUM(H2:H5)</f>
        <v>8160</v>
      </c>
      <c r="C15" s="20">
        <f>SUM(H6:H7)</f>
        <v>555</v>
      </c>
      <c r="D15" s="10">
        <f>SUM(H8:H9)</f>
        <v>55500</v>
      </c>
      <c r="E15" s="5">
        <f>SUM(B15:D15)</f>
        <v>64215</v>
      </c>
      <c r="F15" s="5"/>
      <c r="G15" s="10"/>
    </row>
    <row r="16" spans="1:11" ht="15.5" thickTop="1" thickBot="1" x14ac:dyDescent="0.4">
      <c r="A16" s="19" t="s">
        <v>84</v>
      </c>
      <c r="B16" s="19">
        <f>SUM(I2:I5)</f>
        <v>21040</v>
      </c>
      <c r="C16" s="19">
        <f>SUM(I6:I7)</f>
        <v>3540</v>
      </c>
      <c r="D16" s="21">
        <f>SUM(I8:I9)</f>
        <v>75000</v>
      </c>
      <c r="E16" s="5">
        <f t="shared" ref="E16:E18" si="0">SUM(B16:D16)</f>
        <v>99580</v>
      </c>
      <c r="F16" s="5"/>
    </row>
    <row r="17" spans="1:6" ht="15.5" thickTop="1" thickBot="1" x14ac:dyDescent="0.4">
      <c r="A17" s="19" t="s">
        <v>108</v>
      </c>
      <c r="B17" s="19">
        <f>SUM(J2:J5)</f>
        <v>27000</v>
      </c>
      <c r="C17" s="19">
        <f>SUM(J6:J7)</f>
        <v>503.99999999999994</v>
      </c>
      <c r="D17" s="21">
        <f>SUM(J8:J9)</f>
        <v>135000</v>
      </c>
      <c r="E17" s="5">
        <f t="shared" si="0"/>
        <v>162504</v>
      </c>
      <c r="F17" s="5"/>
    </row>
    <row r="18" spans="1:6" ht="15.5" thickTop="1" thickBot="1" x14ac:dyDescent="0.4">
      <c r="A18" s="19" t="s">
        <v>6</v>
      </c>
      <c r="B18" s="24">
        <f>SUM(K2:K5)</f>
        <v>4950</v>
      </c>
      <c r="C18" s="24">
        <f>SUM(K6:K7)</f>
        <v>77000</v>
      </c>
      <c r="D18" s="24">
        <f>SUM(K8:K9)</f>
        <v>25000</v>
      </c>
      <c r="E18" s="5">
        <f t="shared" si="0"/>
        <v>106950</v>
      </c>
    </row>
    <row r="19" spans="1:6" ht="15" thickTop="1" x14ac:dyDescent="0.35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9"/>
  <sheetViews>
    <sheetView workbookViewId="0">
      <selection activeCell="G8" sqref="G8"/>
    </sheetView>
  </sheetViews>
  <sheetFormatPr defaultColWidth="9.1796875" defaultRowHeight="14.5" x14ac:dyDescent="0.35"/>
  <cols>
    <col min="1" max="1" width="29.26953125" style="19" customWidth="1"/>
    <col min="2" max="2" width="38" style="19" customWidth="1"/>
    <col min="3" max="3" width="21.26953125" style="19" customWidth="1"/>
    <col min="4" max="4" width="21.26953125" style="21" customWidth="1"/>
    <col min="5" max="6" width="21.26953125" style="24" customWidth="1"/>
    <col min="7" max="7" width="18" style="19" customWidth="1"/>
    <col min="8" max="8" width="17.81640625" style="19" customWidth="1"/>
    <col min="9" max="16384" width="9.1796875" style="19"/>
  </cols>
  <sheetData>
    <row r="1" spans="1:11" x14ac:dyDescent="0.35">
      <c r="A1" s="7" t="s">
        <v>18</v>
      </c>
      <c r="B1" s="7" t="s">
        <v>19</v>
      </c>
      <c r="C1" s="7" t="s">
        <v>20</v>
      </c>
      <c r="D1" s="7" t="s">
        <v>80</v>
      </c>
      <c r="E1" s="7" t="s">
        <v>109</v>
      </c>
      <c r="F1" s="7" t="s">
        <v>120</v>
      </c>
      <c r="G1" s="7" t="s">
        <v>21</v>
      </c>
      <c r="H1" s="7" t="s">
        <v>22</v>
      </c>
      <c r="I1" s="7" t="s">
        <v>81</v>
      </c>
      <c r="J1" s="7" t="s">
        <v>107</v>
      </c>
      <c r="K1" s="34" t="s">
        <v>119</v>
      </c>
    </row>
    <row r="2" spans="1:11" x14ac:dyDescent="0.35">
      <c r="A2" s="6" t="s">
        <v>27</v>
      </c>
      <c r="B2" s="6" t="s">
        <v>38</v>
      </c>
      <c r="C2" s="4">
        <v>80</v>
      </c>
      <c r="D2" s="4">
        <v>200</v>
      </c>
      <c r="E2" s="4">
        <v>300</v>
      </c>
      <c r="F2" s="4">
        <v>55</v>
      </c>
      <c r="G2" s="4">
        <v>180</v>
      </c>
      <c r="H2" s="4">
        <f>Table2121314[[#This Row],[Cost per Unit (OASE)]]*Table2121314[[#This Row],[Quantity]]</f>
        <v>14400</v>
      </c>
      <c r="I2" s="12">
        <f>Table2121314[[#This Row],[Cost per Unit (Rokkas)]]*Table2121314[[#This Row],[Quantity]]</f>
        <v>36000</v>
      </c>
      <c r="J2" s="12">
        <f>Table2121314[[#This Row],[Cost per Unit(BSG)]]*Table2121314[[#This Row],[Quantity]]</f>
        <v>54000</v>
      </c>
      <c r="K2" s="35">
        <f>Table2121314[[#This Row],[Cost per Unit(Phillipson)]]*Table2121314[[#This Row],[Quantity]]</f>
        <v>9900</v>
      </c>
    </row>
    <row r="3" spans="1:11" x14ac:dyDescent="0.35">
      <c r="A3" s="6" t="s">
        <v>27</v>
      </c>
      <c r="B3" s="6" t="s">
        <v>76</v>
      </c>
      <c r="C3" s="4">
        <v>40</v>
      </c>
      <c r="D3" s="4">
        <v>4</v>
      </c>
      <c r="E3" s="4">
        <v>0</v>
      </c>
      <c r="F3" s="4">
        <v>0</v>
      </c>
      <c r="G3" s="4">
        <v>20</v>
      </c>
      <c r="H3" s="4">
        <f>Table2121314[[#This Row],[Cost per Unit (OASE)]]*Table2121314[[#This Row],[Quantity]]</f>
        <v>800</v>
      </c>
      <c r="I3" s="12">
        <f>Table2121314[[#This Row],[Cost per Unit (Rokkas)]]*Table2121314[[#This Row],[Quantity]]</f>
        <v>80</v>
      </c>
      <c r="J3" s="12">
        <f>Table2121314[[#This Row],[Cost per Unit(BSG)]]*Table2121314[[#This Row],[Quantity]]</f>
        <v>0</v>
      </c>
      <c r="K3" s="35">
        <f>Table2121314[[#This Row],[Cost per Unit(Phillipson)]]*Table2121314[[#This Row],[Quantity]]</f>
        <v>0</v>
      </c>
    </row>
    <row r="4" spans="1:11" x14ac:dyDescent="0.35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3200</v>
      </c>
      <c r="H4" s="4">
        <f>Table2121314[[#This Row],[Cost per Unit (OASE)]]*Table2121314[[#This Row],[Quantity]]</f>
        <v>320</v>
      </c>
      <c r="I4" s="12">
        <f>Table2121314[[#This Row],[Cost per Unit (Rokkas)]]*Table2121314[[#This Row],[Quantity]]</f>
        <v>0</v>
      </c>
      <c r="J4" s="12">
        <f>Table2121314[[#This Row],[Cost per Unit(BSG)]]*Table2121314[[#This Row],[Quantity]]</f>
        <v>0</v>
      </c>
      <c r="K4" s="35">
        <f>Table2121314[[#This Row],[Cost per Unit(Phillipson)]]*Table2121314[[#This Row],[Quantity]]</f>
        <v>0</v>
      </c>
    </row>
    <row r="5" spans="1:11" x14ac:dyDescent="0.35">
      <c r="A5" s="6" t="s">
        <v>27</v>
      </c>
      <c r="B5" s="6" t="s">
        <v>46</v>
      </c>
      <c r="C5" s="4">
        <v>400</v>
      </c>
      <c r="D5" s="4">
        <v>3000</v>
      </c>
      <c r="E5" s="4">
        <v>0</v>
      </c>
      <c r="F5" s="4">
        <v>0</v>
      </c>
      <c r="G5" s="4">
        <v>1</v>
      </c>
      <c r="H5" s="4">
        <f>Table2121314[[#This Row],[Cost per Unit (OASE)]]*Table2121314[[#This Row],[Quantity]]</f>
        <v>400</v>
      </c>
      <c r="I5" s="12">
        <f>Table2121314[[#This Row],[Cost per Unit (Rokkas)]]*Table2121314[[#This Row],[Quantity]]</f>
        <v>3000</v>
      </c>
      <c r="J5" s="12">
        <f>Table2121314[[#This Row],[Cost per Unit(BSG)]]*Table2121314[[#This Row],[Quantity]]</f>
        <v>0</v>
      </c>
      <c r="K5" s="35">
        <f>Table2121314[[#This Row],[Cost per Unit(Phillipson)]]*Table2121314[[#This Row],[Quantity]]</f>
        <v>0</v>
      </c>
    </row>
    <row r="6" spans="1:11" x14ac:dyDescent="0.35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10</v>
      </c>
      <c r="H6" s="4">
        <f>Table2121314[[#This Row],[Cost per Unit (OASE)]]*Table2121314[[#This Row],[Quantity]]</f>
        <v>240</v>
      </c>
      <c r="I6" s="12">
        <f>Table2121314[[#This Row],[Cost per Unit (Rokkas)]]*Table2121314[[#This Row],[Quantity]]</f>
        <v>40</v>
      </c>
      <c r="J6" s="12">
        <f>Table2121314[[#This Row],[Cost per Unit(BSG)]]*Table2121314[[#This Row],[Quantity]]</f>
        <v>14</v>
      </c>
      <c r="K6" s="35">
        <f>Table2121314[[#This Row],[Cost per Unit(Phillipson)]]*Table2121314[[#This Row],[Quantity]]</f>
        <v>0</v>
      </c>
    </row>
    <row r="7" spans="1:11" x14ac:dyDescent="0.35">
      <c r="A7" s="6" t="s">
        <v>30</v>
      </c>
      <c r="B7" s="6" t="s">
        <v>77</v>
      </c>
      <c r="C7" s="4">
        <v>0.9</v>
      </c>
      <c r="D7" s="4">
        <v>10</v>
      </c>
      <c r="E7" s="4">
        <v>1.4</v>
      </c>
      <c r="F7" s="4">
        <v>10</v>
      </c>
      <c r="G7" s="4">
        <v>310</v>
      </c>
      <c r="H7" s="4">
        <f>Table2121314[[#This Row],[Cost per Unit (OASE)]]*Table2121314[[#This Row],[Quantity]]</f>
        <v>279</v>
      </c>
      <c r="I7" s="12">
        <f>Table2121314[[#This Row],[Cost per Unit (Rokkas)]]*Table2121314[[#This Row],[Quantity]]</f>
        <v>3100</v>
      </c>
      <c r="J7" s="12">
        <f>Table2121314[[#This Row],[Cost per Unit(BSG)]]*Table2121314[[#This Row],[Quantity]]</f>
        <v>434</v>
      </c>
      <c r="K7" s="35">
        <f>Table2121314[[#This Row],[Cost per Unit(Phillipson)]]*Table2121314[[#This Row],[Quantity]]</f>
        <v>3100</v>
      </c>
    </row>
    <row r="8" spans="1:11" x14ac:dyDescent="0.35">
      <c r="A8" s="6" t="s">
        <v>75</v>
      </c>
      <c r="B8" s="6" t="s">
        <v>73</v>
      </c>
      <c r="C8" s="4">
        <f>3.3+3</f>
        <v>6.3</v>
      </c>
      <c r="D8" s="4">
        <f>5+2</f>
        <v>7</v>
      </c>
      <c r="E8" s="4">
        <f>3+2</f>
        <v>5</v>
      </c>
      <c r="F8" s="4">
        <f>5+2</f>
        <v>7</v>
      </c>
      <c r="G8" s="4">
        <v>30000</v>
      </c>
      <c r="H8" s="4">
        <f>Table2121314[[#This Row],[Cost per Unit (OASE)]]*Table2121314[[#This Row],[Quantity]]</f>
        <v>189000</v>
      </c>
      <c r="I8" s="12">
        <f>Table2121314[[#This Row],[Cost per Unit (Rokkas)]]*Table2121314[[#This Row],[Quantity]]</f>
        <v>210000</v>
      </c>
      <c r="J8" s="12">
        <f>Table2121314[[#This Row],[Cost per Unit(BSG)]]*Table2121314[[#This Row],[Quantity]]</f>
        <v>150000</v>
      </c>
      <c r="K8" s="35">
        <f>Table2121314[[#This Row],[Cost per Unit(Phillipson)]]*Table2121314[[#This Row],[Quantity]]</f>
        <v>210000</v>
      </c>
    </row>
    <row r="9" spans="1:11" x14ac:dyDescent="0.35">
      <c r="A9" s="6" t="s">
        <v>75</v>
      </c>
      <c r="B9" s="6" t="s">
        <v>48</v>
      </c>
      <c r="C9" s="4">
        <v>1.8</v>
      </c>
      <c r="D9" s="4">
        <v>0</v>
      </c>
      <c r="E9" s="4">
        <v>0</v>
      </c>
      <c r="F9" s="4">
        <v>0</v>
      </c>
      <c r="G9" s="4">
        <v>5000</v>
      </c>
      <c r="H9" s="4">
        <f>Table2121314[[#This Row],[Cost per Unit (OASE)]]*Table2121314[[#This Row],[Quantity]]</f>
        <v>9000</v>
      </c>
      <c r="I9" s="12">
        <f>Table2121314[[#This Row],[Cost per Unit (Rokkas)]]*Table2121314[[#This Row],[Quantity]]</f>
        <v>0</v>
      </c>
      <c r="J9" s="12">
        <f>Table2121314[[#This Row],[Cost per Unit(BSG)]]*Table2121314[[#This Row],[Quantity]]</f>
        <v>0</v>
      </c>
      <c r="K9" s="35">
        <f>Table2121314[[#This Row],[Cost per Unit(Phillipson)]]*Table2121314[[#This Row],[Quantity]]</f>
        <v>0</v>
      </c>
    </row>
    <row r="14" spans="1:11" x14ac:dyDescent="0.35">
      <c r="A14" s="19" t="s">
        <v>82</v>
      </c>
      <c r="B14" s="19" t="s">
        <v>35</v>
      </c>
      <c r="C14" s="19" t="s">
        <v>36</v>
      </c>
      <c r="D14" s="19" t="s">
        <v>37</v>
      </c>
      <c r="E14" s="19" t="s">
        <v>34</v>
      </c>
      <c r="G14" s="21"/>
    </row>
    <row r="15" spans="1:11" ht="15" thickBot="1" x14ac:dyDescent="0.4">
      <c r="A15" s="19" t="s">
        <v>83</v>
      </c>
      <c r="B15" s="20">
        <f>SUM(H2:H5)</f>
        <v>15920</v>
      </c>
      <c r="C15" s="20">
        <f>SUM(H6:H7)</f>
        <v>519</v>
      </c>
      <c r="D15" s="10">
        <f>SUM(H8:H9)</f>
        <v>198000</v>
      </c>
      <c r="E15" s="5">
        <f>SUM(B15:D15)</f>
        <v>214439</v>
      </c>
      <c r="F15" s="5"/>
      <c r="G15" s="10"/>
    </row>
    <row r="16" spans="1:11" ht="15.5" thickTop="1" thickBot="1" x14ac:dyDescent="0.4">
      <c r="A16" s="19" t="s">
        <v>84</v>
      </c>
      <c r="B16" s="19">
        <f>SUM(I2:I5)</f>
        <v>39080</v>
      </c>
      <c r="C16" s="19">
        <f>SUM(I6:I7)</f>
        <v>3140</v>
      </c>
      <c r="D16" s="21">
        <f>SUM(I8:I9)</f>
        <v>210000</v>
      </c>
      <c r="E16" s="5">
        <f>SUM(B16:D16)</f>
        <v>252220</v>
      </c>
      <c r="F16" s="5"/>
    </row>
    <row r="17" spans="1:6" ht="15.5" thickTop="1" thickBot="1" x14ac:dyDescent="0.4">
      <c r="A17" s="19" t="s">
        <v>108</v>
      </c>
      <c r="B17" s="19">
        <f>SUM(J2:J5)</f>
        <v>54000</v>
      </c>
      <c r="C17" s="19">
        <f>SUM(J6:J7)</f>
        <v>448</v>
      </c>
      <c r="D17" s="21">
        <f>SUM(J8:J9)</f>
        <v>150000</v>
      </c>
      <c r="E17" s="5">
        <f>SUM(B17:D17)</f>
        <v>204448</v>
      </c>
      <c r="F17" s="5"/>
    </row>
    <row r="18" spans="1:6" ht="15.5" thickTop="1" thickBot="1" x14ac:dyDescent="0.4">
      <c r="A18" s="19" t="s">
        <v>6</v>
      </c>
      <c r="B18" s="24">
        <f>SUM(K2:K5)</f>
        <v>9900</v>
      </c>
      <c r="C18" s="24">
        <f>SUM(K6:K7)</f>
        <v>3100</v>
      </c>
      <c r="D18" s="24">
        <f>SUM(K8:K9)</f>
        <v>210000</v>
      </c>
      <c r="E18" s="5">
        <f>SUM(B18:D18)</f>
        <v>223000</v>
      </c>
    </row>
    <row r="19" spans="1:6" ht="15" thickTop="1" x14ac:dyDescent="0.35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20"/>
  <sheetViews>
    <sheetView topLeftCell="B1" workbookViewId="0">
      <selection activeCell="G7" sqref="G7"/>
    </sheetView>
  </sheetViews>
  <sheetFormatPr defaultColWidth="9.1796875" defaultRowHeight="14.5" x14ac:dyDescent="0.35"/>
  <cols>
    <col min="1" max="1" width="29.26953125" style="19" customWidth="1"/>
    <col min="2" max="2" width="38" style="19" customWidth="1"/>
    <col min="3" max="3" width="21.26953125" style="19" customWidth="1"/>
    <col min="4" max="4" width="18" style="19" customWidth="1"/>
    <col min="5" max="5" width="17.81640625" style="19" customWidth="1"/>
    <col min="6" max="6" width="17.81640625" style="24" customWidth="1"/>
    <col min="7" max="7" width="18.26953125" style="19" customWidth="1"/>
    <col min="8" max="8" width="9.1796875" style="19"/>
    <col min="9" max="9" width="22.453125" style="19" customWidth="1"/>
    <col min="10" max="10" width="22.26953125" style="19" customWidth="1"/>
    <col min="11" max="11" width="20.7265625" style="19" customWidth="1"/>
    <col min="12" max="16384" width="9.1796875" style="19"/>
  </cols>
  <sheetData>
    <row r="1" spans="1:11" x14ac:dyDescent="0.35">
      <c r="A1" s="7" t="s">
        <v>18</v>
      </c>
      <c r="B1" s="7" t="s">
        <v>19</v>
      </c>
      <c r="C1" s="7" t="s">
        <v>20</v>
      </c>
      <c r="D1" s="7" t="s">
        <v>80</v>
      </c>
      <c r="E1" s="7" t="s">
        <v>106</v>
      </c>
      <c r="F1" s="7" t="s">
        <v>120</v>
      </c>
      <c r="G1" s="7" t="s">
        <v>21</v>
      </c>
      <c r="H1" s="7" t="s">
        <v>22</v>
      </c>
      <c r="I1" s="7" t="s">
        <v>81</v>
      </c>
      <c r="J1" s="7" t="s">
        <v>107</v>
      </c>
      <c r="K1" s="34" t="s">
        <v>119</v>
      </c>
    </row>
    <row r="2" spans="1:11" x14ac:dyDescent="0.35">
      <c r="A2" s="6" t="s">
        <v>27</v>
      </c>
      <c r="B2" s="6" t="s">
        <v>23</v>
      </c>
      <c r="C2" s="4">
        <v>160</v>
      </c>
      <c r="D2" s="4">
        <v>140</v>
      </c>
      <c r="E2" s="4">
        <v>288</v>
      </c>
      <c r="F2" s="4">
        <v>50</v>
      </c>
      <c r="G2" s="4">
        <v>180</v>
      </c>
      <c r="H2" s="4">
        <f>Table21215[[#This Row],[Cost per Unit (OASE)]]*Table21215[[#This Row],[Quantity]]</f>
        <v>28800</v>
      </c>
      <c r="I2" s="12">
        <f>Table21215[[#This Row],[Cost per Unit (Rokkas)]]*Table21215[[#This Row],[Quantity]]</f>
        <v>25200</v>
      </c>
      <c r="J2" s="12">
        <f>Table21215[[#This Row],[Cost per Unit (BSG)]]*Table21215[[#This Row],[Quantity]]</f>
        <v>51840</v>
      </c>
      <c r="K2" s="35">
        <f>Table21215[[#This Row],[Cost per Unit(Phillipson)]]*Table21215[[#This Row],[Quantity]]</f>
        <v>9000</v>
      </c>
    </row>
    <row r="3" spans="1:11" x14ac:dyDescent="0.35">
      <c r="A3" s="6" t="s">
        <v>27</v>
      </c>
      <c r="B3" s="6" t="s">
        <v>76</v>
      </c>
      <c r="C3" s="4">
        <v>40</v>
      </c>
      <c r="D3" s="4">
        <f>200/50</f>
        <v>4</v>
      </c>
      <c r="E3" s="4">
        <v>0</v>
      </c>
      <c r="F3" s="4">
        <v>0</v>
      </c>
      <c r="G3" s="4">
        <v>40</v>
      </c>
      <c r="H3" s="4">
        <f>Table21215[[#This Row],[Cost per Unit (OASE)]]*Table21215[[#This Row],[Quantity]]</f>
        <v>1600</v>
      </c>
      <c r="I3" s="12">
        <f>Table21215[[#This Row],[Cost per Unit (Rokkas)]]*Table21215[[#This Row],[Quantity]]</f>
        <v>160</v>
      </c>
      <c r="J3" s="12">
        <f>Table21215[[#This Row],[Cost per Unit (BSG)]]*Table21215[[#This Row],[Quantity]]</f>
        <v>0</v>
      </c>
      <c r="K3" s="35">
        <f>Table21215[[#This Row],[Cost per Unit(Phillipson)]]*Table21215[[#This Row],[Quantity]]</f>
        <v>0</v>
      </c>
    </row>
    <row r="4" spans="1:11" x14ac:dyDescent="0.35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3200</v>
      </c>
      <c r="H4" s="4">
        <f>Table21215[[#This Row],[Cost per Unit (OASE)]]*Table21215[[#This Row],[Quantity]]</f>
        <v>320</v>
      </c>
      <c r="I4" s="12">
        <f>Table21215[[#This Row],[Cost per Unit (Rokkas)]]*Table21215[[#This Row],[Quantity]]</f>
        <v>0</v>
      </c>
      <c r="J4" s="12">
        <f>Table21215[[#This Row],[Cost per Unit (BSG)]]*Table21215[[#This Row],[Quantity]]</f>
        <v>0</v>
      </c>
      <c r="K4" s="35">
        <f>Table21215[[#This Row],[Cost per Unit(Phillipson)]]*Table21215[[#This Row],[Quantity]]</f>
        <v>0</v>
      </c>
    </row>
    <row r="5" spans="1:11" x14ac:dyDescent="0.35">
      <c r="A5" s="6" t="s">
        <v>27</v>
      </c>
      <c r="B5" s="6" t="s">
        <v>46</v>
      </c>
      <c r="C5" s="4">
        <v>400</v>
      </c>
      <c r="D5" s="4">
        <v>3000</v>
      </c>
      <c r="E5" s="4">
        <v>200</v>
      </c>
      <c r="F5" s="4">
        <v>0</v>
      </c>
      <c r="G5" s="4">
        <v>1</v>
      </c>
      <c r="H5" s="4">
        <f>Table21215[[#This Row],[Cost per Unit (OASE)]]*Table21215[[#This Row],[Quantity]]</f>
        <v>400</v>
      </c>
      <c r="I5" s="12">
        <f>Table21215[[#This Row],[Cost per Unit (Rokkas)]]*Table21215[[#This Row],[Quantity]]</f>
        <v>3000</v>
      </c>
      <c r="J5" s="12">
        <f>Table21215[[#This Row],[Cost per Unit (BSG)]]*Table21215[[#This Row],[Quantity]]</f>
        <v>200</v>
      </c>
      <c r="K5" s="35">
        <f>Table21215[[#This Row],[Cost per Unit(Phillipson)]]*Table21215[[#This Row],[Quantity]]</f>
        <v>0</v>
      </c>
    </row>
    <row r="6" spans="1:11" x14ac:dyDescent="0.35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16</v>
      </c>
      <c r="H6" s="4">
        <f>Table21215[[#This Row],[Cost per Unit (OASE)]]*Table21215[[#This Row],[Quantity]]</f>
        <v>384</v>
      </c>
      <c r="I6" s="12">
        <f>Table21215[[#This Row],[Cost per Unit (Rokkas)]]*Table21215[[#This Row],[Quantity]]</f>
        <v>64</v>
      </c>
      <c r="J6" s="12">
        <f>Table21215[[#This Row],[Cost per Unit (BSG)]]*Table21215[[#This Row],[Quantity]]</f>
        <v>22.4</v>
      </c>
      <c r="K6" s="35">
        <f>Table21215[[#This Row],[Cost per Unit(Phillipson)]]*Table21215[[#This Row],[Quantity]]</f>
        <v>0</v>
      </c>
    </row>
    <row r="7" spans="1:11" x14ac:dyDescent="0.35">
      <c r="A7" s="6" t="s">
        <v>30</v>
      </c>
      <c r="B7" s="6" t="s">
        <v>112</v>
      </c>
      <c r="C7" s="24">
        <v>112</v>
      </c>
      <c r="D7" s="24">
        <f>15000/50</f>
        <v>300</v>
      </c>
      <c r="E7" s="24">
        <v>294</v>
      </c>
      <c r="F7" s="24">
        <v>220</v>
      </c>
      <c r="G7" s="4">
        <f>610*2</f>
        <v>1220</v>
      </c>
      <c r="H7" s="4">
        <f>Table21215[[#This Row],[Cost per Unit (OASE)]]*Table21215[[#This Row],[Quantity]]</f>
        <v>136640</v>
      </c>
      <c r="I7" s="12">
        <f>Table21215[[#This Row],[Cost per Unit (Rokkas)]]*Table21215[[#This Row],[Quantity]]</f>
        <v>366000</v>
      </c>
      <c r="J7" s="12">
        <f>Table21215[[#This Row],[Cost per Unit (BSG)]]*Table21215[[#This Row],[Quantity]]</f>
        <v>358680</v>
      </c>
      <c r="K7" s="35">
        <f>Table21215[[#This Row],[Cost per Unit(Phillipson)]]*Table21215[[#This Row],[Quantity]]</f>
        <v>268400</v>
      </c>
    </row>
    <row r="8" spans="1:11" x14ac:dyDescent="0.35">
      <c r="A8" s="6" t="s">
        <v>30</v>
      </c>
      <c r="B8" s="6" t="s">
        <v>73</v>
      </c>
      <c r="C8" s="4">
        <v>3.1</v>
      </c>
      <c r="D8" s="4">
        <f>250/50</f>
        <v>5</v>
      </c>
      <c r="E8" s="4">
        <f>150/50</f>
        <v>3</v>
      </c>
      <c r="F8" s="4">
        <v>5</v>
      </c>
      <c r="G8" s="4">
        <f>610*4</f>
        <v>2440</v>
      </c>
      <c r="H8" s="4">
        <f>Table21215[[#This Row],[Cost per Unit (OASE)]]*Table21215[[#This Row],[Quantity]]</f>
        <v>7564</v>
      </c>
      <c r="I8" s="12">
        <f>Table21215[[#This Row],[Cost per Unit (Rokkas)]]*Table21215[[#This Row],[Quantity]]</f>
        <v>12200</v>
      </c>
      <c r="J8" s="12">
        <f>Table21215[[#This Row],[Cost per Unit (BSG)]]*Table21215[[#This Row],[Quantity]]</f>
        <v>7320</v>
      </c>
      <c r="K8" s="35">
        <f>Table21215[[#This Row],[Cost per Unit(Phillipson)]]*Table21215[[#This Row],[Quantity]]</f>
        <v>12200</v>
      </c>
    </row>
    <row r="9" spans="1:11" x14ac:dyDescent="0.35">
      <c r="A9" s="6" t="s">
        <v>30</v>
      </c>
      <c r="B9" s="6" t="s">
        <v>74</v>
      </c>
      <c r="C9" s="4">
        <v>12</v>
      </c>
      <c r="D9" s="4">
        <v>10</v>
      </c>
      <c r="E9" s="4">
        <v>24</v>
      </c>
      <c r="F9" s="4">
        <v>10</v>
      </c>
      <c r="G9" s="4">
        <f>610*4</f>
        <v>2440</v>
      </c>
      <c r="H9" s="4">
        <f>Table21215[[#This Row],[Cost per Unit (OASE)]]*Table21215[[#This Row],[Quantity]]</f>
        <v>29280</v>
      </c>
      <c r="I9" s="12">
        <f>Table21215[[#This Row],[Cost per Unit (Rokkas)]]*Table21215[[#This Row],[Quantity]]</f>
        <v>24400</v>
      </c>
      <c r="J9" s="12">
        <f>Table21215[[#This Row],[Cost per Unit (BSG)]]*Table21215[[#This Row],[Quantity]]</f>
        <v>58560</v>
      </c>
      <c r="K9" s="35">
        <f>Table21215[[#This Row],[Cost per Unit(Phillipson)]]*Table21215[[#This Row],[Quantity]]</f>
        <v>24400</v>
      </c>
    </row>
    <row r="10" spans="1:11" x14ac:dyDescent="0.35">
      <c r="A10" s="6" t="s">
        <v>75</v>
      </c>
      <c r="B10" s="6" t="s">
        <v>64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f>Table21215[[#This Row],[Cost per Unit (OASE)]]*Table21215[[#This Row],[Quantity]]</f>
        <v>0</v>
      </c>
      <c r="I10" s="12">
        <f>Table21215[[#This Row],[Cost per Unit (Rokkas)]]*Table21215[[#This Row],[Quantity]]</f>
        <v>0</v>
      </c>
      <c r="J10" s="12">
        <f>Table21215[[#This Row],[Cost per Unit (BSG)]]*Table21215[[#This Row],[Quantity]]</f>
        <v>0</v>
      </c>
      <c r="K10" s="35">
        <f>Table21215[[#This Row],[Cost per Unit(Phillipson)]]*Table21215[[#This Row],[Quantity]]</f>
        <v>0</v>
      </c>
    </row>
    <row r="15" spans="1:11" x14ac:dyDescent="0.35">
      <c r="A15" s="19" t="s">
        <v>82</v>
      </c>
      <c r="B15" s="19" t="s">
        <v>35</v>
      </c>
      <c r="C15" s="19" t="s">
        <v>36</v>
      </c>
      <c r="D15" s="19" t="s">
        <v>37</v>
      </c>
      <c r="E15" s="19" t="s">
        <v>34</v>
      </c>
    </row>
    <row r="16" spans="1:11" ht="15" thickBot="1" x14ac:dyDescent="0.4">
      <c r="A16" s="19" t="s">
        <v>83</v>
      </c>
      <c r="B16" s="20">
        <f>SUM(H2:H5)</f>
        <v>31120</v>
      </c>
      <c r="C16" s="20">
        <f>SUM(H6:H9)</f>
        <v>173868</v>
      </c>
      <c r="D16" s="10">
        <f>SUM(H10)</f>
        <v>0</v>
      </c>
      <c r="E16" s="5">
        <f>SUM(B16:D16)</f>
        <v>204988</v>
      </c>
      <c r="F16" s="5"/>
    </row>
    <row r="17" spans="1:6" ht="15.5" thickTop="1" thickBot="1" x14ac:dyDescent="0.4">
      <c r="A17" s="19" t="s">
        <v>84</v>
      </c>
      <c r="B17" s="19">
        <f>SUM(I2:I5)</f>
        <v>28360</v>
      </c>
      <c r="C17" s="19">
        <f>SUM(I6:I9)</f>
        <v>402664</v>
      </c>
      <c r="D17" s="19">
        <v>0</v>
      </c>
      <c r="E17" s="5">
        <f>SUM(B17:D17)</f>
        <v>431024</v>
      </c>
      <c r="F17" s="5"/>
    </row>
    <row r="18" spans="1:6" ht="15.5" thickTop="1" thickBot="1" x14ac:dyDescent="0.4">
      <c r="A18" s="19" t="s">
        <v>108</v>
      </c>
      <c r="B18" s="19">
        <f>SUM(J2:J5)</f>
        <v>52040</v>
      </c>
      <c r="C18" s="19">
        <f>SUM(J6:J9)</f>
        <v>424582.40000000002</v>
      </c>
      <c r="D18" s="19">
        <v>0</v>
      </c>
      <c r="E18" s="5">
        <f>SUM(B18:D18)</f>
        <v>476622.4</v>
      </c>
      <c r="F18" s="5"/>
    </row>
    <row r="19" spans="1:6" ht="15.5" thickTop="1" thickBot="1" x14ac:dyDescent="0.4">
      <c r="A19" s="19" t="s">
        <v>6</v>
      </c>
      <c r="B19" s="24">
        <f>SUM(K2:K5)</f>
        <v>9000</v>
      </c>
      <c r="C19" s="24">
        <f>SUM(K6:K9)</f>
        <v>305000</v>
      </c>
      <c r="D19" s="24">
        <v>0</v>
      </c>
      <c r="E19" s="5">
        <f>SUM(B19:D19)</f>
        <v>314000</v>
      </c>
    </row>
    <row r="20" spans="1:6" ht="15" thickTop="1" x14ac:dyDescent="0.35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9"/>
  <sheetViews>
    <sheetView workbookViewId="0">
      <selection activeCell="E9" sqref="E9"/>
    </sheetView>
  </sheetViews>
  <sheetFormatPr defaultColWidth="9.1796875" defaultRowHeight="14.5" x14ac:dyDescent="0.35"/>
  <cols>
    <col min="1" max="1" width="29.26953125" style="19" customWidth="1"/>
    <col min="2" max="2" width="38" style="19" customWidth="1"/>
    <col min="3" max="3" width="21.26953125" style="19" customWidth="1"/>
    <col min="4" max="4" width="18" style="19" customWidth="1"/>
    <col min="5" max="5" width="17.81640625" style="19" customWidth="1"/>
    <col min="6" max="6" width="17.81640625" style="24" customWidth="1"/>
    <col min="7" max="8" width="9.1796875" style="19"/>
    <col min="9" max="9" width="20.1796875" style="19" customWidth="1"/>
    <col min="10" max="10" width="29.7265625" style="19" customWidth="1"/>
    <col min="11" max="16384" width="9.1796875" style="19"/>
  </cols>
  <sheetData>
    <row r="1" spans="1:11" x14ac:dyDescent="0.35">
      <c r="A1" s="7" t="s">
        <v>18</v>
      </c>
      <c r="B1" s="7" t="s">
        <v>19</v>
      </c>
      <c r="C1" s="7" t="s">
        <v>20</v>
      </c>
      <c r="D1" s="7" t="s">
        <v>80</v>
      </c>
      <c r="E1" s="7" t="s">
        <v>109</v>
      </c>
      <c r="F1" s="7" t="s">
        <v>120</v>
      </c>
      <c r="G1" s="7" t="s">
        <v>21</v>
      </c>
      <c r="H1" s="7" t="s">
        <v>22</v>
      </c>
      <c r="I1" s="7" t="s">
        <v>81</v>
      </c>
      <c r="J1" s="7" t="s">
        <v>107</v>
      </c>
      <c r="K1" s="34" t="s">
        <v>119</v>
      </c>
    </row>
    <row r="2" spans="1:11" x14ac:dyDescent="0.35">
      <c r="A2" s="6" t="s">
        <v>27</v>
      </c>
      <c r="B2" s="6" t="s">
        <v>38</v>
      </c>
      <c r="C2" s="4">
        <v>80</v>
      </c>
      <c r="D2" s="4">
        <v>200</v>
      </c>
      <c r="E2" s="4">
        <v>362</v>
      </c>
      <c r="F2" s="4">
        <v>55</v>
      </c>
      <c r="G2" s="4">
        <v>180</v>
      </c>
      <c r="H2" s="4">
        <f>Table2121316[[#This Row],[Cost per Unit (OASE)]]*Table2121316[[#This Row],[Quantity]]</f>
        <v>14400</v>
      </c>
      <c r="I2" s="12">
        <f t="shared" ref="I2:I9" si="0">D2*G2</f>
        <v>36000</v>
      </c>
      <c r="J2" s="12">
        <f>Table2121316[[#This Row],[Cost per Unit(BSG)]]*Table2121316[[#This Row],[Quantity]]</f>
        <v>65160</v>
      </c>
      <c r="K2" s="35">
        <f>Table2121316[[#This Row],[Cost per Unit(Phillipson)]]*Table2121316[[#This Row],[Quantity]]</f>
        <v>9900</v>
      </c>
    </row>
    <row r="3" spans="1:11" x14ac:dyDescent="0.35">
      <c r="A3" s="6" t="s">
        <v>27</v>
      </c>
      <c r="B3" s="6" t="s">
        <v>76</v>
      </c>
      <c r="C3" s="4">
        <v>40</v>
      </c>
      <c r="D3" s="4">
        <v>4</v>
      </c>
      <c r="E3" s="4">
        <v>0</v>
      </c>
      <c r="F3" s="4">
        <v>20</v>
      </c>
      <c r="G3" s="4">
        <v>32</v>
      </c>
      <c r="H3" s="4">
        <f>Table2121316[[#This Row],[Cost per Unit (OASE)]]*Table2121316[[#This Row],[Quantity]]</f>
        <v>1280</v>
      </c>
      <c r="I3" s="12">
        <f t="shared" si="0"/>
        <v>128</v>
      </c>
      <c r="J3" s="12">
        <f>Table2121316[[#This Row],[Cost per Unit(BSG)]]*Table2121316[[#This Row],[Quantity]]</f>
        <v>0</v>
      </c>
      <c r="K3" s="35">
        <f>Table2121316[[#This Row],[Cost per Unit(Phillipson)]]*Table2121316[[#This Row],[Quantity]]</f>
        <v>640</v>
      </c>
    </row>
    <row r="4" spans="1:11" x14ac:dyDescent="0.35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3200</v>
      </c>
      <c r="H4" s="4">
        <f>Table2121316[[#This Row],[Cost per Unit (OASE)]]*Table2121316[[#This Row],[Quantity]]</f>
        <v>320</v>
      </c>
      <c r="I4" s="12">
        <f t="shared" si="0"/>
        <v>0</v>
      </c>
      <c r="J4" s="12">
        <f>Table2121316[[#This Row],[Cost per Unit(BSG)]]*Table2121316[[#This Row],[Quantity]]</f>
        <v>0</v>
      </c>
      <c r="K4" s="35">
        <f>Table2121316[[#This Row],[Cost per Unit(Phillipson)]]*Table2121316[[#This Row],[Quantity]]</f>
        <v>0</v>
      </c>
    </row>
    <row r="5" spans="1:11" x14ac:dyDescent="0.35">
      <c r="A5" s="6" t="s">
        <v>27</v>
      </c>
      <c r="B5" s="6" t="s">
        <v>46</v>
      </c>
      <c r="C5" s="4">
        <v>400</v>
      </c>
      <c r="D5" s="4">
        <v>3000</v>
      </c>
      <c r="E5" s="4">
        <v>0</v>
      </c>
      <c r="F5" s="4">
        <v>0</v>
      </c>
      <c r="G5" s="4">
        <v>1</v>
      </c>
      <c r="H5" s="4">
        <f>Table2121316[[#This Row],[Cost per Unit (OASE)]]*Table2121316[[#This Row],[Quantity]]</f>
        <v>400</v>
      </c>
      <c r="I5" s="12">
        <f t="shared" si="0"/>
        <v>3000</v>
      </c>
      <c r="J5" s="12">
        <f>Table2121316[[#This Row],[Cost per Unit(BSG)]]*Table2121316[[#This Row],[Quantity]]</f>
        <v>0</v>
      </c>
      <c r="K5" s="35">
        <f>Table2121316[[#This Row],[Cost per Unit(Phillipson)]]*Table2121316[[#This Row],[Quantity]]</f>
        <v>0</v>
      </c>
    </row>
    <row r="6" spans="1:11" x14ac:dyDescent="0.35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16</v>
      </c>
      <c r="H6" s="4">
        <f>Table2121316[[#This Row],[Cost per Unit (OASE)]]*Table2121316[[#This Row],[Quantity]]</f>
        <v>384</v>
      </c>
      <c r="I6" s="12">
        <f t="shared" si="0"/>
        <v>64</v>
      </c>
      <c r="J6" s="12">
        <f>Table2121316[[#This Row],[Cost per Unit(BSG)]]*Table2121316[[#This Row],[Quantity]]</f>
        <v>22.4</v>
      </c>
      <c r="K6" s="35">
        <f>Table2121316[[#This Row],[Cost per Unit(Phillipson)]]*Table2121316[[#This Row],[Quantity]]</f>
        <v>0</v>
      </c>
    </row>
    <row r="7" spans="1:11" x14ac:dyDescent="0.35">
      <c r="A7" s="6" t="s">
        <v>30</v>
      </c>
      <c r="B7" s="6" t="s">
        <v>77</v>
      </c>
      <c r="C7" s="4">
        <v>0.9</v>
      </c>
      <c r="D7" s="4">
        <v>10</v>
      </c>
      <c r="E7" s="4">
        <v>1.4</v>
      </c>
      <c r="F7" s="4">
        <v>10</v>
      </c>
      <c r="G7" s="4">
        <v>610</v>
      </c>
      <c r="H7" s="4">
        <f>Table2121316[[#This Row],[Cost per Unit (OASE)]]*Table2121316[[#This Row],[Quantity]]</f>
        <v>549</v>
      </c>
      <c r="I7" s="12">
        <f t="shared" si="0"/>
        <v>6100</v>
      </c>
      <c r="J7" s="12">
        <f>Table2121316[[#This Row],[Cost per Unit(BSG)]]*Table2121316[[#This Row],[Quantity]]</f>
        <v>854</v>
      </c>
      <c r="K7" s="35">
        <f>Table2121316[[#This Row],[Cost per Unit(Phillipson)]]*Table2121316[[#This Row],[Quantity]]</f>
        <v>6100</v>
      </c>
    </row>
    <row r="8" spans="1:11" x14ac:dyDescent="0.35">
      <c r="A8" s="6" t="s">
        <v>75</v>
      </c>
      <c r="B8" s="6" t="s">
        <v>73</v>
      </c>
      <c r="C8" s="4">
        <v>3.3</v>
      </c>
      <c r="D8" s="4">
        <f>250/50</f>
        <v>5</v>
      </c>
      <c r="E8" s="4">
        <f>150/44.97</f>
        <v>3.3355570380253505</v>
      </c>
      <c r="F8" s="4">
        <v>5</v>
      </c>
      <c r="G8" s="4">
        <v>5000</v>
      </c>
      <c r="H8" s="4">
        <f>Table2121316[[#This Row],[Cost per Unit (OASE)]]*Table2121316[[#This Row],[Quantity]]</f>
        <v>16500</v>
      </c>
      <c r="I8" s="12">
        <f t="shared" si="0"/>
        <v>25000</v>
      </c>
      <c r="J8" s="12">
        <f>Table2121316[[#This Row],[Cost per Unit(BSG)]]*Table2121316[[#This Row],[Quantity]]</f>
        <v>16677.785190126753</v>
      </c>
      <c r="K8" s="35">
        <f>Table2121316[[#This Row],[Cost per Unit(Phillipson)]]*Table2121316[[#This Row],[Quantity]]</f>
        <v>25000</v>
      </c>
    </row>
    <row r="9" spans="1:11" x14ac:dyDescent="0.35">
      <c r="A9" s="6" t="s">
        <v>75</v>
      </c>
      <c r="B9" s="6" t="s">
        <v>63</v>
      </c>
      <c r="C9" s="4">
        <v>10</v>
      </c>
      <c r="D9" s="4">
        <v>10</v>
      </c>
      <c r="E9" s="4">
        <v>24</v>
      </c>
      <c r="F9" s="4">
        <v>10</v>
      </c>
      <c r="G9" s="4">
        <v>5000</v>
      </c>
      <c r="H9" s="4">
        <f>Table2121316[[#This Row],[Cost per Unit (OASE)]]*Table2121316[[#This Row],[Quantity]]</f>
        <v>50000</v>
      </c>
      <c r="I9" s="12">
        <f t="shared" si="0"/>
        <v>50000</v>
      </c>
      <c r="J9" s="12">
        <f>Table2121316[[#This Row],[Cost per Unit(BSG)]]*Table2121316[[#This Row],[Quantity]]</f>
        <v>120000</v>
      </c>
      <c r="K9" s="35">
        <f>Table2121316[[#This Row],[Cost per Unit(Phillipson)]]*Table2121316[[#This Row],[Quantity]]</f>
        <v>50000</v>
      </c>
    </row>
    <row r="14" spans="1:11" x14ac:dyDescent="0.35">
      <c r="A14" s="19" t="s">
        <v>82</v>
      </c>
      <c r="B14" s="19" t="s">
        <v>35</v>
      </c>
      <c r="C14" s="19" t="s">
        <v>36</v>
      </c>
      <c r="D14" s="19" t="s">
        <v>37</v>
      </c>
      <c r="E14" s="19" t="s">
        <v>34</v>
      </c>
    </row>
    <row r="15" spans="1:11" ht="15" thickBot="1" x14ac:dyDescent="0.4">
      <c r="A15" s="19" t="s">
        <v>83</v>
      </c>
      <c r="B15" s="20">
        <f>SUM(H2:H5)</f>
        <v>16400</v>
      </c>
      <c r="C15" s="20">
        <f>SUM(H6:H7)</f>
        <v>933</v>
      </c>
      <c r="D15" s="10">
        <f>SUM(H8:H9)</f>
        <v>66500</v>
      </c>
      <c r="E15" s="5">
        <f>SUM(B15:D15)</f>
        <v>83833</v>
      </c>
      <c r="F15" s="5"/>
    </row>
    <row r="16" spans="1:11" ht="15.5" thickTop="1" thickBot="1" x14ac:dyDescent="0.4">
      <c r="A16" s="19" t="s">
        <v>84</v>
      </c>
      <c r="B16" s="19">
        <f>SUM(I2:I5)</f>
        <v>39128</v>
      </c>
      <c r="C16" s="19">
        <f>SUM(I6:I7)</f>
        <v>6164</v>
      </c>
      <c r="D16" s="19">
        <f>SUM(I8:I9)</f>
        <v>75000</v>
      </c>
      <c r="E16" s="5">
        <f>SUM(B16:D16)</f>
        <v>120292</v>
      </c>
      <c r="F16" s="5"/>
    </row>
    <row r="17" spans="1:6" ht="15.5" thickTop="1" thickBot="1" x14ac:dyDescent="0.4">
      <c r="A17" s="19" t="s">
        <v>108</v>
      </c>
      <c r="B17" s="19">
        <f>SUM(J2:J5)</f>
        <v>65160</v>
      </c>
      <c r="C17" s="19">
        <f>SUM(J6:J7)</f>
        <v>876.4</v>
      </c>
      <c r="D17" s="19">
        <f>SUM(J8:J9)</f>
        <v>136677.78519012674</v>
      </c>
      <c r="E17" s="5">
        <f>SUM(B17:D17)</f>
        <v>202714.18519012674</v>
      </c>
      <c r="F17" s="5"/>
    </row>
    <row r="18" spans="1:6" ht="15.5" thickTop="1" thickBot="1" x14ac:dyDescent="0.4">
      <c r="A18" s="19" t="s">
        <v>6</v>
      </c>
      <c r="B18" s="24">
        <f>SUM(K2:K5)</f>
        <v>10540</v>
      </c>
      <c r="C18" s="24">
        <f>SUM(K6:K7)</f>
        <v>6100</v>
      </c>
      <c r="D18" s="24">
        <f>SUM(K8:K9)</f>
        <v>75000</v>
      </c>
      <c r="E18" s="5">
        <f>SUM(B18:D18)</f>
        <v>91640</v>
      </c>
    </row>
    <row r="19" spans="1:6" ht="15" thickTop="1" x14ac:dyDescent="0.35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69"/>
  <sheetViews>
    <sheetView zoomScale="80" zoomScaleNormal="80" workbookViewId="0">
      <selection activeCell="G32" sqref="G32"/>
    </sheetView>
  </sheetViews>
  <sheetFormatPr defaultRowHeight="14.5" x14ac:dyDescent="0.35"/>
  <cols>
    <col min="1" max="4" width="36.26953125" customWidth="1"/>
    <col min="5" max="5" width="32.81640625" customWidth="1"/>
    <col min="6" max="6" width="36.7265625" customWidth="1"/>
    <col min="7" max="8" width="29.54296875" customWidth="1"/>
    <col min="9" max="9" width="32.7265625" customWidth="1"/>
    <col min="10" max="10" width="30.1796875" customWidth="1"/>
    <col min="11" max="11" width="18.81640625" customWidth="1"/>
  </cols>
  <sheetData>
    <row r="1" spans="1:11" x14ac:dyDescent="0.35">
      <c r="A1" t="s">
        <v>57</v>
      </c>
    </row>
    <row r="2" spans="1:11" x14ac:dyDescent="0.35">
      <c r="A2" t="s">
        <v>49</v>
      </c>
      <c r="B2" t="s">
        <v>1</v>
      </c>
      <c r="C2" t="s">
        <v>2</v>
      </c>
      <c r="D2" t="s">
        <v>61</v>
      </c>
      <c r="E2" t="s">
        <v>59</v>
      </c>
      <c r="F2" t="s">
        <v>60</v>
      </c>
      <c r="G2" t="s">
        <v>55</v>
      </c>
      <c r="H2" t="s">
        <v>138</v>
      </c>
      <c r="I2" t="s">
        <v>56</v>
      </c>
      <c r="J2" t="s">
        <v>113</v>
      </c>
      <c r="K2" t="s">
        <v>58</v>
      </c>
    </row>
    <row r="3" spans="1:11" x14ac:dyDescent="0.35">
      <c r="A3" t="s">
        <v>50</v>
      </c>
      <c r="B3">
        <v>96261.143172944852</v>
      </c>
      <c r="C3">
        <v>5.1327825331856927</v>
      </c>
      <c r="D3">
        <f>'FTTCab GPON 26 Mbps'!B$18</f>
        <v>3056.8888888888887</v>
      </c>
      <c r="E3" s="24">
        <f>'FTTCab GPON 26 Mbps'!C$18</f>
        <v>158553.60000000001</v>
      </c>
      <c r="F3" s="24">
        <f>'FTTCab GPON 26 Mbps'!D$18</f>
        <v>0</v>
      </c>
      <c r="G3">
        <f>SUM(B3:F3)</f>
        <v>257876.76484436693</v>
      </c>
      <c r="H3">
        <f t="shared" ref="H3:H15" si="0">G3*50</f>
        <v>12893838.242218347</v>
      </c>
      <c r="I3">
        <v>29262</v>
      </c>
      <c r="J3">
        <f>G3/I3</f>
        <v>8.812684192617283</v>
      </c>
      <c r="K3">
        <v>25</v>
      </c>
    </row>
    <row r="4" spans="1:11" x14ac:dyDescent="0.35">
      <c r="A4" t="s">
        <v>51</v>
      </c>
      <c r="B4">
        <v>146337.87420813384</v>
      </c>
      <c r="C4">
        <v>12.814589886676153</v>
      </c>
      <c r="D4">
        <f>'FTTB XGPON 50 Mbps'!B$17</f>
        <v>6261.333333333333</v>
      </c>
      <c r="E4" s="24">
        <f>'FTTB XGPON 50 Mbps'!C$17</f>
        <v>4005.6</v>
      </c>
      <c r="F4" s="24">
        <f>'FTTB XGPON 50 Mbps'!D$17</f>
        <v>30500</v>
      </c>
      <c r="G4" s="13">
        <f>SUM(B4:F4)</f>
        <v>187117.62213135386</v>
      </c>
      <c r="H4" s="19">
        <f t="shared" si="0"/>
        <v>9355881.106567692</v>
      </c>
      <c r="I4">
        <v>29262</v>
      </c>
      <c r="J4" s="24">
        <f t="shared" ref="J4:J15" si="1">G4/I4</f>
        <v>6.3945602532757109</v>
      </c>
      <c r="K4">
        <v>50</v>
      </c>
    </row>
    <row r="5" spans="1:11" x14ac:dyDescent="0.35">
      <c r="A5" t="s">
        <v>135</v>
      </c>
      <c r="B5">
        <v>78872.086550701642</v>
      </c>
      <c r="C5">
        <v>14.612123172178348</v>
      </c>
      <c r="D5">
        <f>'FTTB WR-WDMPON 50 Mbps'!B15</f>
        <v>5611.5666666666666</v>
      </c>
      <c r="E5" s="24">
        <f>'FTTB WR-WDMPON 50 Mbps'!C15</f>
        <v>1656</v>
      </c>
      <c r="F5" s="24">
        <f>'FTTB WR-WDMPON 50 Mbps'!D15</f>
        <v>60500</v>
      </c>
      <c r="G5" s="13">
        <f t="shared" ref="G5:G6" si="2">SUM(B5:F5)</f>
        <v>146654.2653405405</v>
      </c>
      <c r="H5" s="19">
        <f t="shared" si="0"/>
        <v>7332713.2670270251</v>
      </c>
      <c r="I5">
        <v>29262</v>
      </c>
      <c r="J5" s="24">
        <f t="shared" si="1"/>
        <v>5.0117649285947818</v>
      </c>
      <c r="K5">
        <v>50</v>
      </c>
    </row>
    <row r="6" spans="1:11" x14ac:dyDescent="0.35">
      <c r="A6" t="s">
        <v>136</v>
      </c>
      <c r="B6">
        <v>78872.086550701642</v>
      </c>
      <c r="C6">
        <v>14.612123172178348</v>
      </c>
      <c r="D6">
        <f>'FTTH WR-WDMPON 100 Mbps'!B15</f>
        <v>44405.233333333337</v>
      </c>
      <c r="E6" s="24">
        <f>'FTTH WR-WDMPON 100 Mbps'!C15</f>
        <v>11592</v>
      </c>
      <c r="F6" s="24">
        <f>'FTTH WR-WDMPON 100 Mbps'!D15</f>
        <v>159000</v>
      </c>
      <c r="G6" s="13">
        <f t="shared" si="2"/>
        <v>293883.93200720719</v>
      </c>
      <c r="H6" s="19">
        <f t="shared" si="0"/>
        <v>14694196.60036036</v>
      </c>
      <c r="I6">
        <v>29262</v>
      </c>
      <c r="J6" s="24">
        <f t="shared" si="1"/>
        <v>10.043193630210075</v>
      </c>
      <c r="K6">
        <v>100</v>
      </c>
    </row>
    <row r="7" spans="1:11" x14ac:dyDescent="0.35">
      <c r="A7" t="s">
        <v>54</v>
      </c>
      <c r="B7">
        <v>146337.87420813384</v>
      </c>
      <c r="C7">
        <v>12.814589886676153</v>
      </c>
      <c r="D7">
        <f>'FTTH XGPON 100 Mbps'!B17</f>
        <v>10122.666666666666</v>
      </c>
      <c r="E7" s="24">
        <f>'FTTH XGPON 100 Mbps'!C17</f>
        <v>4005.6</v>
      </c>
      <c r="F7" s="24">
        <f>'FTTH XGPON 100 Mbps'!D17</f>
        <v>152778.6</v>
      </c>
      <c r="G7" s="13">
        <f>SUM(B7:F7)</f>
        <v>313257.55546468718</v>
      </c>
      <c r="H7" s="19">
        <f t="shared" si="0"/>
        <v>15662877.773234358</v>
      </c>
      <c r="I7">
        <v>29262</v>
      </c>
      <c r="J7" s="24">
        <f t="shared" si="1"/>
        <v>10.705268111020681</v>
      </c>
      <c r="K7">
        <v>100</v>
      </c>
    </row>
    <row r="8" spans="1:11" x14ac:dyDescent="0.35">
      <c r="A8" t="s">
        <v>65</v>
      </c>
      <c r="B8" s="13">
        <v>96261.143172944852</v>
      </c>
      <c r="C8" s="13">
        <v>5.1327825331856927</v>
      </c>
      <c r="D8" s="13">
        <f>FTTCab_GPON_100!B16</f>
        <v>5882.666666666667</v>
      </c>
      <c r="E8" s="24">
        <f>FTTCab_GPON_100!C16</f>
        <v>163819.20000000001</v>
      </c>
      <c r="F8" s="24">
        <f>FTTCab_GPON_100!D16</f>
        <v>0</v>
      </c>
      <c r="G8">
        <f>SUM(B8:F8)</f>
        <v>265968.14262214472</v>
      </c>
      <c r="H8" s="19">
        <f t="shared" si="0"/>
        <v>13298407.131107235</v>
      </c>
      <c r="I8" s="13">
        <v>29262</v>
      </c>
      <c r="J8" s="24">
        <f t="shared" si="1"/>
        <v>9.0891990507191824</v>
      </c>
      <c r="K8" s="13">
        <v>100</v>
      </c>
    </row>
    <row r="9" spans="1:11" x14ac:dyDescent="0.35">
      <c r="A9" t="s">
        <v>66</v>
      </c>
      <c r="B9" s="13">
        <v>146337.87420813384</v>
      </c>
      <c r="C9" s="13">
        <v>12.814589886676153</v>
      </c>
      <c r="D9">
        <f>FTTB_XGPON_100!B16</f>
        <v>20010.666666666668</v>
      </c>
      <c r="E9">
        <v>2002.8</v>
      </c>
      <c r="F9">
        <v>59987.1</v>
      </c>
      <c r="G9">
        <f>SUM(B9:F9)</f>
        <v>228351.25546468716</v>
      </c>
      <c r="H9" s="19">
        <f t="shared" si="0"/>
        <v>11417562.773234358</v>
      </c>
      <c r="I9" s="13">
        <v>29262</v>
      </c>
      <c r="J9" s="24">
        <f t="shared" si="1"/>
        <v>7.8036790193659753</v>
      </c>
      <c r="K9" s="13">
        <v>100</v>
      </c>
    </row>
    <row r="10" spans="1:11" x14ac:dyDescent="0.35">
      <c r="A10" s="13" t="s">
        <v>137</v>
      </c>
      <c r="B10" s="13">
        <v>78872.086550701642</v>
      </c>
      <c r="C10" s="13">
        <v>14.612123172178348</v>
      </c>
      <c r="D10">
        <f>FTTB_WRWDM_100!B14</f>
        <v>12519.333333333334</v>
      </c>
      <c r="E10" s="24">
        <f>FTTB_WRWDM_100!C14</f>
        <v>3360</v>
      </c>
      <c r="F10" s="24">
        <f>FTTB_WRWDM_100!D14</f>
        <v>118600</v>
      </c>
      <c r="G10">
        <f>SUM(B10:F10)</f>
        <v>213366.03200720716</v>
      </c>
      <c r="H10" s="19">
        <f t="shared" si="0"/>
        <v>10668301.600360358</v>
      </c>
      <c r="I10" s="13">
        <v>29262</v>
      </c>
      <c r="J10" s="24">
        <f t="shared" si="1"/>
        <v>7.291573781942696</v>
      </c>
      <c r="K10" s="13">
        <v>100</v>
      </c>
    </row>
    <row r="11" spans="1:11" x14ac:dyDescent="0.35">
      <c r="A11" s="18" t="s">
        <v>68</v>
      </c>
      <c r="B11">
        <v>114876.35990534152</v>
      </c>
      <c r="C11">
        <v>12.594228370284263</v>
      </c>
      <c r="D11">
        <f>FTTCab_Hybridpon_25!B16</f>
        <v>4400</v>
      </c>
      <c r="E11" s="24">
        <f>FTTCab_Hybridpon_25!C16</f>
        <v>109884</v>
      </c>
      <c r="F11" s="24">
        <f>FTTCab_Hybridpon_25!D16</f>
        <v>0</v>
      </c>
      <c r="G11">
        <f t="shared" ref="G11:G15" si="3">SUM(B11:F11)</f>
        <v>229172.95413371181</v>
      </c>
      <c r="H11" s="19">
        <f t="shared" si="0"/>
        <v>11458647.706685591</v>
      </c>
      <c r="I11" s="19">
        <v>29262</v>
      </c>
      <c r="J11" s="24">
        <f t="shared" si="1"/>
        <v>7.8317597612504892</v>
      </c>
      <c r="K11">
        <v>25</v>
      </c>
    </row>
    <row r="12" spans="1:11" x14ac:dyDescent="0.35">
      <c r="A12" s="18" t="s">
        <v>69</v>
      </c>
      <c r="B12">
        <v>115530.46906962365</v>
      </c>
      <c r="C12">
        <v>12.211670303203721</v>
      </c>
      <c r="D12">
        <f>FTTB_Hybridpon_50!B15</f>
        <v>8160</v>
      </c>
      <c r="E12" s="24">
        <f>FTTB_Hybridpon_50!C15</f>
        <v>555</v>
      </c>
      <c r="F12" s="24">
        <f>FTTB_Hybridpon_50!D15</f>
        <v>55500</v>
      </c>
      <c r="G12">
        <f t="shared" si="3"/>
        <v>179757.68073992687</v>
      </c>
      <c r="H12" s="19">
        <f t="shared" si="0"/>
        <v>8987884.0369963441</v>
      </c>
      <c r="I12" s="19">
        <v>29262</v>
      </c>
      <c r="J12" s="24">
        <f t="shared" si="1"/>
        <v>6.143041512539364</v>
      </c>
      <c r="K12">
        <v>50</v>
      </c>
    </row>
    <row r="13" spans="1:11" x14ac:dyDescent="0.35">
      <c r="A13" s="18" t="s">
        <v>70</v>
      </c>
      <c r="B13">
        <v>115530.46906962365</v>
      </c>
      <c r="C13">
        <v>10.331648594515361</v>
      </c>
      <c r="D13">
        <f>FTTH_Hybridpon_100!B15</f>
        <v>15920</v>
      </c>
      <c r="E13" s="24">
        <f>FTTH_Hybridpon_100!C15</f>
        <v>519</v>
      </c>
      <c r="F13" s="24">
        <f>FTTH_Hybridpon_100!D15</f>
        <v>198000</v>
      </c>
      <c r="G13">
        <f t="shared" si="3"/>
        <v>329979.80071821815</v>
      </c>
      <c r="H13" s="19">
        <f t="shared" si="0"/>
        <v>16498990.035910908</v>
      </c>
      <c r="I13" s="19">
        <v>29262</v>
      </c>
      <c r="J13" s="24">
        <f t="shared" si="1"/>
        <v>11.276734355758942</v>
      </c>
      <c r="K13">
        <v>100</v>
      </c>
    </row>
    <row r="14" spans="1:11" x14ac:dyDescent="0.35">
      <c r="A14" s="18" t="s">
        <v>71</v>
      </c>
      <c r="B14">
        <v>114876.35990534152</v>
      </c>
      <c r="C14">
        <v>12.594228370284263</v>
      </c>
      <c r="D14">
        <f>FTTC_Hybridpon_100!B16</f>
        <v>31120</v>
      </c>
      <c r="E14" s="24">
        <f>FTTC_Hybridpon_100!C16</f>
        <v>173868</v>
      </c>
      <c r="F14" s="24">
        <f>FTTC_Hybridpon_100!D16</f>
        <v>0</v>
      </c>
      <c r="G14">
        <f t="shared" si="3"/>
        <v>319876.95413371181</v>
      </c>
      <c r="H14" s="19">
        <f t="shared" si="0"/>
        <v>15993847.706685591</v>
      </c>
      <c r="I14" s="19">
        <v>29262</v>
      </c>
      <c r="J14" s="24">
        <f t="shared" si="1"/>
        <v>10.931479534335036</v>
      </c>
      <c r="K14">
        <v>100</v>
      </c>
    </row>
    <row r="15" spans="1:11" x14ac:dyDescent="0.35">
      <c r="A15" s="15" t="s">
        <v>72</v>
      </c>
      <c r="B15" s="17">
        <v>115530.46906962365</v>
      </c>
      <c r="C15" s="17">
        <v>9.5120485945153614</v>
      </c>
      <c r="D15" s="17">
        <f>FTTB_Hybridpon_100!B15</f>
        <v>16400</v>
      </c>
      <c r="E15" s="17">
        <f>FTTB_Hybridpon_100!C15</f>
        <v>933</v>
      </c>
      <c r="F15" s="17">
        <f>FTTB_Hybridpon_100!D15</f>
        <v>66500</v>
      </c>
      <c r="G15" s="17">
        <f t="shared" si="3"/>
        <v>199372.98111821816</v>
      </c>
      <c r="H15" s="19">
        <f t="shared" si="0"/>
        <v>9968649.0559109077</v>
      </c>
      <c r="I15" s="21">
        <v>29262</v>
      </c>
      <c r="J15" s="24">
        <f t="shared" si="1"/>
        <v>6.8133750638445134</v>
      </c>
      <c r="K15" s="17">
        <v>100</v>
      </c>
    </row>
    <row r="56" spans="3:6" x14ac:dyDescent="0.35">
      <c r="C56" s="22" t="s">
        <v>1</v>
      </c>
      <c r="D56" s="22" t="s">
        <v>2</v>
      </c>
      <c r="E56" s="22" t="s">
        <v>78</v>
      </c>
      <c r="F56" s="22" t="s">
        <v>3</v>
      </c>
    </row>
    <row r="57" spans="3:6" x14ac:dyDescent="0.35">
      <c r="C57">
        <f>B3</f>
        <v>96261.143172944852</v>
      </c>
      <c r="D57" s="24">
        <f t="shared" ref="D57:E57" si="4">C3</f>
        <v>5.1327825331856927</v>
      </c>
      <c r="E57" s="24">
        <f t="shared" si="4"/>
        <v>3056.8888888888887</v>
      </c>
      <c r="F57">
        <f>E3+F3</f>
        <v>158553.60000000001</v>
      </c>
    </row>
    <row r="58" spans="3:6" x14ac:dyDescent="0.35">
      <c r="C58" s="24">
        <f t="shared" ref="C58:E58" si="5">B4</f>
        <v>146337.87420813384</v>
      </c>
      <c r="D58" s="24">
        <f t="shared" si="5"/>
        <v>12.814589886676153</v>
      </c>
      <c r="E58" s="24">
        <f t="shared" si="5"/>
        <v>6261.333333333333</v>
      </c>
      <c r="F58" s="21">
        <f t="shared" ref="F58:F69" si="6">E4+F4</f>
        <v>34505.599999999999</v>
      </c>
    </row>
    <row r="59" spans="3:6" x14ac:dyDescent="0.35">
      <c r="C59" s="24">
        <f t="shared" ref="C59:E59" si="7">B5</f>
        <v>78872.086550701642</v>
      </c>
      <c r="D59" s="24">
        <f t="shared" si="7"/>
        <v>14.612123172178348</v>
      </c>
      <c r="E59" s="24">
        <f t="shared" si="7"/>
        <v>5611.5666666666666</v>
      </c>
      <c r="F59" s="21">
        <f t="shared" si="6"/>
        <v>62156</v>
      </c>
    </row>
    <row r="60" spans="3:6" x14ac:dyDescent="0.35">
      <c r="C60" s="24">
        <f t="shared" ref="C60:E60" si="8">B6</f>
        <v>78872.086550701642</v>
      </c>
      <c r="D60" s="24">
        <f t="shared" si="8"/>
        <v>14.612123172178348</v>
      </c>
      <c r="E60" s="24">
        <f t="shared" si="8"/>
        <v>44405.233333333337</v>
      </c>
      <c r="F60" s="21">
        <f t="shared" si="6"/>
        <v>170592</v>
      </c>
    </row>
    <row r="61" spans="3:6" x14ac:dyDescent="0.35">
      <c r="C61" s="24">
        <f t="shared" ref="C61:E61" si="9">B7</f>
        <v>146337.87420813384</v>
      </c>
      <c r="D61" s="24">
        <f t="shared" si="9"/>
        <v>12.814589886676153</v>
      </c>
      <c r="E61" s="24">
        <f t="shared" si="9"/>
        <v>10122.666666666666</v>
      </c>
      <c r="F61" s="21">
        <f t="shared" si="6"/>
        <v>156784.20000000001</v>
      </c>
    </row>
    <row r="62" spans="3:6" x14ac:dyDescent="0.35">
      <c r="C62" s="24">
        <f t="shared" ref="C62:E62" si="10">B8</f>
        <v>96261.143172944852</v>
      </c>
      <c r="D62" s="24">
        <f t="shared" si="10"/>
        <v>5.1327825331856927</v>
      </c>
      <c r="E62" s="24">
        <f t="shared" si="10"/>
        <v>5882.666666666667</v>
      </c>
      <c r="F62" s="21">
        <f t="shared" si="6"/>
        <v>163819.20000000001</v>
      </c>
    </row>
    <row r="63" spans="3:6" x14ac:dyDescent="0.35">
      <c r="C63" s="24">
        <f t="shared" ref="C63:E63" si="11">B9</f>
        <v>146337.87420813384</v>
      </c>
      <c r="D63" s="24">
        <f t="shared" si="11"/>
        <v>12.814589886676153</v>
      </c>
      <c r="E63" s="24">
        <f t="shared" si="11"/>
        <v>20010.666666666668</v>
      </c>
      <c r="F63" s="21">
        <f t="shared" si="6"/>
        <v>61989.9</v>
      </c>
    </row>
    <row r="64" spans="3:6" x14ac:dyDescent="0.35">
      <c r="C64" s="24">
        <f t="shared" ref="C64:E64" si="12">B10</f>
        <v>78872.086550701642</v>
      </c>
      <c r="D64" s="24">
        <f t="shared" si="12"/>
        <v>14.612123172178348</v>
      </c>
      <c r="E64" s="24">
        <f t="shared" si="12"/>
        <v>12519.333333333334</v>
      </c>
      <c r="F64" s="21">
        <f t="shared" si="6"/>
        <v>121960</v>
      </c>
    </row>
    <row r="65" spans="3:6" x14ac:dyDescent="0.35">
      <c r="C65" s="24">
        <f t="shared" ref="C65:E65" si="13">B11</f>
        <v>114876.35990534152</v>
      </c>
      <c r="D65" s="24">
        <f t="shared" si="13"/>
        <v>12.594228370284263</v>
      </c>
      <c r="E65" s="24">
        <f t="shared" si="13"/>
        <v>4400</v>
      </c>
      <c r="F65" s="21">
        <f t="shared" si="6"/>
        <v>109884</v>
      </c>
    </row>
    <row r="66" spans="3:6" x14ac:dyDescent="0.35">
      <c r="C66" s="24">
        <f t="shared" ref="C66:E66" si="14">B12</f>
        <v>115530.46906962365</v>
      </c>
      <c r="D66" s="24">
        <f t="shared" si="14"/>
        <v>12.211670303203721</v>
      </c>
      <c r="E66" s="24">
        <f t="shared" si="14"/>
        <v>8160</v>
      </c>
      <c r="F66" s="21">
        <f t="shared" si="6"/>
        <v>56055</v>
      </c>
    </row>
    <row r="67" spans="3:6" x14ac:dyDescent="0.35">
      <c r="C67" s="24">
        <f t="shared" ref="C67:E67" si="15">B13</f>
        <v>115530.46906962365</v>
      </c>
      <c r="D67" s="24">
        <f t="shared" si="15"/>
        <v>10.331648594515361</v>
      </c>
      <c r="E67" s="24">
        <f t="shared" si="15"/>
        <v>15920</v>
      </c>
      <c r="F67" s="21">
        <f t="shared" si="6"/>
        <v>198519</v>
      </c>
    </row>
    <row r="68" spans="3:6" x14ac:dyDescent="0.35">
      <c r="C68" s="24">
        <f t="shared" ref="C68:E68" si="16">B14</f>
        <v>114876.35990534152</v>
      </c>
      <c r="D68" s="24">
        <f t="shared" si="16"/>
        <v>12.594228370284263</v>
      </c>
      <c r="E68" s="24">
        <f t="shared" si="16"/>
        <v>31120</v>
      </c>
      <c r="F68" s="21">
        <f t="shared" si="6"/>
        <v>173868</v>
      </c>
    </row>
    <row r="69" spans="3:6" x14ac:dyDescent="0.35">
      <c r="C69" s="24">
        <f t="shared" ref="C69:E69" si="17">B15</f>
        <v>115530.46906962365</v>
      </c>
      <c r="D69" s="24">
        <f t="shared" si="17"/>
        <v>9.5120485945153614</v>
      </c>
      <c r="E69" s="24">
        <f t="shared" si="17"/>
        <v>16400</v>
      </c>
      <c r="F69" s="21">
        <f t="shared" si="6"/>
        <v>67433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39"/>
  <sheetViews>
    <sheetView topLeftCell="F1" zoomScaleNormal="100" workbookViewId="0">
      <selection activeCell="A8" sqref="A8:XFD8"/>
    </sheetView>
  </sheetViews>
  <sheetFormatPr defaultRowHeight="14.5" x14ac:dyDescent="0.35"/>
  <cols>
    <col min="1" max="1" width="45" customWidth="1"/>
    <col min="2" max="3" width="45" style="21" customWidth="1"/>
    <col min="4" max="4" width="47.81640625" customWidth="1"/>
    <col min="5" max="5" width="22.81640625" customWidth="1"/>
    <col min="6" max="6" width="26.26953125" customWidth="1"/>
    <col min="7" max="7" width="25.453125" customWidth="1"/>
    <col min="8" max="8" width="26.26953125" customWidth="1"/>
    <col min="9" max="9" width="27.453125" customWidth="1"/>
    <col min="10" max="10" width="33.7265625" customWidth="1"/>
    <col min="11" max="11" width="22.453125" customWidth="1"/>
    <col min="12" max="12" width="18.453125" customWidth="1"/>
    <col min="13" max="13" width="17" customWidth="1"/>
  </cols>
  <sheetData>
    <row r="1" spans="1:13" x14ac:dyDescent="0.35">
      <c r="A1" s="21" t="s">
        <v>49</v>
      </c>
      <c r="B1" s="21" t="s">
        <v>88</v>
      </c>
      <c r="C1" s="21" t="s">
        <v>89</v>
      </c>
      <c r="D1" s="21" t="s">
        <v>1</v>
      </c>
      <c r="E1" s="21" t="s">
        <v>2</v>
      </c>
      <c r="F1" s="21" t="s">
        <v>61</v>
      </c>
      <c r="G1" s="21" t="s">
        <v>59</v>
      </c>
      <c r="H1" s="21" t="s">
        <v>60</v>
      </c>
      <c r="I1" s="21" t="s">
        <v>55</v>
      </c>
      <c r="J1" s="21" t="s">
        <v>91</v>
      </c>
      <c r="K1" s="21" t="s">
        <v>56</v>
      </c>
      <c r="L1" s="21" t="s">
        <v>90</v>
      </c>
      <c r="M1" s="21" t="s">
        <v>58</v>
      </c>
    </row>
    <row r="2" spans="1:13" x14ac:dyDescent="0.35">
      <c r="A2" s="21" t="s">
        <v>50</v>
      </c>
      <c r="B2" s="21">
        <f>B75+C75+D75</f>
        <v>85947.449261557893</v>
      </c>
      <c r="C2" s="21">
        <f>E75+F75+G75</f>
        <v>256639.12665928461</v>
      </c>
      <c r="D2" s="21">
        <f>35*Table717[[#This Row],[Duct Length]]/50</f>
        <v>60163.214483090531</v>
      </c>
      <c r="E2" s="21">
        <f>Table717[[#This Row],[Fiber Length]]*0.3/50</f>
        <v>1539.8347599557078</v>
      </c>
      <c r="F2" s="24">
        <f>'FTTCab GPON 26 Mbps'!$B$19</f>
        <v>7048</v>
      </c>
      <c r="G2" s="24">
        <f>'FTTCab GPON 26 Mbps'!C$19</f>
        <v>410444</v>
      </c>
      <c r="H2" s="24">
        <f>'FTTCab GPON 26 Mbps'!D$19</f>
        <v>0</v>
      </c>
      <c r="I2" s="21">
        <f>SUM(Table717[[#This Row],[Duct Cost]:[Building E&amp;I Costs]])</f>
        <v>479195.0492430462</v>
      </c>
      <c r="J2" s="21">
        <f t="shared" ref="J2:J14" si="0">I2*50</f>
        <v>23959752.46215231</v>
      </c>
      <c r="K2" s="21">
        <v>29262</v>
      </c>
      <c r="L2" s="21">
        <f>I2/K2</f>
        <v>16.376018359751424</v>
      </c>
      <c r="M2" s="21">
        <v>25</v>
      </c>
    </row>
    <row r="3" spans="1:13" x14ac:dyDescent="0.35">
      <c r="A3" s="21" t="s">
        <v>51</v>
      </c>
      <c r="B3" s="24">
        <f t="shared" ref="B3:B14" si="1">B76+C76+D76</f>
        <v>154545.71095359759</v>
      </c>
      <c r="C3" s="24">
        <f t="shared" ref="C3:C14" si="2">E76+F76+G76</f>
        <v>640729.49433380761</v>
      </c>
      <c r="D3" s="24">
        <f>35*Table717[[#This Row],[Duct Length]]/50</f>
        <v>108181.99766751831</v>
      </c>
      <c r="E3" s="24">
        <f>Table717[[#This Row],[Fiber Length]]*0.3/50</f>
        <v>3844.3769660028456</v>
      </c>
      <c r="F3" s="24">
        <f>'FTTB XGPON 50 Mbps'!$B$18</f>
        <v>12648</v>
      </c>
      <c r="G3" s="24">
        <f>'FTTB XGPON 50 Mbps'!C$18</f>
        <v>16568</v>
      </c>
      <c r="H3" s="24">
        <f>'FTTB XGPON 50 Mbps'!D$18</f>
        <v>70000</v>
      </c>
      <c r="I3" s="24">
        <f>SUM(Table717[[#This Row],[Duct Cost]:[Building E&amp;I Costs]])</f>
        <v>211242.37463352116</v>
      </c>
      <c r="J3" s="21">
        <f t="shared" si="0"/>
        <v>10562118.731676059</v>
      </c>
      <c r="K3" s="21">
        <v>29262</v>
      </c>
      <c r="L3" s="24">
        <f t="shared" ref="L3:L14" si="3">I3/K3</f>
        <v>7.218999884953905</v>
      </c>
      <c r="M3" s="21">
        <v>50</v>
      </c>
    </row>
    <row r="4" spans="1:13" x14ac:dyDescent="0.35">
      <c r="A4" s="21" t="s">
        <v>52</v>
      </c>
      <c r="B4" s="24">
        <f t="shared" si="1"/>
        <v>95562.640830078599</v>
      </c>
      <c r="C4" s="24">
        <f t="shared" si="2"/>
        <v>730606.15860891738</v>
      </c>
      <c r="D4" s="24">
        <f>35*Table717[[#This Row],[Duct Length]]/50</f>
        <v>66893.848581055019</v>
      </c>
      <c r="E4" s="24">
        <f>Table717[[#This Row],[Fiber Length]]*0.3/50</f>
        <v>4383.6369516535042</v>
      </c>
      <c r="F4" s="24">
        <f>'FTTB WR-WDMPON 50 Mbps'!$B$16</f>
        <v>16800</v>
      </c>
      <c r="G4" s="24">
        <f>'FTTB WR-WDMPON 50 Mbps'!C16</f>
        <v>276</v>
      </c>
      <c r="H4" s="24">
        <f>'FTTB WR-WDMPON 50 Mbps'!D16</f>
        <v>75000</v>
      </c>
      <c r="I4" s="24">
        <f>SUM(Table717[[#This Row],[Duct Cost]:[Building E&amp;I Costs]])</f>
        <v>163353.48553270852</v>
      </c>
      <c r="J4" s="21">
        <f t="shared" si="0"/>
        <v>8167674.2766354261</v>
      </c>
      <c r="K4" s="21">
        <v>29262</v>
      </c>
      <c r="L4" s="24">
        <f t="shared" si="3"/>
        <v>5.5824443145618385</v>
      </c>
      <c r="M4" s="21">
        <v>50</v>
      </c>
    </row>
    <row r="5" spans="1:13" x14ac:dyDescent="0.35">
      <c r="A5" s="21" t="s">
        <v>53</v>
      </c>
      <c r="B5" s="24">
        <f t="shared" si="1"/>
        <v>95562.640830078599</v>
      </c>
      <c r="C5" s="24">
        <f t="shared" si="2"/>
        <v>730606.15860891738</v>
      </c>
      <c r="D5" s="24">
        <f>35*Table717[[#This Row],[Duct Length]]/50</f>
        <v>66893.848581055019</v>
      </c>
      <c r="E5" s="24">
        <f>Table717[[#This Row],[Fiber Length]]*0.3/50</f>
        <v>4383.6369516535042</v>
      </c>
      <c r="F5" s="24">
        <f>'FTTH WR-WDMPON 100 Mbps'!$B$16</f>
        <v>117600</v>
      </c>
      <c r="G5" s="24">
        <f>'FTTH WR-WDMPON 100 Mbps'!C16</f>
        <v>1932</v>
      </c>
      <c r="H5" s="24">
        <f>'FTTH WR-WDMPON 100 Mbps'!D16</f>
        <v>210000</v>
      </c>
      <c r="I5" s="24">
        <f>SUM(Table717[[#This Row],[Duct Cost]:[Building E&amp;I Costs]])</f>
        <v>400809.48553270852</v>
      </c>
      <c r="J5" s="21">
        <f t="shared" si="0"/>
        <v>20040474.276635427</v>
      </c>
      <c r="K5" s="21">
        <v>29262</v>
      </c>
      <c r="L5" s="24">
        <f t="shared" si="3"/>
        <v>13.697269001869611</v>
      </c>
      <c r="M5" s="21">
        <v>100</v>
      </c>
    </row>
    <row r="6" spans="1:13" x14ac:dyDescent="0.35">
      <c r="A6" s="21" t="s">
        <v>54</v>
      </c>
      <c r="B6" s="24">
        <f t="shared" si="1"/>
        <v>154545.71095359759</v>
      </c>
      <c r="C6" s="24">
        <f t="shared" si="2"/>
        <v>640729.49433380761</v>
      </c>
      <c r="D6" s="24">
        <f>35*Table717[[#This Row],[Duct Length]]/50</f>
        <v>108181.99766751831</v>
      </c>
      <c r="E6" s="24">
        <f>Table717[[#This Row],[Fiber Length]]*0.3/50</f>
        <v>3844.3769660028456</v>
      </c>
      <c r="F6" s="24">
        <f>'FTTH XGPON 100 Mbps'!$B$18</f>
        <v>19368</v>
      </c>
      <c r="G6" s="24">
        <f>'FTTH XGPON 100 Mbps'!C18</f>
        <v>16568</v>
      </c>
      <c r="H6" s="24">
        <f>'FTTH XGPON 100 Mbps'!D18</f>
        <v>258770</v>
      </c>
      <c r="I6" s="24">
        <f>SUM(Table717[[#This Row],[Duct Cost]:[Building E&amp;I Costs]])</f>
        <v>406732.37463352119</v>
      </c>
      <c r="J6" s="21">
        <f t="shared" si="0"/>
        <v>20336618.731676061</v>
      </c>
      <c r="K6" s="21">
        <v>29262</v>
      </c>
      <c r="L6" s="24">
        <f t="shared" si="3"/>
        <v>13.899677897393246</v>
      </c>
      <c r="M6" s="21">
        <v>100</v>
      </c>
    </row>
    <row r="7" spans="1:13" x14ac:dyDescent="0.35">
      <c r="A7" s="21" t="s">
        <v>65</v>
      </c>
      <c r="B7" s="24">
        <f t="shared" si="1"/>
        <v>85947.449261557893</v>
      </c>
      <c r="C7" s="24">
        <f t="shared" si="2"/>
        <v>256639.12665928461</v>
      </c>
      <c r="D7" s="24">
        <f>35*Table717[[#This Row],[Duct Length]]/50</f>
        <v>60163.214483090531</v>
      </c>
      <c r="E7" s="24">
        <f>Table717[[#This Row],[Fiber Length]]*0.3/50</f>
        <v>1539.8347599557078</v>
      </c>
      <c r="F7" s="24">
        <f>FTTCab_GPON_100!$B$17</f>
        <v>11948</v>
      </c>
      <c r="G7" s="24">
        <f>FTTCab_GPON_100!C17</f>
        <v>404436</v>
      </c>
      <c r="H7" s="24">
        <f>FTTCab_GPON_100!D17</f>
        <v>0</v>
      </c>
      <c r="I7" s="24">
        <f>SUM(Table717[[#This Row],[Duct Cost]:[Building E&amp;I Costs]])</f>
        <v>478087.0492430462</v>
      </c>
      <c r="J7" s="21">
        <f t="shared" si="0"/>
        <v>23904352.46215231</v>
      </c>
      <c r="K7" s="21">
        <v>29262</v>
      </c>
      <c r="L7" s="24">
        <f t="shared" si="3"/>
        <v>16.338153552151123</v>
      </c>
      <c r="M7" s="21">
        <v>100</v>
      </c>
    </row>
    <row r="8" spans="1:13" x14ac:dyDescent="0.35">
      <c r="A8" s="21" t="s">
        <v>66</v>
      </c>
      <c r="B8" s="24">
        <f t="shared" si="1"/>
        <v>154545.71095359759</v>
      </c>
      <c r="C8" s="24">
        <f t="shared" si="2"/>
        <v>640729.49433380761</v>
      </c>
      <c r="D8" s="24">
        <f>35*Table717[[#This Row],[Duct Length]]/50</f>
        <v>108181.99766751831</v>
      </c>
      <c r="E8" s="24">
        <f>Table717[[#This Row],[Fiber Length]]*0.3/50</f>
        <v>3844.3769660028456</v>
      </c>
      <c r="F8" s="24">
        <f>FTTB_XGPON_100!$B$17</f>
        <v>35736</v>
      </c>
      <c r="G8" s="24">
        <f>FTTB_XGPON_100!C17</f>
        <v>16568</v>
      </c>
      <c r="H8" s="24">
        <f>FTTB_XGPON_100!D17</f>
        <v>68278</v>
      </c>
      <c r="I8" s="24">
        <f>SUM(Table717[[#This Row],[Duct Cost]:[Building E&amp;I Costs]])</f>
        <v>232608.37463352116</v>
      </c>
      <c r="J8" s="21">
        <f t="shared" si="0"/>
        <v>11630418.731676059</v>
      </c>
      <c r="K8" s="21">
        <v>29262</v>
      </c>
      <c r="L8" s="24">
        <f t="shared" si="3"/>
        <v>7.9491618697806423</v>
      </c>
      <c r="M8" s="21">
        <v>100</v>
      </c>
    </row>
    <row r="9" spans="1:13" x14ac:dyDescent="0.35">
      <c r="A9" s="21" t="s">
        <v>67</v>
      </c>
      <c r="B9" s="24">
        <f t="shared" si="1"/>
        <v>95562.640830078599</v>
      </c>
      <c r="C9" s="24">
        <f t="shared" si="2"/>
        <v>730606.15860891738</v>
      </c>
      <c r="D9" s="24">
        <f>35*Table717[[#This Row],[Duct Length]]/50</f>
        <v>66893.848581055019</v>
      </c>
      <c r="E9" s="24">
        <f>Table717[[#This Row],[Fiber Length]]*0.3/50</f>
        <v>4383.6369516535042</v>
      </c>
      <c r="F9" s="24">
        <f>FTTB_WRWDM_100!$B$15</f>
        <v>34000</v>
      </c>
      <c r="G9" s="24">
        <f>FTTB_WRWDM_100!C15</f>
        <v>560</v>
      </c>
      <c r="H9" s="24">
        <f>FTTB_WRWDM_100!D15</f>
        <v>150000</v>
      </c>
      <c r="I9" s="24">
        <f>SUM(Table717[[#This Row],[Duct Cost]:[Building E&amp;I Costs]])</f>
        <v>255837.48553270852</v>
      </c>
      <c r="J9" s="21">
        <f t="shared" si="0"/>
        <v>12791874.276635427</v>
      </c>
      <c r="K9" s="21">
        <v>29262</v>
      </c>
      <c r="L9" s="24">
        <f t="shared" si="3"/>
        <v>8.7429938327082404</v>
      </c>
      <c r="M9" s="21">
        <v>100</v>
      </c>
    </row>
    <row r="10" spans="1:13" x14ac:dyDescent="0.35">
      <c r="A10" s="22" t="s">
        <v>68</v>
      </c>
      <c r="B10" s="24">
        <f t="shared" si="1"/>
        <v>126641.78711580401</v>
      </c>
      <c r="C10" s="24">
        <f t="shared" si="2"/>
        <v>629711.41851421306</v>
      </c>
      <c r="D10" s="24">
        <f>35*Table717[[#This Row],[Duct Length]]/50</f>
        <v>88649.250981062796</v>
      </c>
      <c r="E10" s="24">
        <f>Table717[[#This Row],[Fiber Length]]*0.3/50</f>
        <v>3778.2685110852781</v>
      </c>
      <c r="F10" s="24">
        <f>FTTCab_Hybridpon_25!$B$17</f>
        <v>9200</v>
      </c>
      <c r="G10" s="24">
        <f>FTTCab_Hybridpon_25!C17</f>
        <v>238140</v>
      </c>
      <c r="H10" s="24">
        <f>FTTCab_Hybridpon_25!D17</f>
        <v>0</v>
      </c>
      <c r="I10" s="24">
        <f>SUM(Table717[[#This Row],[Duct Cost]:[Building E&amp;I Costs]])</f>
        <v>339767.51949214807</v>
      </c>
      <c r="J10" s="21">
        <f t="shared" si="0"/>
        <v>16988375.974607404</v>
      </c>
      <c r="K10" s="21">
        <v>29262</v>
      </c>
      <c r="L10" s="24">
        <f t="shared" si="3"/>
        <v>11.611219994947307</v>
      </c>
      <c r="M10" s="21">
        <v>25</v>
      </c>
    </row>
    <row r="11" spans="1:13" x14ac:dyDescent="0.35">
      <c r="A11" s="22" t="s">
        <v>69</v>
      </c>
      <c r="B11" s="24">
        <f t="shared" si="1"/>
        <v>127537.82706687541</v>
      </c>
      <c r="C11" s="24">
        <f t="shared" si="2"/>
        <v>610583.51516018598</v>
      </c>
      <c r="D11" s="24">
        <f>35*Table717[[#This Row],[Duct Length]]/50</f>
        <v>89276.478946812786</v>
      </c>
      <c r="E11" s="24">
        <f>Table717[[#This Row],[Fiber Length]]*0.3/50</f>
        <v>3663.5010909611156</v>
      </c>
      <c r="F11" s="24">
        <f>FTTB_Hybridpon_50!$B$16</f>
        <v>21040</v>
      </c>
      <c r="G11" s="24">
        <f>FTTB_Hybridpon_50!C16</f>
        <v>3540</v>
      </c>
      <c r="H11" s="24">
        <f>FTTB_Hybridpon_50!D16</f>
        <v>75000</v>
      </c>
      <c r="I11" s="24">
        <f>SUM(Table717[[#This Row],[Duct Cost]:[Building E&amp;I Costs]])</f>
        <v>192519.9800377739</v>
      </c>
      <c r="J11" s="21">
        <f t="shared" si="0"/>
        <v>9625999.0018886942</v>
      </c>
      <c r="K11" s="21">
        <v>29262</v>
      </c>
      <c r="L11" s="24">
        <f t="shared" si="3"/>
        <v>6.5791805084332546</v>
      </c>
      <c r="M11" s="21">
        <v>50</v>
      </c>
    </row>
    <row r="12" spans="1:13" x14ac:dyDescent="0.35">
      <c r="A12" s="22" t="s">
        <v>70</v>
      </c>
      <c r="B12" s="24">
        <f t="shared" si="1"/>
        <v>127537.82706687541</v>
      </c>
      <c r="C12" s="24">
        <f t="shared" si="2"/>
        <v>2774954.5343040172</v>
      </c>
      <c r="D12" s="24">
        <f>35*Table717[[#This Row],[Duct Length]]/50</f>
        <v>89276.478946812786</v>
      </c>
      <c r="E12" s="24">
        <f>Table717[[#This Row],[Fiber Length]]*0.3/50</f>
        <v>16649.727205824103</v>
      </c>
      <c r="F12" s="24">
        <f>FTTH_Hybridpon_100!$B$16</f>
        <v>39080</v>
      </c>
      <c r="G12" s="24">
        <f>FTTH_Hybridpon_100!C16</f>
        <v>3140</v>
      </c>
      <c r="H12" s="24">
        <f>FTTH_Hybridpon_100!D16</f>
        <v>210000</v>
      </c>
      <c r="I12" s="24">
        <f>SUM(Table717[[#This Row],[Duct Cost]:[Building E&amp;I Costs]])</f>
        <v>358146.20615263691</v>
      </c>
      <c r="J12" s="21">
        <f t="shared" si="0"/>
        <v>17907310.307631847</v>
      </c>
      <c r="K12" s="21">
        <v>29262</v>
      </c>
      <c r="L12" s="24">
        <f t="shared" si="3"/>
        <v>12.239293491649132</v>
      </c>
      <c r="M12" s="21">
        <v>100</v>
      </c>
    </row>
    <row r="13" spans="1:13" x14ac:dyDescent="0.35">
      <c r="A13" s="22" t="s">
        <v>71</v>
      </c>
      <c r="B13" s="24">
        <f t="shared" si="1"/>
        <v>126641.78711580401</v>
      </c>
      <c r="C13" s="24">
        <f t="shared" si="2"/>
        <v>629711.41851421306</v>
      </c>
      <c r="D13" s="24">
        <f>35*Table717[[#This Row],[Duct Length]]/50</f>
        <v>88649.250981062796</v>
      </c>
      <c r="E13" s="24">
        <f>Table717[[#This Row],[Fiber Length]]*0.3/50</f>
        <v>3778.2685110852781</v>
      </c>
      <c r="F13" s="24">
        <f>FTTC_Hybridpon_100!$B$17</f>
        <v>28360</v>
      </c>
      <c r="G13" s="24">
        <f>FTTC_Hybridpon_100!C17</f>
        <v>402664</v>
      </c>
      <c r="H13" s="24">
        <f>FTTC_Hybridpon_100!D17</f>
        <v>0</v>
      </c>
      <c r="I13" s="24">
        <f>SUM(Table717[[#This Row],[Duct Cost]:[Building E&amp;I Costs]])</f>
        <v>523451.51949214807</v>
      </c>
      <c r="J13" s="21">
        <f t="shared" si="0"/>
        <v>26172575.974607404</v>
      </c>
      <c r="K13" s="21">
        <v>29262</v>
      </c>
      <c r="L13" s="24">
        <f t="shared" si="3"/>
        <v>17.888439597161781</v>
      </c>
      <c r="M13" s="21">
        <v>100</v>
      </c>
    </row>
    <row r="14" spans="1:13" x14ac:dyDescent="0.35">
      <c r="A14" s="15" t="s">
        <v>72</v>
      </c>
      <c r="B14" s="24">
        <f t="shared" si="1"/>
        <v>127537.82706687541</v>
      </c>
      <c r="C14" s="24">
        <f t="shared" si="2"/>
        <v>242118.791987937</v>
      </c>
      <c r="D14" s="24">
        <f>35*Table717[[#This Row],[Duct Length]]/50</f>
        <v>89276.478946812786</v>
      </c>
      <c r="E14" s="24">
        <f>Table717[[#This Row],[Fiber Length]]*0.3/50</f>
        <v>1452.7127519276221</v>
      </c>
      <c r="F14" s="17">
        <f>FTTB_Hybridpon_100!$B$16</f>
        <v>39128</v>
      </c>
      <c r="G14" s="17">
        <f>FTTB_Hybridpon_100!C16</f>
        <v>6164</v>
      </c>
      <c r="H14" s="17">
        <f>FTTB_Hybridpon_100!D16</f>
        <v>75000</v>
      </c>
      <c r="I14" s="24">
        <f>SUM(Table717[[#This Row],[Duct Cost]:[Building E&amp;I Costs]])</f>
        <v>211021.19169874041</v>
      </c>
      <c r="J14" s="21">
        <f t="shared" si="0"/>
        <v>10551059.584937021</v>
      </c>
      <c r="K14" s="21">
        <v>29262</v>
      </c>
      <c r="L14" s="24">
        <f t="shared" si="3"/>
        <v>7.2114411762265194</v>
      </c>
      <c r="M14" s="17">
        <v>100</v>
      </c>
    </row>
    <row r="28" spans="2:5" x14ac:dyDescent="0.35">
      <c r="B28" s="24"/>
      <c r="C28" s="24"/>
      <c r="D28" s="24"/>
    </row>
    <row r="29" spans="2:5" x14ac:dyDescent="0.35">
      <c r="B29" s="24"/>
      <c r="C29" s="24"/>
      <c r="D29" s="24"/>
      <c r="E29" s="23"/>
    </row>
    <row r="30" spans="2:5" x14ac:dyDescent="0.35">
      <c r="B30" s="24"/>
      <c r="C30" s="24"/>
      <c r="D30" s="24"/>
      <c r="E30" s="23"/>
    </row>
    <row r="31" spans="2:5" x14ac:dyDescent="0.35">
      <c r="B31" s="24"/>
      <c r="C31" s="24"/>
      <c r="D31" s="24"/>
      <c r="E31" s="23"/>
    </row>
    <row r="32" spans="2:5" x14ac:dyDescent="0.35">
      <c r="B32" s="24"/>
      <c r="C32" s="24"/>
      <c r="D32" s="24"/>
      <c r="E32" s="23"/>
    </row>
    <row r="33" spans="2:5" x14ac:dyDescent="0.35">
      <c r="B33" s="24"/>
      <c r="C33" s="24"/>
      <c r="D33" s="24"/>
      <c r="E33" s="23"/>
    </row>
    <row r="34" spans="2:5" x14ac:dyDescent="0.35">
      <c r="B34" s="24"/>
      <c r="C34" s="24"/>
      <c r="D34" s="24"/>
      <c r="E34" s="23"/>
    </row>
    <row r="35" spans="2:5" x14ac:dyDescent="0.35">
      <c r="B35" s="24"/>
      <c r="C35" s="24"/>
      <c r="D35" s="24"/>
      <c r="E35" s="23"/>
    </row>
    <row r="36" spans="2:5" x14ac:dyDescent="0.35">
      <c r="B36" s="24"/>
      <c r="C36" s="24"/>
      <c r="D36" s="24"/>
      <c r="E36" s="23"/>
    </row>
    <row r="37" spans="2:5" x14ac:dyDescent="0.35">
      <c r="B37" s="24"/>
      <c r="C37" s="24"/>
      <c r="D37" s="24"/>
      <c r="E37" s="23"/>
    </row>
    <row r="38" spans="2:5" x14ac:dyDescent="0.35">
      <c r="B38" s="24"/>
      <c r="C38" s="24"/>
      <c r="D38" s="24"/>
      <c r="E38" s="23"/>
    </row>
    <row r="39" spans="2:5" x14ac:dyDescent="0.35">
      <c r="B39" s="24"/>
      <c r="C39" s="24"/>
      <c r="D39" s="24"/>
      <c r="E39" s="23"/>
    </row>
    <row r="40" spans="2:5" x14ac:dyDescent="0.35">
      <c r="B40" s="24"/>
      <c r="C40" s="24"/>
      <c r="D40" s="24"/>
      <c r="E40" s="23"/>
    </row>
    <row r="55" spans="6:9" x14ac:dyDescent="0.35">
      <c r="F55" t="s">
        <v>1</v>
      </c>
      <c r="G55" t="s">
        <v>2</v>
      </c>
      <c r="H55" t="s">
        <v>127</v>
      </c>
      <c r="I55" t="s">
        <v>3</v>
      </c>
    </row>
    <row r="56" spans="6:9" x14ac:dyDescent="0.35">
      <c r="F56">
        <f>D2</f>
        <v>60163.214483090531</v>
      </c>
      <c r="G56" s="24">
        <f t="shared" ref="G56:H68" si="4">E2</f>
        <v>1539.8347599557078</v>
      </c>
      <c r="H56" s="24">
        <f t="shared" si="4"/>
        <v>7048</v>
      </c>
      <c r="I56">
        <f>G2+H2</f>
        <v>410444</v>
      </c>
    </row>
    <row r="57" spans="6:9" x14ac:dyDescent="0.35">
      <c r="F57" s="24">
        <f t="shared" ref="F57:F120" si="5">D3</f>
        <v>108181.99766751831</v>
      </c>
      <c r="G57" s="24">
        <f t="shared" si="4"/>
        <v>3844.3769660028456</v>
      </c>
      <c r="H57" s="24">
        <f t="shared" si="4"/>
        <v>12648</v>
      </c>
      <c r="I57" s="24">
        <f t="shared" ref="I57:I68" si="6">G3+H3</f>
        <v>86568</v>
      </c>
    </row>
    <row r="58" spans="6:9" x14ac:dyDescent="0.35">
      <c r="F58" s="24">
        <f t="shared" si="5"/>
        <v>66893.848581055019</v>
      </c>
      <c r="G58" s="24">
        <f t="shared" si="4"/>
        <v>4383.6369516535042</v>
      </c>
      <c r="H58" s="24">
        <f t="shared" si="4"/>
        <v>16800</v>
      </c>
      <c r="I58" s="24">
        <f t="shared" si="6"/>
        <v>75276</v>
      </c>
    </row>
    <row r="59" spans="6:9" x14ac:dyDescent="0.35">
      <c r="F59" s="24">
        <f t="shared" si="5"/>
        <v>66893.848581055019</v>
      </c>
      <c r="G59" s="24">
        <f t="shared" si="4"/>
        <v>4383.6369516535042</v>
      </c>
      <c r="H59" s="24">
        <f t="shared" si="4"/>
        <v>117600</v>
      </c>
      <c r="I59" s="24">
        <f t="shared" si="6"/>
        <v>211932</v>
      </c>
    </row>
    <row r="60" spans="6:9" x14ac:dyDescent="0.35">
      <c r="F60" s="24">
        <f t="shared" si="5"/>
        <v>108181.99766751831</v>
      </c>
      <c r="G60" s="24">
        <f t="shared" si="4"/>
        <v>3844.3769660028456</v>
      </c>
      <c r="H60" s="24">
        <f t="shared" si="4"/>
        <v>19368</v>
      </c>
      <c r="I60" s="24">
        <f t="shared" si="6"/>
        <v>275338</v>
      </c>
    </row>
    <row r="61" spans="6:9" x14ac:dyDescent="0.35">
      <c r="F61" s="24">
        <f t="shared" si="5"/>
        <v>60163.214483090531</v>
      </c>
      <c r="G61" s="24">
        <f t="shared" si="4"/>
        <v>1539.8347599557078</v>
      </c>
      <c r="H61" s="24">
        <f t="shared" si="4"/>
        <v>11948</v>
      </c>
      <c r="I61" s="24">
        <f t="shared" si="6"/>
        <v>404436</v>
      </c>
    </row>
    <row r="62" spans="6:9" x14ac:dyDescent="0.35">
      <c r="F62" s="24">
        <f t="shared" si="5"/>
        <v>108181.99766751831</v>
      </c>
      <c r="G62" s="24">
        <f t="shared" si="4"/>
        <v>3844.3769660028456</v>
      </c>
      <c r="H62" s="24">
        <f t="shared" si="4"/>
        <v>35736</v>
      </c>
      <c r="I62" s="24">
        <f t="shared" si="6"/>
        <v>84846</v>
      </c>
    </row>
    <row r="63" spans="6:9" x14ac:dyDescent="0.35">
      <c r="F63" s="24">
        <f t="shared" si="5"/>
        <v>66893.848581055019</v>
      </c>
      <c r="G63" s="24">
        <f t="shared" si="4"/>
        <v>4383.6369516535042</v>
      </c>
      <c r="H63" s="24">
        <f t="shared" si="4"/>
        <v>34000</v>
      </c>
      <c r="I63" s="24">
        <f t="shared" si="6"/>
        <v>150560</v>
      </c>
    </row>
    <row r="64" spans="6:9" x14ac:dyDescent="0.35">
      <c r="F64" s="24">
        <f t="shared" si="5"/>
        <v>88649.250981062796</v>
      </c>
      <c r="G64" s="24">
        <f t="shared" si="4"/>
        <v>3778.2685110852781</v>
      </c>
      <c r="H64" s="24">
        <f t="shared" si="4"/>
        <v>9200</v>
      </c>
      <c r="I64" s="24">
        <f t="shared" si="6"/>
        <v>238140</v>
      </c>
    </row>
    <row r="65" spans="2:9" x14ac:dyDescent="0.35">
      <c r="F65" s="24">
        <f t="shared" si="5"/>
        <v>89276.478946812786</v>
      </c>
      <c r="G65" s="24">
        <f t="shared" si="4"/>
        <v>3663.5010909611156</v>
      </c>
      <c r="H65" s="24">
        <f t="shared" si="4"/>
        <v>21040</v>
      </c>
      <c r="I65" s="24">
        <f t="shared" si="6"/>
        <v>78540</v>
      </c>
    </row>
    <row r="66" spans="2:9" x14ac:dyDescent="0.35">
      <c r="F66" s="24">
        <f t="shared" si="5"/>
        <v>89276.478946812786</v>
      </c>
      <c r="G66" s="24">
        <f t="shared" si="4"/>
        <v>16649.727205824103</v>
      </c>
      <c r="H66" s="24">
        <f t="shared" si="4"/>
        <v>39080</v>
      </c>
      <c r="I66" s="24">
        <f t="shared" si="6"/>
        <v>213140</v>
      </c>
    </row>
    <row r="67" spans="2:9" x14ac:dyDescent="0.35">
      <c r="F67" s="24">
        <f t="shared" si="5"/>
        <v>88649.250981062796</v>
      </c>
      <c r="G67" s="24">
        <f t="shared" si="4"/>
        <v>3778.2685110852781</v>
      </c>
      <c r="H67" s="24">
        <f t="shared" si="4"/>
        <v>28360</v>
      </c>
      <c r="I67" s="24">
        <f t="shared" si="6"/>
        <v>402664</v>
      </c>
    </row>
    <row r="68" spans="2:9" x14ac:dyDescent="0.35">
      <c r="F68" s="24">
        <f t="shared" si="5"/>
        <v>89276.478946812786</v>
      </c>
      <c r="G68" s="24">
        <f t="shared" si="4"/>
        <v>1452.7127519276221</v>
      </c>
      <c r="H68" s="24">
        <f t="shared" si="4"/>
        <v>39128</v>
      </c>
      <c r="I68" s="24">
        <f t="shared" si="6"/>
        <v>81164</v>
      </c>
    </row>
    <row r="69" spans="2:9" x14ac:dyDescent="0.35">
      <c r="F69" s="24">
        <f t="shared" si="5"/>
        <v>0</v>
      </c>
    </row>
    <row r="70" spans="2:9" x14ac:dyDescent="0.35">
      <c r="F70" s="24">
        <f t="shared" si="5"/>
        <v>0</v>
      </c>
    </row>
    <row r="71" spans="2:9" x14ac:dyDescent="0.35">
      <c r="F71" s="24">
        <f t="shared" si="5"/>
        <v>0</v>
      </c>
    </row>
    <row r="72" spans="2:9" x14ac:dyDescent="0.35">
      <c r="F72" s="24">
        <f t="shared" si="5"/>
        <v>0</v>
      </c>
    </row>
    <row r="73" spans="2:9" x14ac:dyDescent="0.35">
      <c r="F73" s="24">
        <f t="shared" si="5"/>
        <v>0</v>
      </c>
    </row>
    <row r="74" spans="2:9" x14ac:dyDescent="0.35">
      <c r="B74" s="21" t="s">
        <v>128</v>
      </c>
      <c r="C74" s="21" t="s">
        <v>129</v>
      </c>
      <c r="D74" t="s">
        <v>130</v>
      </c>
      <c r="E74" t="s">
        <v>131</v>
      </c>
      <c r="F74" s="24" t="s">
        <v>132</v>
      </c>
      <c r="G74" t="s">
        <v>133</v>
      </c>
    </row>
    <row r="75" spans="2:9" x14ac:dyDescent="0.35">
      <c r="B75" s="38">
        <v>31505.122417993502</v>
      </c>
      <c r="C75" s="38">
        <v>54442.326843564399</v>
      </c>
      <c r="D75" s="38">
        <v>0</v>
      </c>
      <c r="E75" s="38">
        <v>171056.49354431301</v>
      </c>
      <c r="F75" s="38">
        <v>85582.633114971599</v>
      </c>
      <c r="G75" s="38">
        <v>0</v>
      </c>
    </row>
    <row r="76" spans="2:9" x14ac:dyDescent="0.35">
      <c r="B76" s="38">
        <v>31505.122417993502</v>
      </c>
      <c r="C76" s="38">
        <v>54442.326843564399</v>
      </c>
      <c r="D76" s="38">
        <v>68598.261692039698</v>
      </c>
      <c r="E76" s="38">
        <v>171056.49354431301</v>
      </c>
      <c r="F76" s="38">
        <v>85582.633114971599</v>
      </c>
      <c r="G76" s="38">
        <v>384090.36767452297</v>
      </c>
    </row>
    <row r="77" spans="2:9" x14ac:dyDescent="0.35">
      <c r="B77" s="38">
        <v>23362.458319857102</v>
      </c>
      <c r="C77" s="38">
        <v>0</v>
      </c>
      <c r="D77" s="38">
        <v>72200.182510221493</v>
      </c>
      <c r="E77" s="38">
        <v>72320.005945671393</v>
      </c>
      <c r="F77" s="38">
        <v>0</v>
      </c>
      <c r="G77" s="38">
        <v>658286.15266324603</v>
      </c>
    </row>
    <row r="78" spans="2:9" x14ac:dyDescent="0.35">
      <c r="B78" s="38">
        <v>23362.458319857102</v>
      </c>
      <c r="C78" s="38">
        <v>0</v>
      </c>
      <c r="D78" s="38">
        <v>72200.182510221493</v>
      </c>
      <c r="E78" s="38">
        <v>72320.005945671393</v>
      </c>
      <c r="F78" s="38">
        <v>0</v>
      </c>
      <c r="G78" s="38">
        <v>658286.15266324603</v>
      </c>
    </row>
    <row r="79" spans="2:9" x14ac:dyDescent="0.35">
      <c r="B79" s="38">
        <v>31505.122417993502</v>
      </c>
      <c r="C79" s="38">
        <v>54442.326843564399</v>
      </c>
      <c r="D79" s="38">
        <v>68598.261692039698</v>
      </c>
      <c r="E79" s="38">
        <v>171056.49354431301</v>
      </c>
      <c r="F79" s="38">
        <v>85582.633114971599</v>
      </c>
      <c r="G79" s="38">
        <v>384090.36767452297</v>
      </c>
    </row>
    <row r="80" spans="2:9" x14ac:dyDescent="0.35">
      <c r="B80" s="38">
        <v>31505.122417993502</v>
      </c>
      <c r="C80" s="38">
        <v>54442.326843564399</v>
      </c>
      <c r="D80" s="38">
        <v>0</v>
      </c>
      <c r="E80" s="38">
        <v>171056.49354431301</v>
      </c>
      <c r="F80" s="38">
        <v>85582.633114971599</v>
      </c>
      <c r="G80" s="38">
        <v>0</v>
      </c>
    </row>
    <row r="81" spans="2:7" x14ac:dyDescent="0.35">
      <c r="B81" s="38">
        <v>31505.122417993502</v>
      </c>
      <c r="C81" s="38">
        <v>54442.326843564399</v>
      </c>
      <c r="D81" s="38">
        <v>68598.261692039698</v>
      </c>
      <c r="E81" s="38">
        <v>171056.49354431301</v>
      </c>
      <c r="F81" s="38">
        <v>85582.633114971599</v>
      </c>
      <c r="G81" s="38">
        <v>384090.36767452297</v>
      </c>
    </row>
    <row r="82" spans="2:7" x14ac:dyDescent="0.35">
      <c r="B82" s="38">
        <v>23362.458319857102</v>
      </c>
      <c r="C82" s="38">
        <v>0</v>
      </c>
      <c r="D82" s="38">
        <v>72200.182510221493</v>
      </c>
      <c r="E82" s="38">
        <v>72320.005945671393</v>
      </c>
      <c r="F82" s="38">
        <v>0</v>
      </c>
      <c r="G82" s="38">
        <v>658286.15266324603</v>
      </c>
    </row>
    <row r="83" spans="2:7" x14ac:dyDescent="0.35">
      <c r="B83" s="38">
        <v>7039.7238495865004</v>
      </c>
      <c r="C83" s="38">
        <v>50467.597460168901</v>
      </c>
      <c r="D83" s="38">
        <v>69134.465806048596</v>
      </c>
      <c r="E83" s="38">
        <v>8635.1542501059794</v>
      </c>
      <c r="F83" s="38">
        <v>233483.63773783101</v>
      </c>
      <c r="G83" s="38">
        <v>387592.626526276</v>
      </c>
    </row>
    <row r="84" spans="2:7" x14ac:dyDescent="0.35">
      <c r="B84" s="38">
        <v>7039.7238495865004</v>
      </c>
      <c r="C84" s="38">
        <v>50467.597460168901</v>
      </c>
      <c r="D84" s="38">
        <v>70030.505757120001</v>
      </c>
      <c r="E84" s="38">
        <v>8635.1542501059794</v>
      </c>
      <c r="F84" s="38">
        <v>233483.63773783101</v>
      </c>
      <c r="G84" s="38">
        <v>368464.72317224898</v>
      </c>
    </row>
    <row r="85" spans="2:7" x14ac:dyDescent="0.35">
      <c r="B85" s="38">
        <v>7039.7238495865004</v>
      </c>
      <c r="C85" s="38">
        <v>50467.597460168901</v>
      </c>
      <c r="D85" s="38">
        <v>70030.505757120001</v>
      </c>
      <c r="E85" s="38">
        <v>8635.1542501059794</v>
      </c>
      <c r="F85" s="38">
        <v>233483.63773783101</v>
      </c>
      <c r="G85" s="38">
        <f>$Q$12+20*$B$13</f>
        <v>2532835.7423160803</v>
      </c>
    </row>
    <row r="86" spans="2:7" x14ac:dyDescent="0.35">
      <c r="B86" s="38">
        <v>7039.7238495865004</v>
      </c>
      <c r="C86" s="38">
        <v>50467.597460168901</v>
      </c>
      <c r="D86" s="38">
        <v>69134.465806048596</v>
      </c>
      <c r="E86" s="38">
        <v>8635.1542501059794</v>
      </c>
      <c r="F86" s="38">
        <v>233483.63773783101</v>
      </c>
      <c r="G86" s="38">
        <v>387592.626526276</v>
      </c>
    </row>
    <row r="87" spans="2:7" x14ac:dyDescent="0.35">
      <c r="B87" s="38">
        <v>7039.7238495865004</v>
      </c>
      <c r="C87" s="38">
        <v>50467.597460168901</v>
      </c>
      <c r="D87" s="38">
        <v>70030.505757120001</v>
      </c>
      <c r="E87" s="38">
        <v>8635.1542501059794</v>
      </c>
      <c r="F87" s="38">
        <v>233483.63773783101</v>
      </c>
      <c r="G87" s="38">
        <f>$Q$12</f>
        <v>0</v>
      </c>
    </row>
    <row r="88" spans="2:7" x14ac:dyDescent="0.35">
      <c r="F88" s="24">
        <f t="shared" si="5"/>
        <v>0</v>
      </c>
    </row>
    <row r="89" spans="2:7" x14ac:dyDescent="0.35">
      <c r="F89" s="24">
        <f t="shared" si="5"/>
        <v>0</v>
      </c>
    </row>
    <row r="90" spans="2:7" x14ac:dyDescent="0.35">
      <c r="F90" s="24">
        <f t="shared" si="5"/>
        <v>0</v>
      </c>
    </row>
    <row r="91" spans="2:7" x14ac:dyDescent="0.35">
      <c r="F91" s="24">
        <f t="shared" si="5"/>
        <v>0</v>
      </c>
    </row>
    <row r="92" spans="2:7" x14ac:dyDescent="0.35">
      <c r="F92" s="24">
        <f t="shared" si="5"/>
        <v>0</v>
      </c>
    </row>
    <row r="93" spans="2:7" x14ac:dyDescent="0.35">
      <c r="F93" s="24">
        <f t="shared" si="5"/>
        <v>0</v>
      </c>
    </row>
    <row r="94" spans="2:7" x14ac:dyDescent="0.35">
      <c r="F94" s="24">
        <f t="shared" si="5"/>
        <v>0</v>
      </c>
    </row>
    <row r="95" spans="2:7" x14ac:dyDescent="0.35">
      <c r="F95" s="24">
        <f t="shared" si="5"/>
        <v>0</v>
      </c>
    </row>
    <row r="96" spans="2:7" x14ac:dyDescent="0.35">
      <c r="F96" s="24">
        <f t="shared" si="5"/>
        <v>0</v>
      </c>
    </row>
    <row r="97" spans="6:6" x14ac:dyDescent="0.35">
      <c r="F97" s="24">
        <f t="shared" si="5"/>
        <v>0</v>
      </c>
    </row>
    <row r="98" spans="6:6" x14ac:dyDescent="0.35">
      <c r="F98" s="24">
        <f t="shared" si="5"/>
        <v>0</v>
      </c>
    </row>
    <row r="99" spans="6:6" x14ac:dyDescent="0.35">
      <c r="F99" s="24">
        <f t="shared" si="5"/>
        <v>0</v>
      </c>
    </row>
    <row r="100" spans="6:6" x14ac:dyDescent="0.35">
      <c r="F100" s="24">
        <f t="shared" si="5"/>
        <v>0</v>
      </c>
    </row>
    <row r="101" spans="6:6" x14ac:dyDescent="0.35">
      <c r="F101" s="24">
        <f t="shared" si="5"/>
        <v>0</v>
      </c>
    </row>
    <row r="102" spans="6:6" x14ac:dyDescent="0.35">
      <c r="F102" s="24">
        <f t="shared" si="5"/>
        <v>0</v>
      </c>
    </row>
    <row r="103" spans="6:6" x14ac:dyDescent="0.35">
      <c r="F103" s="24">
        <f t="shared" si="5"/>
        <v>0</v>
      </c>
    </row>
    <row r="104" spans="6:6" x14ac:dyDescent="0.35">
      <c r="F104" s="24">
        <f t="shared" si="5"/>
        <v>0</v>
      </c>
    </row>
    <row r="105" spans="6:6" x14ac:dyDescent="0.35">
      <c r="F105" s="24">
        <f t="shared" si="5"/>
        <v>0</v>
      </c>
    </row>
    <row r="106" spans="6:6" x14ac:dyDescent="0.35">
      <c r="F106" s="24">
        <f t="shared" si="5"/>
        <v>0</v>
      </c>
    </row>
    <row r="107" spans="6:6" x14ac:dyDescent="0.35">
      <c r="F107" s="24">
        <f t="shared" si="5"/>
        <v>0</v>
      </c>
    </row>
    <row r="108" spans="6:6" x14ac:dyDescent="0.35">
      <c r="F108" s="24">
        <f t="shared" si="5"/>
        <v>0</v>
      </c>
    </row>
    <row r="109" spans="6:6" x14ac:dyDescent="0.35">
      <c r="F109" s="24">
        <f t="shared" si="5"/>
        <v>0</v>
      </c>
    </row>
    <row r="110" spans="6:6" x14ac:dyDescent="0.35">
      <c r="F110" s="24">
        <f t="shared" si="5"/>
        <v>0</v>
      </c>
    </row>
    <row r="111" spans="6:6" x14ac:dyDescent="0.35">
      <c r="F111" s="24">
        <f t="shared" si="5"/>
        <v>0</v>
      </c>
    </row>
    <row r="112" spans="6:6" x14ac:dyDescent="0.35">
      <c r="F112" s="24">
        <f t="shared" si="5"/>
        <v>0</v>
      </c>
    </row>
    <row r="113" spans="6:6" x14ac:dyDescent="0.35">
      <c r="F113" s="24">
        <f t="shared" si="5"/>
        <v>0</v>
      </c>
    </row>
    <row r="114" spans="6:6" x14ac:dyDescent="0.35">
      <c r="F114" s="24">
        <f t="shared" si="5"/>
        <v>0</v>
      </c>
    </row>
    <row r="115" spans="6:6" x14ac:dyDescent="0.35">
      <c r="F115" s="24">
        <f t="shared" si="5"/>
        <v>0</v>
      </c>
    </row>
    <row r="116" spans="6:6" x14ac:dyDescent="0.35">
      <c r="F116" s="24">
        <f t="shared" si="5"/>
        <v>0</v>
      </c>
    </row>
    <row r="117" spans="6:6" x14ac:dyDescent="0.35">
      <c r="F117" s="24">
        <f t="shared" si="5"/>
        <v>0</v>
      </c>
    </row>
    <row r="118" spans="6:6" x14ac:dyDescent="0.35">
      <c r="F118" s="24">
        <f t="shared" si="5"/>
        <v>0</v>
      </c>
    </row>
    <row r="119" spans="6:6" x14ac:dyDescent="0.35">
      <c r="F119" s="24">
        <f t="shared" si="5"/>
        <v>0</v>
      </c>
    </row>
    <row r="120" spans="6:6" x14ac:dyDescent="0.35">
      <c r="F120" s="24">
        <f t="shared" si="5"/>
        <v>0</v>
      </c>
    </row>
    <row r="121" spans="6:6" x14ac:dyDescent="0.35">
      <c r="F121" s="24">
        <f t="shared" ref="F121:F184" si="7">D67</f>
        <v>0</v>
      </c>
    </row>
    <row r="122" spans="6:6" x14ac:dyDescent="0.35">
      <c r="F122" s="24">
        <f t="shared" si="7"/>
        <v>0</v>
      </c>
    </row>
    <row r="123" spans="6:6" x14ac:dyDescent="0.35">
      <c r="F123" s="24">
        <f t="shared" si="7"/>
        <v>0</v>
      </c>
    </row>
    <row r="124" spans="6:6" x14ac:dyDescent="0.35">
      <c r="F124" s="24">
        <f t="shared" si="7"/>
        <v>0</v>
      </c>
    </row>
    <row r="125" spans="6:6" x14ac:dyDescent="0.35">
      <c r="F125" s="24">
        <f t="shared" si="7"/>
        <v>0</v>
      </c>
    </row>
    <row r="126" spans="6:6" x14ac:dyDescent="0.35">
      <c r="F126" s="24">
        <f t="shared" si="7"/>
        <v>0</v>
      </c>
    </row>
    <row r="127" spans="6:6" x14ac:dyDescent="0.35">
      <c r="F127" s="24">
        <f t="shared" si="7"/>
        <v>0</v>
      </c>
    </row>
    <row r="128" spans="6:6" x14ac:dyDescent="0.35">
      <c r="F128" s="24" t="str">
        <f t="shared" si="7"/>
        <v>LMF Duct Length</v>
      </c>
    </row>
    <row r="129" spans="6:6" x14ac:dyDescent="0.35">
      <c r="F129" s="24">
        <f t="shared" si="7"/>
        <v>0</v>
      </c>
    </row>
    <row r="130" spans="6:6" x14ac:dyDescent="0.35">
      <c r="F130" s="24">
        <f t="shared" si="7"/>
        <v>68598.261692039698</v>
      </c>
    </row>
    <row r="131" spans="6:6" x14ac:dyDescent="0.35">
      <c r="F131" s="24">
        <f t="shared" si="7"/>
        <v>72200.182510221493</v>
      </c>
    </row>
    <row r="132" spans="6:6" x14ac:dyDescent="0.35">
      <c r="F132" s="24">
        <f t="shared" si="7"/>
        <v>72200.182510221493</v>
      </c>
    </row>
    <row r="133" spans="6:6" x14ac:dyDescent="0.35">
      <c r="F133" s="24">
        <f t="shared" si="7"/>
        <v>68598.261692039698</v>
      </c>
    </row>
    <row r="134" spans="6:6" x14ac:dyDescent="0.35">
      <c r="F134" s="24">
        <f t="shared" si="7"/>
        <v>0</v>
      </c>
    </row>
    <row r="135" spans="6:6" x14ac:dyDescent="0.35">
      <c r="F135" s="24">
        <f t="shared" si="7"/>
        <v>68598.261692039698</v>
      </c>
    </row>
    <row r="136" spans="6:6" x14ac:dyDescent="0.35">
      <c r="F136" s="24">
        <f t="shared" si="7"/>
        <v>72200.182510221493</v>
      </c>
    </row>
    <row r="137" spans="6:6" x14ac:dyDescent="0.35">
      <c r="F137" s="24">
        <f t="shared" si="7"/>
        <v>69134.465806048596</v>
      </c>
    </row>
    <row r="138" spans="6:6" x14ac:dyDescent="0.35">
      <c r="F138" s="24">
        <f t="shared" si="7"/>
        <v>70030.505757120001</v>
      </c>
    </row>
    <row r="139" spans="6:6" x14ac:dyDescent="0.35">
      <c r="F139" s="24">
        <f t="shared" si="7"/>
        <v>70030.505757120001</v>
      </c>
    </row>
    <row r="140" spans="6:6" x14ac:dyDescent="0.35">
      <c r="F140" s="24">
        <f t="shared" si="7"/>
        <v>69134.465806048596</v>
      </c>
    </row>
    <row r="141" spans="6:6" x14ac:dyDescent="0.35">
      <c r="F141" s="24">
        <f t="shared" si="7"/>
        <v>70030.505757120001</v>
      </c>
    </row>
    <row r="142" spans="6:6" x14ac:dyDescent="0.35">
      <c r="F142" s="24">
        <f t="shared" si="7"/>
        <v>0</v>
      </c>
    </row>
    <row r="143" spans="6:6" x14ac:dyDescent="0.35">
      <c r="F143" s="24">
        <f t="shared" si="7"/>
        <v>0</v>
      </c>
    </row>
    <row r="144" spans="6:6" x14ac:dyDescent="0.35">
      <c r="F144" s="24">
        <f t="shared" si="7"/>
        <v>0</v>
      </c>
    </row>
    <row r="145" spans="6:6" x14ac:dyDescent="0.35">
      <c r="F145" s="24">
        <f t="shared" si="7"/>
        <v>0</v>
      </c>
    </row>
    <row r="146" spans="6:6" x14ac:dyDescent="0.35">
      <c r="F146" s="24">
        <f t="shared" si="7"/>
        <v>0</v>
      </c>
    </row>
    <row r="147" spans="6:6" x14ac:dyDescent="0.35">
      <c r="F147" s="24">
        <f t="shared" si="7"/>
        <v>0</v>
      </c>
    </row>
    <row r="148" spans="6:6" x14ac:dyDescent="0.35">
      <c r="F148" s="24">
        <f t="shared" si="7"/>
        <v>0</v>
      </c>
    </row>
    <row r="149" spans="6:6" x14ac:dyDescent="0.35">
      <c r="F149" s="24">
        <f t="shared" si="7"/>
        <v>0</v>
      </c>
    </row>
    <row r="150" spans="6:6" x14ac:dyDescent="0.35">
      <c r="F150" s="24">
        <f t="shared" si="7"/>
        <v>0</v>
      </c>
    </row>
    <row r="151" spans="6:6" x14ac:dyDescent="0.35">
      <c r="F151" s="24">
        <f t="shared" si="7"/>
        <v>0</v>
      </c>
    </row>
    <row r="152" spans="6:6" x14ac:dyDescent="0.35">
      <c r="F152" s="24">
        <f t="shared" si="7"/>
        <v>0</v>
      </c>
    </row>
    <row r="153" spans="6:6" x14ac:dyDescent="0.35">
      <c r="F153" s="24">
        <f t="shared" si="7"/>
        <v>0</v>
      </c>
    </row>
    <row r="154" spans="6:6" x14ac:dyDescent="0.35">
      <c r="F154" s="24">
        <f t="shared" si="7"/>
        <v>0</v>
      </c>
    </row>
    <row r="155" spans="6:6" x14ac:dyDescent="0.35">
      <c r="F155" s="24">
        <f t="shared" si="7"/>
        <v>0</v>
      </c>
    </row>
    <row r="156" spans="6:6" x14ac:dyDescent="0.35">
      <c r="F156" s="24">
        <f t="shared" si="7"/>
        <v>0</v>
      </c>
    </row>
    <row r="157" spans="6:6" x14ac:dyDescent="0.35">
      <c r="F157" s="24">
        <f t="shared" si="7"/>
        <v>0</v>
      </c>
    </row>
    <row r="158" spans="6:6" x14ac:dyDescent="0.35">
      <c r="F158" s="24">
        <f t="shared" si="7"/>
        <v>0</v>
      </c>
    </row>
    <row r="159" spans="6:6" x14ac:dyDescent="0.35">
      <c r="F159" s="24">
        <f t="shared" si="7"/>
        <v>0</v>
      </c>
    </row>
    <row r="160" spans="6:6" x14ac:dyDescent="0.35">
      <c r="F160" s="24">
        <f t="shared" si="7"/>
        <v>0</v>
      </c>
    </row>
    <row r="161" spans="6:6" x14ac:dyDescent="0.35">
      <c r="F161" s="24">
        <f t="shared" si="7"/>
        <v>0</v>
      </c>
    </row>
    <row r="162" spans="6:6" x14ac:dyDescent="0.35">
      <c r="F162" s="24">
        <f t="shared" si="7"/>
        <v>0</v>
      </c>
    </row>
    <row r="163" spans="6:6" x14ac:dyDescent="0.35">
      <c r="F163" s="24">
        <f t="shared" si="7"/>
        <v>0</v>
      </c>
    </row>
    <row r="164" spans="6:6" x14ac:dyDescent="0.35">
      <c r="F164" s="24">
        <f t="shared" si="7"/>
        <v>0</v>
      </c>
    </row>
    <row r="165" spans="6:6" x14ac:dyDescent="0.35">
      <c r="F165" s="24">
        <f t="shared" si="7"/>
        <v>0</v>
      </c>
    </row>
    <row r="166" spans="6:6" x14ac:dyDescent="0.35">
      <c r="F166" s="24">
        <f t="shared" si="7"/>
        <v>0</v>
      </c>
    </row>
    <row r="167" spans="6:6" x14ac:dyDescent="0.35">
      <c r="F167" s="24">
        <f t="shared" si="7"/>
        <v>0</v>
      </c>
    </row>
    <row r="168" spans="6:6" x14ac:dyDescent="0.35">
      <c r="F168" s="24">
        <f t="shared" si="7"/>
        <v>0</v>
      </c>
    </row>
    <row r="169" spans="6:6" x14ac:dyDescent="0.35">
      <c r="F169" s="24">
        <f t="shared" si="7"/>
        <v>0</v>
      </c>
    </row>
    <row r="170" spans="6:6" x14ac:dyDescent="0.35">
      <c r="F170" s="24">
        <f t="shared" si="7"/>
        <v>0</v>
      </c>
    </row>
    <row r="171" spans="6:6" x14ac:dyDescent="0.35">
      <c r="F171" s="24">
        <f t="shared" si="7"/>
        <v>0</v>
      </c>
    </row>
    <row r="172" spans="6:6" x14ac:dyDescent="0.35">
      <c r="F172" s="24">
        <f t="shared" si="7"/>
        <v>0</v>
      </c>
    </row>
    <row r="173" spans="6:6" x14ac:dyDescent="0.35">
      <c r="F173" s="24">
        <f t="shared" si="7"/>
        <v>0</v>
      </c>
    </row>
    <row r="174" spans="6:6" x14ac:dyDescent="0.35">
      <c r="F174" s="24">
        <f t="shared" si="7"/>
        <v>0</v>
      </c>
    </row>
    <row r="175" spans="6:6" x14ac:dyDescent="0.35">
      <c r="F175" s="24">
        <f t="shared" si="7"/>
        <v>0</v>
      </c>
    </row>
    <row r="176" spans="6:6" x14ac:dyDescent="0.35">
      <c r="F176" s="24">
        <f t="shared" si="7"/>
        <v>0</v>
      </c>
    </row>
    <row r="177" spans="6:6" x14ac:dyDescent="0.35">
      <c r="F177" s="24">
        <f t="shared" si="7"/>
        <v>0</v>
      </c>
    </row>
    <row r="178" spans="6:6" x14ac:dyDescent="0.35">
      <c r="F178" s="24">
        <f t="shared" si="7"/>
        <v>0</v>
      </c>
    </row>
    <row r="179" spans="6:6" x14ac:dyDescent="0.35">
      <c r="F179" s="24">
        <f t="shared" si="7"/>
        <v>0</v>
      </c>
    </row>
    <row r="180" spans="6:6" x14ac:dyDescent="0.35">
      <c r="F180" s="24">
        <f t="shared" si="7"/>
        <v>0</v>
      </c>
    </row>
    <row r="181" spans="6:6" x14ac:dyDescent="0.35">
      <c r="F181" s="24">
        <f t="shared" si="7"/>
        <v>0</v>
      </c>
    </row>
    <row r="182" spans="6:6" x14ac:dyDescent="0.35">
      <c r="F182" s="24">
        <f t="shared" si="7"/>
        <v>0</v>
      </c>
    </row>
    <row r="183" spans="6:6" x14ac:dyDescent="0.35">
      <c r="F183" s="24">
        <f t="shared" si="7"/>
        <v>0</v>
      </c>
    </row>
    <row r="184" spans="6:6" x14ac:dyDescent="0.35">
      <c r="F184" s="24">
        <f t="shared" si="7"/>
        <v>0</v>
      </c>
    </row>
    <row r="185" spans="6:6" x14ac:dyDescent="0.35">
      <c r="F185" s="24">
        <f t="shared" ref="F185:F239" si="8">D131</f>
        <v>0</v>
      </c>
    </row>
    <row r="186" spans="6:6" x14ac:dyDescent="0.35">
      <c r="F186" s="24">
        <f t="shared" si="8"/>
        <v>0</v>
      </c>
    </row>
    <row r="187" spans="6:6" x14ac:dyDescent="0.35">
      <c r="F187" s="24">
        <f t="shared" si="8"/>
        <v>0</v>
      </c>
    </row>
    <row r="188" spans="6:6" x14ac:dyDescent="0.35">
      <c r="F188" s="24">
        <f t="shared" si="8"/>
        <v>0</v>
      </c>
    </row>
    <row r="189" spans="6:6" x14ac:dyDescent="0.35">
      <c r="F189" s="24">
        <f t="shared" si="8"/>
        <v>0</v>
      </c>
    </row>
    <row r="190" spans="6:6" x14ac:dyDescent="0.35">
      <c r="F190" s="24">
        <f t="shared" si="8"/>
        <v>0</v>
      </c>
    </row>
    <row r="191" spans="6:6" x14ac:dyDescent="0.35">
      <c r="F191" s="24">
        <f t="shared" si="8"/>
        <v>0</v>
      </c>
    </row>
    <row r="192" spans="6:6" x14ac:dyDescent="0.35">
      <c r="F192" s="24">
        <f t="shared" si="8"/>
        <v>0</v>
      </c>
    </row>
    <row r="193" spans="6:6" x14ac:dyDescent="0.35">
      <c r="F193" s="24">
        <f t="shared" si="8"/>
        <v>0</v>
      </c>
    </row>
    <row r="194" spans="6:6" x14ac:dyDescent="0.35">
      <c r="F194" s="24">
        <f t="shared" si="8"/>
        <v>0</v>
      </c>
    </row>
    <row r="195" spans="6:6" x14ac:dyDescent="0.35">
      <c r="F195" s="24">
        <f t="shared" si="8"/>
        <v>0</v>
      </c>
    </row>
    <row r="196" spans="6:6" x14ac:dyDescent="0.35">
      <c r="F196" s="24">
        <f t="shared" si="8"/>
        <v>0</v>
      </c>
    </row>
    <row r="197" spans="6:6" x14ac:dyDescent="0.35">
      <c r="F197" s="24">
        <f t="shared" si="8"/>
        <v>0</v>
      </c>
    </row>
    <row r="198" spans="6:6" x14ac:dyDescent="0.35">
      <c r="F198" s="24">
        <f t="shared" si="8"/>
        <v>0</v>
      </c>
    </row>
    <row r="199" spans="6:6" x14ac:dyDescent="0.35">
      <c r="F199" s="24">
        <f t="shared" si="8"/>
        <v>0</v>
      </c>
    </row>
    <row r="200" spans="6:6" x14ac:dyDescent="0.35">
      <c r="F200" s="24">
        <f t="shared" si="8"/>
        <v>0</v>
      </c>
    </row>
    <row r="201" spans="6:6" x14ac:dyDescent="0.35">
      <c r="F201" s="24">
        <f t="shared" si="8"/>
        <v>0</v>
      </c>
    </row>
    <row r="202" spans="6:6" x14ac:dyDescent="0.35">
      <c r="F202" s="24">
        <f t="shared" si="8"/>
        <v>0</v>
      </c>
    </row>
    <row r="203" spans="6:6" x14ac:dyDescent="0.35">
      <c r="F203" s="24">
        <f t="shared" si="8"/>
        <v>0</v>
      </c>
    </row>
    <row r="204" spans="6:6" x14ac:dyDescent="0.35">
      <c r="F204" s="24">
        <f t="shared" si="8"/>
        <v>0</v>
      </c>
    </row>
    <row r="205" spans="6:6" x14ac:dyDescent="0.35">
      <c r="F205" s="24">
        <f t="shared" si="8"/>
        <v>0</v>
      </c>
    </row>
    <row r="206" spans="6:6" x14ac:dyDescent="0.35">
      <c r="F206" s="24">
        <f t="shared" si="8"/>
        <v>0</v>
      </c>
    </row>
    <row r="207" spans="6:6" x14ac:dyDescent="0.35">
      <c r="F207" s="24">
        <f t="shared" si="8"/>
        <v>0</v>
      </c>
    </row>
    <row r="208" spans="6:6" x14ac:dyDescent="0.35">
      <c r="F208" s="24">
        <f t="shared" si="8"/>
        <v>0</v>
      </c>
    </row>
    <row r="209" spans="6:6" x14ac:dyDescent="0.35">
      <c r="F209" s="24">
        <f t="shared" si="8"/>
        <v>0</v>
      </c>
    </row>
    <row r="210" spans="6:6" x14ac:dyDescent="0.35">
      <c r="F210" s="24">
        <f t="shared" si="8"/>
        <v>0</v>
      </c>
    </row>
    <row r="211" spans="6:6" x14ac:dyDescent="0.35">
      <c r="F211" s="24">
        <f t="shared" si="8"/>
        <v>0</v>
      </c>
    </row>
    <row r="212" spans="6:6" x14ac:dyDescent="0.35">
      <c r="F212" s="24">
        <f t="shared" si="8"/>
        <v>0</v>
      </c>
    </row>
    <row r="213" spans="6:6" x14ac:dyDescent="0.35">
      <c r="F213" s="24">
        <f t="shared" si="8"/>
        <v>0</v>
      </c>
    </row>
    <row r="214" spans="6:6" x14ac:dyDescent="0.35">
      <c r="F214" s="24">
        <f t="shared" si="8"/>
        <v>0</v>
      </c>
    </row>
    <row r="215" spans="6:6" x14ac:dyDescent="0.35">
      <c r="F215" s="24">
        <f t="shared" si="8"/>
        <v>0</v>
      </c>
    </row>
    <row r="216" spans="6:6" x14ac:dyDescent="0.35">
      <c r="F216" s="24">
        <f t="shared" si="8"/>
        <v>0</v>
      </c>
    </row>
    <row r="217" spans="6:6" x14ac:dyDescent="0.35">
      <c r="F217" s="24">
        <f t="shared" si="8"/>
        <v>0</v>
      </c>
    </row>
    <row r="218" spans="6:6" x14ac:dyDescent="0.35">
      <c r="F218" s="24">
        <f t="shared" si="8"/>
        <v>0</v>
      </c>
    </row>
    <row r="219" spans="6:6" x14ac:dyDescent="0.35">
      <c r="F219" s="24">
        <f t="shared" si="8"/>
        <v>0</v>
      </c>
    </row>
    <row r="220" spans="6:6" x14ac:dyDescent="0.35">
      <c r="F220" s="24">
        <f t="shared" si="8"/>
        <v>0</v>
      </c>
    </row>
    <row r="221" spans="6:6" x14ac:dyDescent="0.35">
      <c r="F221" s="24">
        <f t="shared" si="8"/>
        <v>0</v>
      </c>
    </row>
    <row r="222" spans="6:6" x14ac:dyDescent="0.35">
      <c r="F222" s="24">
        <f t="shared" si="8"/>
        <v>0</v>
      </c>
    </row>
    <row r="223" spans="6:6" x14ac:dyDescent="0.35">
      <c r="F223" s="24">
        <f t="shared" si="8"/>
        <v>0</v>
      </c>
    </row>
    <row r="224" spans="6:6" x14ac:dyDescent="0.35">
      <c r="F224" s="24">
        <f t="shared" si="8"/>
        <v>0</v>
      </c>
    </row>
    <row r="225" spans="6:6" x14ac:dyDescent="0.35">
      <c r="F225" s="24">
        <f t="shared" si="8"/>
        <v>0</v>
      </c>
    </row>
    <row r="226" spans="6:6" x14ac:dyDescent="0.35">
      <c r="F226" s="24">
        <f t="shared" si="8"/>
        <v>0</v>
      </c>
    </row>
    <row r="227" spans="6:6" x14ac:dyDescent="0.35">
      <c r="F227" s="24">
        <f t="shared" si="8"/>
        <v>0</v>
      </c>
    </row>
    <row r="228" spans="6:6" x14ac:dyDescent="0.35">
      <c r="F228" s="24">
        <f t="shared" si="8"/>
        <v>0</v>
      </c>
    </row>
    <row r="229" spans="6:6" x14ac:dyDescent="0.35">
      <c r="F229" s="24">
        <f t="shared" si="8"/>
        <v>0</v>
      </c>
    </row>
    <row r="230" spans="6:6" x14ac:dyDescent="0.35">
      <c r="F230" s="24">
        <f t="shared" si="8"/>
        <v>0</v>
      </c>
    </row>
    <row r="231" spans="6:6" x14ac:dyDescent="0.35">
      <c r="F231" s="24">
        <f t="shared" si="8"/>
        <v>0</v>
      </c>
    </row>
    <row r="232" spans="6:6" x14ac:dyDescent="0.35">
      <c r="F232" s="24">
        <f t="shared" si="8"/>
        <v>0</v>
      </c>
    </row>
    <row r="233" spans="6:6" x14ac:dyDescent="0.35">
      <c r="F233" s="24">
        <f t="shared" si="8"/>
        <v>0</v>
      </c>
    </row>
    <row r="234" spans="6:6" x14ac:dyDescent="0.35">
      <c r="F234" s="24">
        <f t="shared" si="8"/>
        <v>0</v>
      </c>
    </row>
    <row r="235" spans="6:6" x14ac:dyDescent="0.35">
      <c r="F235" s="24">
        <f t="shared" si="8"/>
        <v>0</v>
      </c>
    </row>
    <row r="236" spans="6:6" x14ac:dyDescent="0.35">
      <c r="F236" s="24">
        <f t="shared" si="8"/>
        <v>0</v>
      </c>
    </row>
    <row r="237" spans="6:6" x14ac:dyDescent="0.35">
      <c r="F237" s="24">
        <f t="shared" si="8"/>
        <v>0</v>
      </c>
    </row>
    <row r="238" spans="6:6" x14ac:dyDescent="0.35">
      <c r="F238" s="24">
        <f t="shared" si="8"/>
        <v>0</v>
      </c>
    </row>
    <row r="239" spans="6:6" x14ac:dyDescent="0.35">
      <c r="F239" s="24">
        <f t="shared" si="8"/>
        <v>0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59"/>
  <sheetViews>
    <sheetView topLeftCell="C1" zoomScale="90" zoomScaleNormal="90" workbookViewId="0">
      <selection activeCell="A8" sqref="A8:XFD8"/>
    </sheetView>
  </sheetViews>
  <sheetFormatPr defaultRowHeight="14.5" x14ac:dyDescent="0.35"/>
  <cols>
    <col min="1" max="1" width="34.7265625" customWidth="1"/>
    <col min="2" max="2" width="29.7265625" customWidth="1"/>
    <col min="3" max="3" width="24.26953125" customWidth="1"/>
    <col min="4" max="4" width="21.81640625" customWidth="1"/>
    <col min="5" max="5" width="21.7265625" customWidth="1"/>
    <col min="6" max="6" width="35.453125" customWidth="1"/>
    <col min="7" max="7" width="32.1796875" customWidth="1"/>
    <col min="8" max="8" width="30.26953125" customWidth="1"/>
    <col min="9" max="9" width="31.26953125" customWidth="1"/>
    <col min="10" max="10" width="15.26953125" customWidth="1"/>
  </cols>
  <sheetData>
    <row r="1" spans="1:13" x14ac:dyDescent="0.35">
      <c r="A1" s="24" t="s">
        <v>49</v>
      </c>
      <c r="B1" s="24" t="s">
        <v>88</v>
      </c>
      <c r="C1" s="24" t="s">
        <v>89</v>
      </c>
      <c r="D1" s="24" t="s">
        <v>1</v>
      </c>
      <c r="E1" s="24" t="s">
        <v>2</v>
      </c>
      <c r="F1" s="24" t="s">
        <v>61</v>
      </c>
      <c r="G1" s="24" t="s">
        <v>59</v>
      </c>
      <c r="H1" s="24" t="s">
        <v>60</v>
      </c>
      <c r="I1" s="24" t="s">
        <v>55</v>
      </c>
      <c r="J1" s="24" t="s">
        <v>110</v>
      </c>
      <c r="K1" s="24" t="s">
        <v>56</v>
      </c>
      <c r="L1" s="24" t="s">
        <v>111</v>
      </c>
      <c r="M1" s="24" t="s">
        <v>58</v>
      </c>
    </row>
    <row r="2" spans="1:13" x14ac:dyDescent="0.35">
      <c r="A2" s="24" t="s">
        <v>50</v>
      </c>
      <c r="B2" s="24">
        <v>85947.449261557893</v>
      </c>
      <c r="C2" s="24">
        <v>942011.40945595957</v>
      </c>
      <c r="D2" s="24">
        <f>71.26*Table7172[[#This Row],[Duct Length]]/50</f>
        <v>122492.30468757232</v>
      </c>
      <c r="E2" s="24">
        <f>9.61*Table7172[[#This Row],[Fiber Length]]/50</f>
        <v>181054.59289743542</v>
      </c>
      <c r="F2" s="24">
        <f>'FTTCab GPON 26 Mbps'!B$20</f>
        <v>12919.72426061819</v>
      </c>
      <c r="G2" s="24">
        <f>'FTTCab GPON 26 Mbps'!C$20</f>
        <v>439456.14854347339</v>
      </c>
      <c r="H2" s="24">
        <f>'FTTCab GPON 26 Mbps'!D$20</f>
        <v>0</v>
      </c>
      <c r="I2" s="24">
        <f>SUM(Table7172[[#This Row],[Duct Cost]:[Building E&amp;I Costs]])</f>
        <v>755922.77038909937</v>
      </c>
      <c r="J2" s="24">
        <f t="shared" ref="J2:J14" si="0">I2*50</f>
        <v>37796138.519454971</v>
      </c>
      <c r="K2" s="24">
        <v>29262</v>
      </c>
      <c r="L2" s="24">
        <f>I2/K2</f>
        <v>25.832915398438224</v>
      </c>
      <c r="M2" s="24">
        <v>25</v>
      </c>
    </row>
    <row r="3" spans="1:13" x14ac:dyDescent="0.35">
      <c r="A3" s="24" t="s">
        <v>51</v>
      </c>
      <c r="B3" s="24">
        <v>154545.71095359759</v>
      </c>
      <c r="C3" s="24">
        <v>640729.49433380761</v>
      </c>
      <c r="D3" s="24">
        <f>71.26*Table7172[[#This Row],[Duct Length]]/50</f>
        <v>220258.5472510673</v>
      </c>
      <c r="E3" s="24">
        <f>9.61*Table7172[[#This Row],[Fiber Length]]/50</f>
        <v>123148.20881095782</v>
      </c>
      <c r="F3" s="24">
        <f>'FTTB XGPON 50 Mbps'!B$19</f>
        <v>18100</v>
      </c>
      <c r="G3" s="24">
        <f>'FTTB XGPON 50 Mbps'!C$19</f>
        <v>2388.8000000000002</v>
      </c>
      <c r="H3" s="24">
        <f>'FTTB XGPON 50 Mbps'!D$19</f>
        <v>128000</v>
      </c>
      <c r="I3" s="24">
        <f>SUM(Table7172[[#This Row],[Duct Cost]:[Building E&amp;I Costs]])</f>
        <v>491895.55606202508</v>
      </c>
      <c r="J3" s="24">
        <f t="shared" si="0"/>
        <v>24594777.803101253</v>
      </c>
      <c r="K3" s="24">
        <v>29262</v>
      </c>
      <c r="L3" s="24">
        <f t="shared" ref="L3:L14" si="1">I3/K3</f>
        <v>16.810045658602455</v>
      </c>
      <c r="M3" s="24">
        <v>50</v>
      </c>
    </row>
    <row r="4" spans="1:13" x14ac:dyDescent="0.35">
      <c r="A4" s="24" t="s">
        <v>52</v>
      </c>
      <c r="B4" s="24">
        <v>95562.640830078599</v>
      </c>
      <c r="C4" s="24">
        <v>730606.15860891738</v>
      </c>
      <c r="D4" s="24">
        <f>71.26*Table7172[[#This Row],[Duct Length]]/50</f>
        <v>136195.87571102803</v>
      </c>
      <c r="E4" s="24">
        <f>9.61*Table7172[[#This Row],[Fiber Length]]/50</f>
        <v>140422.50368463391</v>
      </c>
      <c r="F4" s="24">
        <f>'FTTB WR-WDMPON 50 Mbps'!B$17</f>
        <v>24350</v>
      </c>
      <c r="G4" s="24">
        <f>'FTTB WR-WDMPON 50 Mbps'!C$17</f>
        <v>138</v>
      </c>
      <c r="H4" s="24">
        <f>'FTTB WR-WDMPON 50 Mbps'!D$17</f>
        <v>133500</v>
      </c>
      <c r="I4" s="24">
        <f>SUM(Table7172[[#This Row],[Duct Cost]:[Building E&amp;I Costs]])</f>
        <v>434606.37939566193</v>
      </c>
      <c r="J4" s="24">
        <f t="shared" si="0"/>
        <v>21730318.969783098</v>
      </c>
      <c r="K4" s="24">
        <v>29262</v>
      </c>
      <c r="L4" s="24">
        <f t="shared" si="1"/>
        <v>14.852244528592097</v>
      </c>
      <c r="M4" s="24">
        <v>50</v>
      </c>
    </row>
    <row r="5" spans="1:13" x14ac:dyDescent="0.35">
      <c r="A5" s="24" t="s">
        <v>53</v>
      </c>
      <c r="B5" s="24">
        <v>95562.640830078599</v>
      </c>
      <c r="C5" s="24">
        <v>730606.15860891738</v>
      </c>
      <c r="D5" s="24">
        <f>71.26*Table7172[[#This Row],[Duct Length]]/50</f>
        <v>136195.87571102803</v>
      </c>
      <c r="E5" s="24">
        <f>9.61*Table7172[[#This Row],[Fiber Length]]/50</f>
        <v>140422.50368463391</v>
      </c>
      <c r="F5" s="24">
        <f>'FTTH WR-WDMPON 100 Mbps'!B$17</f>
        <v>170450</v>
      </c>
      <c r="G5" s="24">
        <f>'FTTH WR-WDMPON 100 Mbps'!C$17</f>
        <v>966</v>
      </c>
      <c r="H5" s="24">
        <f>'FTTH WR-WDMPON 100 Mbps'!D$17</f>
        <v>210000</v>
      </c>
      <c r="I5" s="24">
        <f>SUM(Table7172[[#This Row],[Duct Cost]:[Building E&amp;I Costs]])</f>
        <v>658034.37939566188</v>
      </c>
      <c r="J5" s="24">
        <f t="shared" si="0"/>
        <v>32901718.969783094</v>
      </c>
      <c r="K5" s="24">
        <v>29262</v>
      </c>
      <c r="L5" s="24">
        <f t="shared" si="1"/>
        <v>22.487676146389923</v>
      </c>
      <c r="M5" s="24">
        <v>100</v>
      </c>
    </row>
    <row r="6" spans="1:13" x14ac:dyDescent="0.35">
      <c r="A6" s="24" t="s">
        <v>54</v>
      </c>
      <c r="B6" s="24">
        <v>154545.71095359759</v>
      </c>
      <c r="C6" s="24">
        <v>640729.49433380761</v>
      </c>
      <c r="D6" s="24">
        <f>71.26*Table7172[[#This Row],[Duct Length]]/50</f>
        <v>220258.5472510673</v>
      </c>
      <c r="E6" s="24">
        <f>9.61*Table7172[[#This Row],[Fiber Length]]/50</f>
        <v>123148.20881095782</v>
      </c>
      <c r="F6" s="24">
        <f>'FTTH XGPON 100 Mbps'!B$19</f>
        <v>93800</v>
      </c>
      <c r="G6" s="24">
        <f>'FTTH XGPON 100 Mbps'!C$19</f>
        <v>64840</v>
      </c>
      <c r="H6" s="24">
        <f>'FTTH XGPON 100 Mbps'!D$19</f>
        <v>180754</v>
      </c>
      <c r="I6" s="24">
        <f>SUM(Table7172[[#This Row],[Duct Cost]:[Building E&amp;I Costs]])</f>
        <v>682800.75606202509</v>
      </c>
      <c r="J6" s="24">
        <f t="shared" si="0"/>
        <v>34140037.803101256</v>
      </c>
      <c r="K6" s="24">
        <v>29262</v>
      </c>
      <c r="L6" s="24">
        <f t="shared" si="1"/>
        <v>23.334042651289217</v>
      </c>
      <c r="M6" s="24">
        <v>100</v>
      </c>
    </row>
    <row r="7" spans="1:13" x14ac:dyDescent="0.35">
      <c r="A7" s="24" t="s">
        <v>65</v>
      </c>
      <c r="B7" s="24">
        <v>85947.449261557893</v>
      </c>
      <c r="C7" s="24">
        <v>942011.40945595957</v>
      </c>
      <c r="D7" s="24">
        <f>71.26*Table7172[[#This Row],[Duct Length]]/50</f>
        <v>122492.30468757232</v>
      </c>
      <c r="E7" s="24">
        <f>9.61*Table7172[[#This Row],[Fiber Length]]/50</f>
        <v>181054.59289743542</v>
      </c>
      <c r="F7" s="24">
        <f>FTTCab_GPON_100!B$18</f>
        <v>31780</v>
      </c>
      <c r="G7" s="24">
        <f>FTTCab_GPON_100!C$18</f>
        <v>465927.6</v>
      </c>
      <c r="H7" s="24">
        <f>FTTCab_GPON_100!D$18</f>
        <v>0</v>
      </c>
      <c r="I7" s="24">
        <f>SUM(Table7172[[#This Row],[Duct Cost]:[Building E&amp;I Costs]])</f>
        <v>801254.49758500769</v>
      </c>
      <c r="J7" s="24">
        <f t="shared" si="0"/>
        <v>40062724.879250385</v>
      </c>
      <c r="K7" s="24">
        <v>29262</v>
      </c>
      <c r="L7" s="24">
        <f t="shared" si="1"/>
        <v>27.382082481888034</v>
      </c>
      <c r="M7" s="24">
        <v>100</v>
      </c>
    </row>
    <row r="8" spans="1:13" x14ac:dyDescent="0.35">
      <c r="A8" s="24" t="s">
        <v>66</v>
      </c>
      <c r="B8" s="24">
        <v>154545.71095359759</v>
      </c>
      <c r="C8" s="24">
        <v>640729.49433380761</v>
      </c>
      <c r="D8" s="24">
        <f>71.26*Table7172[[#This Row],[Duct Length]]/50</f>
        <v>220258.5472510673</v>
      </c>
      <c r="E8" s="24">
        <f>9.61*Table7172[[#This Row],[Fiber Length]]/50</f>
        <v>123148.20881095782</v>
      </c>
      <c r="F8" s="24">
        <f>FTTB_XGPON_100!B$18</f>
        <v>64900</v>
      </c>
      <c r="G8" s="24">
        <f>FTTB_XGPON_100!C$18</f>
        <v>2388.8000000000002</v>
      </c>
      <c r="H8" s="24">
        <f>FTTB_XGPON_100!D$18</f>
        <v>124851.2</v>
      </c>
      <c r="I8" s="24">
        <f>SUM(Table7172[[#This Row],[Duct Cost]:[Building E&amp;I Costs]])</f>
        <v>535546.75606202509</v>
      </c>
      <c r="J8" s="24">
        <f t="shared" si="0"/>
        <v>26777337.803101253</v>
      </c>
      <c r="K8" s="24">
        <v>29262</v>
      </c>
      <c r="L8" s="24">
        <f t="shared" si="1"/>
        <v>18.301782381997988</v>
      </c>
      <c r="M8" s="24">
        <v>100</v>
      </c>
    </row>
    <row r="9" spans="1:13" x14ac:dyDescent="0.35">
      <c r="A9" s="24" t="s">
        <v>67</v>
      </c>
      <c r="B9" s="24">
        <v>95562.640830078599</v>
      </c>
      <c r="C9" s="24">
        <v>730606.15860891738</v>
      </c>
      <c r="D9" s="24">
        <f>71.26*Table7172[[#This Row],[Duct Length]]/50</f>
        <v>136195.87571102803</v>
      </c>
      <c r="E9" s="24">
        <f>9.61*Table7172[[#This Row],[Fiber Length]]/50</f>
        <v>140422.50368463391</v>
      </c>
      <c r="F9" s="24">
        <f>FTTB_WRWDM_100!B$16</f>
        <v>42400</v>
      </c>
      <c r="G9" s="24">
        <f>FTTB_WRWDM_100!C$16</f>
        <v>280</v>
      </c>
      <c r="H9" s="24">
        <f>FTTB_WRWDM_100!D$16</f>
        <v>267000</v>
      </c>
      <c r="I9" s="24">
        <f>SUM(Table7172[[#This Row],[Duct Cost]:[Building E&amp;I Costs]])</f>
        <v>586298.37939566188</v>
      </c>
      <c r="J9" s="24">
        <f t="shared" si="0"/>
        <v>29314918.969783094</v>
      </c>
      <c r="K9" s="24">
        <v>29262</v>
      </c>
      <c r="L9" s="24">
        <f t="shared" si="1"/>
        <v>20.036169072369006</v>
      </c>
      <c r="M9" s="24">
        <v>100</v>
      </c>
    </row>
    <row r="10" spans="1:13" x14ac:dyDescent="0.35">
      <c r="A10" s="22" t="s">
        <v>68</v>
      </c>
      <c r="B10" s="16">
        <v>57507.321309755403</v>
      </c>
      <c r="C10" s="16">
        <v>629711.41851421306</v>
      </c>
      <c r="D10" s="24">
        <f>71.26*Table7172[[#This Row],[Duct Length]]/50</f>
        <v>81959.434330663411</v>
      </c>
      <c r="E10" s="24">
        <f>9.61*Table7172[[#This Row],[Fiber Length]]/50</f>
        <v>121030.53463843174</v>
      </c>
      <c r="F10" s="24">
        <f>FTTCab_Hybridpon_25!B$18</f>
        <v>13425</v>
      </c>
      <c r="G10" s="24">
        <f>FTTCab_Hybridpon_25!C$18</f>
        <v>261714.75917278187</v>
      </c>
      <c r="H10" s="24">
        <f>FTTCab_Hybridpon_25!D$18</f>
        <v>0</v>
      </c>
      <c r="I10" s="24">
        <f>SUM(Table7172[[#This Row],[Duct Cost]:[Building E&amp;I Costs]])</f>
        <v>478129.72814187699</v>
      </c>
      <c r="J10" s="24">
        <f t="shared" si="0"/>
        <v>23906486.407093849</v>
      </c>
      <c r="K10" s="24">
        <v>29262</v>
      </c>
      <c r="L10" s="24">
        <f t="shared" si="1"/>
        <v>16.339612061440672</v>
      </c>
      <c r="M10" s="24">
        <v>25</v>
      </c>
    </row>
    <row r="11" spans="1:13" x14ac:dyDescent="0.35">
      <c r="A11" s="22" t="s">
        <v>69</v>
      </c>
      <c r="B11" s="16">
        <v>127537.82706687541</v>
      </c>
      <c r="C11" s="16">
        <v>610583.51516018598</v>
      </c>
      <c r="D11" s="24">
        <f>71.26*Table7172[[#This Row],[Duct Length]]/50</f>
        <v>181766.91113571086</v>
      </c>
      <c r="E11" s="24">
        <f>9.61*Table7172[[#This Row],[Fiber Length]]/50</f>
        <v>117354.15161378775</v>
      </c>
      <c r="F11" s="24">
        <f>FTTB_Hybridpon_50!B$17</f>
        <v>27000</v>
      </c>
      <c r="G11" s="24">
        <f>FTTB_Hybridpon_50!C$17</f>
        <v>503.99999999999994</v>
      </c>
      <c r="H11" s="24">
        <f>FTTB_Hybridpon_50!D$17</f>
        <v>135000</v>
      </c>
      <c r="I11" s="24">
        <f>SUM(Table7172[[#This Row],[Duct Cost]:[Building E&amp;I Costs]])</f>
        <v>461625.06274949864</v>
      </c>
      <c r="J11" s="24">
        <f t="shared" si="0"/>
        <v>23081253.137474932</v>
      </c>
      <c r="K11" s="24">
        <v>29262</v>
      </c>
      <c r="L11" s="24">
        <f t="shared" si="1"/>
        <v>15.7755813939409</v>
      </c>
      <c r="M11" s="24">
        <v>50</v>
      </c>
    </row>
    <row r="12" spans="1:13" x14ac:dyDescent="0.35">
      <c r="A12" s="22" t="s">
        <v>70</v>
      </c>
      <c r="B12" s="16">
        <v>127537.82706687541</v>
      </c>
      <c r="C12" s="16">
        <v>516582.42972576799</v>
      </c>
      <c r="D12" s="24">
        <f>71.26*Table7172[[#This Row],[Duct Length]]/50</f>
        <v>181766.91113571086</v>
      </c>
      <c r="E12" s="24">
        <f>9.61*Table7172[[#This Row],[Fiber Length]]/50</f>
        <v>99287.142993292597</v>
      </c>
      <c r="F12" s="24">
        <f>FTTH_Hybridpon_100!B$17</f>
        <v>54000</v>
      </c>
      <c r="G12" s="24">
        <f>FTTH_Hybridpon_100!C$17</f>
        <v>448</v>
      </c>
      <c r="H12" s="24">
        <f>FTTH_Hybridpon_100!D$17</f>
        <v>150000</v>
      </c>
      <c r="I12" s="24">
        <f>SUM(Table7172[[#This Row],[Duct Cost]:[Building E&amp;I Costs]])</f>
        <v>485502.05412900343</v>
      </c>
      <c r="J12" s="24">
        <f t="shared" si="0"/>
        <v>24275102.706450172</v>
      </c>
      <c r="K12" s="24">
        <v>29262</v>
      </c>
      <c r="L12" s="24">
        <f t="shared" si="1"/>
        <v>16.591554033524826</v>
      </c>
      <c r="M12" s="24">
        <v>100</v>
      </c>
    </row>
    <row r="13" spans="1:13" x14ac:dyDescent="0.35">
      <c r="A13" s="22" t="s">
        <v>71</v>
      </c>
      <c r="B13" s="16">
        <v>126641.78711580401</v>
      </c>
      <c r="C13" s="16">
        <v>629711.41851421306</v>
      </c>
      <c r="D13" s="24">
        <f>71.26*Table7172[[#This Row],[Duct Length]]/50</f>
        <v>180489.8749974439</v>
      </c>
      <c r="E13" s="24">
        <f>9.61*Table7172[[#This Row],[Fiber Length]]/50</f>
        <v>121030.53463843174</v>
      </c>
      <c r="F13" s="24">
        <f>FTTC_Hybridpon_100!B$18</f>
        <v>52040</v>
      </c>
      <c r="G13" s="24">
        <f>FTTC_Hybridpon_100!C$18</f>
        <v>424582.40000000002</v>
      </c>
      <c r="H13" s="24">
        <f>FTTC_Hybridpon_100!D$18</f>
        <v>0</v>
      </c>
      <c r="I13" s="24">
        <f>SUM(Table7172[[#This Row],[Duct Cost]:[Building E&amp;I Costs]])</f>
        <v>778142.80963587563</v>
      </c>
      <c r="J13" s="24">
        <f t="shared" si="0"/>
        <v>38907140.481793784</v>
      </c>
      <c r="K13" s="24">
        <v>29262</v>
      </c>
      <c r="L13" s="24">
        <f t="shared" si="1"/>
        <v>26.592263332508907</v>
      </c>
      <c r="M13" s="24">
        <v>100</v>
      </c>
    </row>
    <row r="14" spans="1:13" x14ac:dyDescent="0.35">
      <c r="A14" s="15" t="s">
        <v>72</v>
      </c>
      <c r="B14" s="16">
        <v>127537.82706687541</v>
      </c>
      <c r="C14" s="16">
        <v>475602.42972576804</v>
      </c>
      <c r="D14" s="24">
        <f>71.26*Table7172[[#This Row],[Duct Length]]/50</f>
        <v>181766.91113571086</v>
      </c>
      <c r="E14" s="24">
        <f>9.61*Table7172[[#This Row],[Fiber Length]]/50</f>
        <v>91410.786993292611</v>
      </c>
      <c r="F14" s="17">
        <f>FTTB_Hybridpon_100!B$17</f>
        <v>65160</v>
      </c>
      <c r="G14" s="17">
        <f>FTTB_Hybridpon_100!C$17</f>
        <v>876.4</v>
      </c>
      <c r="H14" s="17">
        <f>FTTB_Hybridpon_100!D$17</f>
        <v>136677.78519012674</v>
      </c>
      <c r="I14" s="24">
        <f>SUM(Table7172[[#This Row],[Duct Cost]:[Building E&amp;I Costs]])</f>
        <v>475891.88331913023</v>
      </c>
      <c r="J14" s="24">
        <f t="shared" si="0"/>
        <v>23794594.165956512</v>
      </c>
      <c r="K14" s="24">
        <v>29262</v>
      </c>
      <c r="L14" s="24">
        <f t="shared" si="1"/>
        <v>16.263135920959957</v>
      </c>
      <c r="M14" s="17">
        <v>100</v>
      </c>
    </row>
    <row r="45" spans="6:9" x14ac:dyDescent="0.35">
      <c r="F45" t="s">
        <v>1</v>
      </c>
      <c r="G45" t="s">
        <v>2</v>
      </c>
      <c r="H45" t="s">
        <v>127</v>
      </c>
      <c r="I45" t="s">
        <v>3</v>
      </c>
    </row>
    <row r="46" spans="6:9" x14ac:dyDescent="0.35">
      <c r="F46">
        <f>D2</f>
        <v>122492.30468757232</v>
      </c>
      <c r="G46" s="24">
        <f t="shared" ref="G46:H58" si="2">E2</f>
        <v>181054.59289743542</v>
      </c>
      <c r="H46" s="24">
        <f t="shared" si="2"/>
        <v>12919.72426061819</v>
      </c>
      <c r="I46">
        <f>G2+H2</f>
        <v>439456.14854347339</v>
      </c>
    </row>
    <row r="47" spans="6:9" x14ac:dyDescent="0.35">
      <c r="F47" s="24">
        <f t="shared" ref="F47:F59" si="3">D3</f>
        <v>220258.5472510673</v>
      </c>
      <c r="G47" s="24">
        <f t="shared" si="2"/>
        <v>123148.20881095782</v>
      </c>
      <c r="H47" s="24">
        <f t="shared" si="2"/>
        <v>18100</v>
      </c>
      <c r="I47" s="24">
        <f t="shared" ref="I47:I58" si="4">G3+H3</f>
        <v>130388.8</v>
      </c>
    </row>
    <row r="48" spans="6:9" x14ac:dyDescent="0.35">
      <c r="F48" s="24">
        <f t="shared" si="3"/>
        <v>136195.87571102803</v>
      </c>
      <c r="G48" s="24">
        <f t="shared" si="2"/>
        <v>140422.50368463391</v>
      </c>
      <c r="H48" s="24">
        <f t="shared" si="2"/>
        <v>24350</v>
      </c>
      <c r="I48" s="24">
        <f t="shared" si="4"/>
        <v>133638</v>
      </c>
    </row>
    <row r="49" spans="6:9" x14ac:dyDescent="0.35">
      <c r="F49" s="24">
        <f t="shared" si="3"/>
        <v>136195.87571102803</v>
      </c>
      <c r="G49" s="24">
        <f t="shared" si="2"/>
        <v>140422.50368463391</v>
      </c>
      <c r="H49" s="24">
        <f t="shared" si="2"/>
        <v>170450</v>
      </c>
      <c r="I49" s="24">
        <f t="shared" si="4"/>
        <v>210966</v>
      </c>
    </row>
    <row r="50" spans="6:9" x14ac:dyDescent="0.35">
      <c r="F50" s="24">
        <f t="shared" si="3"/>
        <v>220258.5472510673</v>
      </c>
      <c r="G50" s="24">
        <f t="shared" si="2"/>
        <v>123148.20881095782</v>
      </c>
      <c r="H50" s="24">
        <f t="shared" si="2"/>
        <v>93800</v>
      </c>
      <c r="I50" s="24">
        <f t="shared" si="4"/>
        <v>245594</v>
      </c>
    </row>
    <row r="51" spans="6:9" x14ac:dyDescent="0.35">
      <c r="F51" s="24">
        <f t="shared" si="3"/>
        <v>122492.30468757232</v>
      </c>
      <c r="G51" s="24">
        <f t="shared" si="2"/>
        <v>181054.59289743542</v>
      </c>
      <c r="H51" s="24">
        <f t="shared" si="2"/>
        <v>31780</v>
      </c>
      <c r="I51" s="24">
        <f t="shared" si="4"/>
        <v>465927.6</v>
      </c>
    </row>
    <row r="52" spans="6:9" x14ac:dyDescent="0.35">
      <c r="F52" s="24">
        <f t="shared" si="3"/>
        <v>220258.5472510673</v>
      </c>
      <c r="G52" s="24">
        <f t="shared" si="2"/>
        <v>123148.20881095782</v>
      </c>
      <c r="H52" s="24">
        <f t="shared" si="2"/>
        <v>64900</v>
      </c>
      <c r="I52" s="24">
        <f t="shared" si="4"/>
        <v>127240</v>
      </c>
    </row>
    <row r="53" spans="6:9" x14ac:dyDescent="0.35">
      <c r="F53" s="24">
        <f t="shared" si="3"/>
        <v>136195.87571102803</v>
      </c>
      <c r="G53" s="24">
        <f t="shared" si="2"/>
        <v>140422.50368463391</v>
      </c>
      <c r="H53" s="24">
        <f t="shared" si="2"/>
        <v>42400</v>
      </c>
      <c r="I53" s="24">
        <f t="shared" si="4"/>
        <v>267280</v>
      </c>
    </row>
    <row r="54" spans="6:9" x14ac:dyDescent="0.35">
      <c r="F54" s="24">
        <f t="shared" si="3"/>
        <v>81959.434330663411</v>
      </c>
      <c r="G54" s="24">
        <f t="shared" si="2"/>
        <v>121030.53463843174</v>
      </c>
      <c r="H54" s="24">
        <f t="shared" si="2"/>
        <v>13425</v>
      </c>
      <c r="I54" s="24">
        <f t="shared" si="4"/>
        <v>261714.75917278187</v>
      </c>
    </row>
    <row r="55" spans="6:9" x14ac:dyDescent="0.35">
      <c r="F55" s="24">
        <f t="shared" si="3"/>
        <v>181766.91113571086</v>
      </c>
      <c r="G55" s="24">
        <f t="shared" si="2"/>
        <v>117354.15161378775</v>
      </c>
      <c r="H55" s="24">
        <f t="shared" si="2"/>
        <v>27000</v>
      </c>
      <c r="I55" s="24">
        <f t="shared" si="4"/>
        <v>135504</v>
      </c>
    </row>
    <row r="56" spans="6:9" x14ac:dyDescent="0.35">
      <c r="F56" s="24">
        <f t="shared" si="3"/>
        <v>181766.91113571086</v>
      </c>
      <c r="G56" s="24">
        <f t="shared" si="2"/>
        <v>99287.142993292597</v>
      </c>
      <c r="H56" s="24">
        <f t="shared" si="2"/>
        <v>54000</v>
      </c>
      <c r="I56" s="24">
        <f t="shared" si="4"/>
        <v>150448</v>
      </c>
    </row>
    <row r="57" spans="6:9" x14ac:dyDescent="0.35">
      <c r="F57" s="24">
        <f t="shared" si="3"/>
        <v>180489.8749974439</v>
      </c>
      <c r="G57" s="24">
        <f t="shared" si="2"/>
        <v>121030.53463843174</v>
      </c>
      <c r="H57" s="24">
        <f t="shared" si="2"/>
        <v>52040</v>
      </c>
      <c r="I57" s="24">
        <f t="shared" si="4"/>
        <v>424582.40000000002</v>
      </c>
    </row>
    <row r="58" spans="6:9" x14ac:dyDescent="0.35">
      <c r="F58" s="24">
        <f t="shared" si="3"/>
        <v>181766.91113571086</v>
      </c>
      <c r="G58" s="24">
        <f t="shared" si="2"/>
        <v>91410.786993292611</v>
      </c>
      <c r="H58" s="24">
        <f t="shared" si="2"/>
        <v>65160</v>
      </c>
      <c r="I58" s="24">
        <f t="shared" si="4"/>
        <v>137554.18519012674</v>
      </c>
    </row>
    <row r="59" spans="6:9" x14ac:dyDescent="0.35">
      <c r="F59" s="24">
        <f t="shared" si="3"/>
        <v>0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tableParts count="1"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61"/>
  <sheetViews>
    <sheetView tabSelected="1" topLeftCell="H40" workbookViewId="0">
      <selection activeCell="K29" sqref="K29"/>
    </sheetView>
  </sheetViews>
  <sheetFormatPr defaultRowHeight="14.5" x14ac:dyDescent="0.35"/>
  <cols>
    <col min="1" max="1" width="53.81640625" customWidth="1"/>
    <col min="2" max="2" width="23" customWidth="1"/>
    <col min="3" max="3" width="17.26953125" customWidth="1"/>
    <col min="4" max="4" width="19.26953125" customWidth="1"/>
    <col min="5" max="5" width="17" customWidth="1"/>
    <col min="6" max="6" width="18.453125" customWidth="1"/>
    <col min="7" max="7" width="15.7265625" customWidth="1"/>
    <col min="8" max="8" width="17.1796875" customWidth="1"/>
    <col min="9" max="9" width="26.54296875" customWidth="1"/>
    <col min="10" max="10" width="19.453125" customWidth="1"/>
    <col min="11" max="11" width="14.453125" customWidth="1"/>
  </cols>
  <sheetData>
    <row r="1" spans="1:13" x14ac:dyDescent="0.35">
      <c r="A1" s="24" t="s">
        <v>49</v>
      </c>
      <c r="B1" s="24" t="s">
        <v>88</v>
      </c>
      <c r="C1" s="24" t="s">
        <v>89</v>
      </c>
      <c r="D1" s="24" t="s">
        <v>1</v>
      </c>
      <c r="E1" s="24" t="s">
        <v>2</v>
      </c>
      <c r="F1" s="24" t="s">
        <v>61</v>
      </c>
      <c r="G1" s="24" t="s">
        <v>59</v>
      </c>
      <c r="H1" s="24" t="s">
        <v>60</v>
      </c>
      <c r="I1" s="24" t="s">
        <v>55</v>
      </c>
      <c r="J1" s="24" t="s">
        <v>123</v>
      </c>
      <c r="K1" s="24" t="s">
        <v>56</v>
      </c>
      <c r="L1" s="24" t="s">
        <v>126</v>
      </c>
      <c r="M1" s="24" t="s">
        <v>58</v>
      </c>
    </row>
    <row r="2" spans="1:13" x14ac:dyDescent="0.35">
      <c r="A2" s="24" t="s">
        <v>139</v>
      </c>
      <c r="B2" s="24">
        <v>85947.449261557893</v>
      </c>
      <c r="C2" s="24">
        <v>256639.12665928461</v>
      </c>
      <c r="D2" s="24">
        <f>27*Table717218[[#This Row],[Duct Length]]/50</f>
        <v>46411.622601241266</v>
      </c>
      <c r="E2" s="24">
        <f>0.3*Table717218[[#This Row],[Fiber Length]]/50</f>
        <v>1539.8347599557078</v>
      </c>
      <c r="F2" s="24">
        <f>'FTTCab GPON 26 Mbps'!B$21</f>
        <v>2000</v>
      </c>
      <c r="G2" s="24">
        <f>'FTTCab GPON 26 Mbps'!C$21</f>
        <v>315580</v>
      </c>
      <c r="H2" s="24">
        <f>'FTTCab GPON 26 Mbps'!D$21</f>
        <v>0</v>
      </c>
      <c r="I2" s="24">
        <f>SUM(Table717218[[#This Row],[Duct Cost]:[Building E&amp;I Costs]])</f>
        <v>365531.45736119698</v>
      </c>
      <c r="J2" s="24">
        <f t="shared" ref="J2:J14" si="0">I2*50</f>
        <v>18276572.868059848</v>
      </c>
      <c r="K2" s="24">
        <v>29262</v>
      </c>
      <c r="L2" s="24">
        <f>I2/K2</f>
        <v>12.49167717043254</v>
      </c>
      <c r="M2" s="24">
        <v>25</v>
      </c>
    </row>
    <row r="3" spans="1:13" x14ac:dyDescent="0.35">
      <c r="A3" s="24" t="s">
        <v>51</v>
      </c>
      <c r="B3" s="24">
        <v>154545.71095359759</v>
      </c>
      <c r="C3" s="24">
        <v>640729.49433380761</v>
      </c>
      <c r="D3" s="24">
        <f>27*Table717218[[#This Row],[Duct Length]]/50</f>
        <v>83454.683914942696</v>
      </c>
      <c r="E3" s="24">
        <f>0.3*Table717218[[#This Row],[Fiber Length]]/50</f>
        <v>3844.3769660028456</v>
      </c>
      <c r="F3" s="24">
        <f>'FTTB XGPON 50 Mbps'!B$20</f>
        <v>3300</v>
      </c>
      <c r="G3" s="24">
        <f>'FTTB XGPON 50 Mbps'!C$20</f>
        <v>0</v>
      </c>
      <c r="H3" s="24">
        <f>'FTTB XGPON 50 Mbps'!D$20</f>
        <v>75000</v>
      </c>
      <c r="I3" s="24">
        <f>SUM(Table717218[[#This Row],[Duct Cost]:[Building E&amp;I Costs]])</f>
        <v>165599.06088094553</v>
      </c>
      <c r="J3" s="24">
        <f t="shared" si="0"/>
        <v>8279953.0440472765</v>
      </c>
      <c r="K3" s="24">
        <v>29262</v>
      </c>
      <c r="L3" s="24">
        <f t="shared" ref="L3:L14" si="1">I3/K3</f>
        <v>5.6591846381295037</v>
      </c>
      <c r="M3" s="24">
        <v>50</v>
      </c>
    </row>
    <row r="4" spans="1:13" x14ac:dyDescent="0.35">
      <c r="A4" s="24" t="s">
        <v>135</v>
      </c>
      <c r="B4" s="24">
        <v>95562.640830078599</v>
      </c>
      <c r="C4" s="24">
        <v>730606.15860891738</v>
      </c>
      <c r="D4" s="24">
        <f>27*Table717218[[#This Row],[Duct Length]]/50</f>
        <v>51603.826048242438</v>
      </c>
      <c r="E4" s="24">
        <f>0.3*Table717218[[#This Row],[Fiber Length]]/50</f>
        <v>4383.6369516535042</v>
      </c>
      <c r="F4" s="24">
        <f>'FTTB WR-WDMPON 50 Mbps'!B$18</f>
        <v>4140</v>
      </c>
      <c r="G4" s="24">
        <f>'FTTB WR-WDMPON 50 Mbps'!C$18</f>
        <v>138</v>
      </c>
      <c r="H4" s="24">
        <f>'FTTB WR-WDMPON 50 Mbps'!D$18</f>
        <v>75000</v>
      </c>
      <c r="I4" s="24">
        <f>SUM(Table717218[[#This Row],[Duct Cost]:[Building E&amp;I Costs]])</f>
        <v>135265.46299989594</v>
      </c>
      <c r="J4" s="24">
        <f t="shared" si="0"/>
        <v>6763273.1499947971</v>
      </c>
      <c r="K4" s="24">
        <v>29262</v>
      </c>
      <c r="L4" s="24">
        <f t="shared" si="1"/>
        <v>4.6225638370547451</v>
      </c>
      <c r="M4" s="24">
        <v>50</v>
      </c>
    </row>
    <row r="5" spans="1:13" x14ac:dyDescent="0.35">
      <c r="A5" s="24" t="s">
        <v>136</v>
      </c>
      <c r="B5" s="24">
        <v>95562.640830078599</v>
      </c>
      <c r="C5" s="24">
        <v>730606.15860891738</v>
      </c>
      <c r="D5" s="24">
        <f>27*Table717218[[#This Row],[Duct Length]]/50</f>
        <v>51603.826048242438</v>
      </c>
      <c r="E5" s="24">
        <f>0.3*Table717218[[#This Row],[Fiber Length]]/50</f>
        <v>4383.6369516535042</v>
      </c>
      <c r="F5" s="24">
        <f>'FTTH WR-WDMPON 100 Mbps'!B$18</f>
        <v>28980</v>
      </c>
      <c r="G5" s="24">
        <f>'FTTH WR-WDMPON 100 Mbps'!C$18</f>
        <v>966</v>
      </c>
      <c r="H5" s="24">
        <f>'FTTH WR-WDMPON 100 Mbps'!D$18</f>
        <v>210000</v>
      </c>
      <c r="I5" s="24">
        <f>SUM(Table717218[[#This Row],[Duct Cost]:[Building E&amp;I Costs]])</f>
        <v>295933.46299989591</v>
      </c>
      <c r="J5" s="24">
        <f t="shared" si="0"/>
        <v>14796673.149994796</v>
      </c>
      <c r="K5" s="24">
        <v>29262</v>
      </c>
      <c r="L5" s="24">
        <f t="shared" si="1"/>
        <v>10.113234331210988</v>
      </c>
      <c r="M5" s="24">
        <v>100</v>
      </c>
    </row>
    <row r="6" spans="1:13" x14ac:dyDescent="0.35">
      <c r="A6" s="24" t="s">
        <v>54</v>
      </c>
      <c r="B6" s="24">
        <v>154545.71095359759</v>
      </c>
      <c r="C6" s="24">
        <v>640729.49433380761</v>
      </c>
      <c r="D6" s="24">
        <f>27*Table717218[[#This Row],[Duct Length]]/50</f>
        <v>83454.683914942696</v>
      </c>
      <c r="E6" s="24">
        <f>0.3*Table717218[[#This Row],[Fiber Length]]/50</f>
        <v>3844.3769660028456</v>
      </c>
      <c r="F6" s="24">
        <f>'FTTH XGPON 100 Mbps'!B$20</f>
        <v>5940</v>
      </c>
      <c r="G6" s="24">
        <f>'FTTH XGPON 100 Mbps'!C$20</f>
        <v>1248</v>
      </c>
      <c r="H6" s="24">
        <f>'FTTH XGPON 100 Mbps'!D$20</f>
        <v>240000</v>
      </c>
      <c r="I6" s="24">
        <f>SUM(Table717218[[#This Row],[Duct Cost]:[Building E&amp;I Costs]])</f>
        <v>334487.06088094553</v>
      </c>
      <c r="J6" s="24">
        <f t="shared" si="0"/>
        <v>16724353.044047277</v>
      </c>
      <c r="K6" s="24">
        <v>29262</v>
      </c>
      <c r="L6" s="24">
        <f t="shared" si="1"/>
        <v>11.43076552802083</v>
      </c>
      <c r="M6" s="24">
        <v>100</v>
      </c>
    </row>
    <row r="7" spans="1:13" x14ac:dyDescent="0.35">
      <c r="A7" s="24" t="s">
        <v>140</v>
      </c>
      <c r="B7" s="24">
        <v>85947.449261557893</v>
      </c>
      <c r="C7" s="24">
        <v>256639.12665928461</v>
      </c>
      <c r="D7" s="24">
        <f>27*Table717218[[#This Row],[Duct Length]]/50</f>
        <v>46411.622601241266</v>
      </c>
      <c r="E7" s="24">
        <f>0.3*Table717218[[#This Row],[Fiber Length]]/50</f>
        <v>1539.8347599557078</v>
      </c>
      <c r="F7" s="24">
        <f>FTTCab_GPON_100!B$19</f>
        <v>5500</v>
      </c>
      <c r="G7" s="24">
        <f>FTTCab_GPON_100!C$19</f>
        <v>324760</v>
      </c>
      <c r="H7" s="24">
        <f>FTTCab_GPON_100!D$19</f>
        <v>0</v>
      </c>
      <c r="I7" s="24">
        <f>SUM(Table717218[[#This Row],[Duct Cost]:[Building E&amp;I Costs]])</f>
        <v>378211.45736119698</v>
      </c>
      <c r="J7" s="24">
        <f t="shared" si="0"/>
        <v>18910572.868059848</v>
      </c>
      <c r="K7" s="24">
        <v>29262</v>
      </c>
      <c r="L7" s="24">
        <f t="shared" si="1"/>
        <v>12.925003668963058</v>
      </c>
      <c r="M7" s="24">
        <v>100</v>
      </c>
    </row>
    <row r="8" spans="1:13" x14ac:dyDescent="0.35">
      <c r="A8" s="24" t="s">
        <v>66</v>
      </c>
      <c r="B8" s="24">
        <v>154545.71095359759</v>
      </c>
      <c r="C8" s="24">
        <v>640729.49433380761</v>
      </c>
      <c r="D8" s="24">
        <f>27*Table717218[[#This Row],[Duct Length]]/50</f>
        <v>83454.683914942696</v>
      </c>
      <c r="E8" s="24">
        <f>0.3*Table717218[[#This Row],[Fiber Length]]/50</f>
        <v>3844.3769660028456</v>
      </c>
      <c r="F8" s="24">
        <f>FTTB_XGPON_100!B$19</f>
        <v>24360</v>
      </c>
      <c r="G8" s="24">
        <f>FTTB_XGPON_100!C$19</f>
        <v>6240</v>
      </c>
      <c r="H8" s="24">
        <f>FTTB_XGPON_100!D$19</f>
        <v>141433</v>
      </c>
      <c r="I8" s="24">
        <f>SUM(Table717218[[#This Row],[Duct Cost]:[Building E&amp;I Costs]])</f>
        <v>259332.06088094553</v>
      </c>
      <c r="J8" s="24">
        <f t="shared" si="0"/>
        <v>12966603.044047277</v>
      </c>
      <c r="K8" s="24">
        <v>29262</v>
      </c>
      <c r="L8" s="24">
        <f t="shared" si="1"/>
        <v>8.8624174998614418</v>
      </c>
      <c r="M8" s="24">
        <v>100</v>
      </c>
    </row>
    <row r="9" spans="1:13" x14ac:dyDescent="0.35">
      <c r="A9" s="24" t="s">
        <v>137</v>
      </c>
      <c r="B9" s="24">
        <v>95562.640830078599</v>
      </c>
      <c r="C9" s="24">
        <v>730606.15860891738</v>
      </c>
      <c r="D9" s="24">
        <f>27*Table717218[[#This Row],[Duct Length]]/50</f>
        <v>51603.826048242438</v>
      </c>
      <c r="E9" s="24">
        <f>0.3*Table717218[[#This Row],[Fiber Length]]/50</f>
        <v>4383.6369516535042</v>
      </c>
      <c r="F9" s="24">
        <f>FTTB_WRWDM_100!B$17</f>
        <v>8400</v>
      </c>
      <c r="G9" s="24">
        <f>FTTB_WRWDM_100!C$17</f>
        <v>2800</v>
      </c>
      <c r="H9" s="24">
        <f>FTTB_WRWDM_100!D$17</f>
        <v>150000</v>
      </c>
      <c r="I9" s="24">
        <f>SUM(Table717218[[#This Row],[Duct Cost]:[Building E&amp;I Costs]])</f>
        <v>217187.46299989594</v>
      </c>
      <c r="J9" s="24">
        <f t="shared" si="0"/>
        <v>10859373.149994798</v>
      </c>
      <c r="K9" s="24">
        <v>29262</v>
      </c>
      <c r="L9" s="24">
        <f t="shared" si="1"/>
        <v>7.4221674184914201</v>
      </c>
      <c r="M9" s="24">
        <v>100</v>
      </c>
    </row>
    <row r="10" spans="1:13" x14ac:dyDescent="0.35">
      <c r="A10" s="22" t="s">
        <v>68</v>
      </c>
      <c r="B10" s="16">
        <v>126641.78711580401</v>
      </c>
      <c r="C10" s="16">
        <v>629711.41851421306</v>
      </c>
      <c r="D10" s="24">
        <f>27*Table717218[[#This Row],[Duct Length]]/50</f>
        <v>68386.565042534159</v>
      </c>
      <c r="E10" s="24">
        <f>0.3*Table717218[[#This Row],[Fiber Length]]/50</f>
        <v>3778.2685110852781</v>
      </c>
      <c r="F10" s="24">
        <f>FTTCab_Hybridpon_25!B$19</f>
        <v>2200</v>
      </c>
      <c r="G10" s="24">
        <f>FTTCab_Hybridpon_25!C$19</f>
        <v>179600</v>
      </c>
      <c r="H10" s="24">
        <f>FTTCab_Hybridpon_25!D$19</f>
        <v>0</v>
      </c>
      <c r="I10" s="24">
        <f>SUM(Table717218[[#This Row],[Duct Cost]:[Building E&amp;I Costs]])</f>
        <v>253964.83355361945</v>
      </c>
      <c r="J10" s="24">
        <f t="shared" si="0"/>
        <v>12698241.677680973</v>
      </c>
      <c r="K10" s="24">
        <v>29262</v>
      </c>
      <c r="L10" s="24">
        <f t="shared" si="1"/>
        <v>8.6789977976084831</v>
      </c>
      <c r="M10" s="24">
        <v>25</v>
      </c>
    </row>
    <row r="11" spans="1:13" x14ac:dyDescent="0.35">
      <c r="A11" s="22" t="s">
        <v>69</v>
      </c>
      <c r="B11" s="16">
        <v>127537.82706687541</v>
      </c>
      <c r="C11" s="16">
        <v>610583.51516018598</v>
      </c>
      <c r="D11" s="24">
        <f>27*Table717218[[#This Row],[Duct Length]]/50</f>
        <v>68870.426616112716</v>
      </c>
      <c r="E11" s="24">
        <f>0.3*Table717218[[#This Row],[Fiber Length]]/50</f>
        <v>3663.5010909611156</v>
      </c>
      <c r="F11" s="24">
        <f>FTTB_Hybridpon_50!B$18</f>
        <v>4950</v>
      </c>
      <c r="G11" s="24">
        <f>FTTB_Hybridpon_50!C$18</f>
        <v>77000</v>
      </c>
      <c r="H11" s="24">
        <f>FTTB_Hybridpon_50!D$18</f>
        <v>25000</v>
      </c>
      <c r="I11" s="24">
        <f>SUM(Table717218[[#This Row],[Duct Cost]:[Building E&amp;I Costs]])</f>
        <v>179483.92770707383</v>
      </c>
      <c r="J11" s="24">
        <f t="shared" si="0"/>
        <v>8974196.3853536919</v>
      </c>
      <c r="K11" s="24">
        <v>29262</v>
      </c>
      <c r="L11" s="24">
        <f t="shared" si="1"/>
        <v>6.1336862725402854</v>
      </c>
      <c r="M11" s="24">
        <v>50</v>
      </c>
    </row>
    <row r="12" spans="1:13" x14ac:dyDescent="0.35">
      <c r="A12" s="22" t="s">
        <v>70</v>
      </c>
      <c r="B12" s="16">
        <v>127537.82706687541</v>
      </c>
      <c r="C12" s="16">
        <v>2774954.5343040172</v>
      </c>
      <c r="D12" s="24">
        <f>27*Table717218[[#This Row],[Duct Length]]/50</f>
        <v>68870.426616112716</v>
      </c>
      <c r="E12" s="24">
        <f>0.3*Table717218[[#This Row],[Fiber Length]]/50</f>
        <v>16649.727205824103</v>
      </c>
      <c r="F12" s="24">
        <f>FTTH_Hybridpon_100!B$18</f>
        <v>9900</v>
      </c>
      <c r="G12" s="24">
        <f>FTTH_Hybridpon_100!C$18</f>
        <v>3100</v>
      </c>
      <c r="H12" s="24">
        <f>FTTH_Hybridpon_100!D$18</f>
        <v>210000</v>
      </c>
      <c r="I12" s="24">
        <f>SUM(Table717218[[#This Row],[Duct Cost]:[Building E&amp;I Costs]])</f>
        <v>308520.15382193681</v>
      </c>
      <c r="J12" s="24">
        <f t="shared" si="0"/>
        <v>15426007.69109684</v>
      </c>
      <c r="K12" s="24">
        <v>29262</v>
      </c>
      <c r="L12" s="24">
        <f t="shared" si="1"/>
        <v>10.543372080580166</v>
      </c>
      <c r="M12" s="24">
        <v>100</v>
      </c>
    </row>
    <row r="13" spans="1:13" x14ac:dyDescent="0.35">
      <c r="A13" s="22" t="s">
        <v>71</v>
      </c>
      <c r="B13" s="16">
        <v>126641.78711580401</v>
      </c>
      <c r="C13" s="16">
        <v>629711.41851421306</v>
      </c>
      <c r="D13" s="24">
        <f>27*Table717218[[#This Row],[Duct Length]]/50</f>
        <v>68386.565042534159</v>
      </c>
      <c r="E13" s="24">
        <f>0.3*Table717218[[#This Row],[Fiber Length]]/50</f>
        <v>3778.2685110852781</v>
      </c>
      <c r="F13" s="24">
        <f>FTTC_Hybridpon_100!B$19</f>
        <v>9000</v>
      </c>
      <c r="G13" s="24">
        <f>FTTC_Hybridpon_100!C$19</f>
        <v>305000</v>
      </c>
      <c r="H13" s="24">
        <f>FTTC_Hybridpon_100!D$19</f>
        <v>0</v>
      </c>
      <c r="I13" s="24">
        <f>SUM(Table717218[[#This Row],[Duct Cost]:[Building E&amp;I Costs]])</f>
        <v>386164.83355361945</v>
      </c>
      <c r="J13" s="24">
        <f t="shared" si="0"/>
        <v>19308241.677680973</v>
      </c>
      <c r="K13" s="24">
        <v>29262</v>
      </c>
      <c r="L13" s="24">
        <f t="shared" si="1"/>
        <v>13.196802458944004</v>
      </c>
      <c r="M13" s="24">
        <v>100</v>
      </c>
    </row>
    <row r="14" spans="1:13" x14ac:dyDescent="0.35">
      <c r="A14" s="15" t="s">
        <v>72</v>
      </c>
      <c r="B14" s="16">
        <v>127537.82706687541</v>
      </c>
      <c r="C14" s="16">
        <v>242118.791987937</v>
      </c>
      <c r="D14" s="24">
        <f>27*Table717218[[#This Row],[Duct Length]]/50</f>
        <v>68870.426616112716</v>
      </c>
      <c r="E14" s="24">
        <f>0.3*Table717218[[#This Row],[Fiber Length]]/50</f>
        <v>1452.7127519276221</v>
      </c>
      <c r="F14" s="17">
        <f>FTTB_Hybridpon_100!B$18</f>
        <v>10540</v>
      </c>
      <c r="G14" s="17">
        <f>FTTB_Hybridpon_100!C$18</f>
        <v>6100</v>
      </c>
      <c r="H14" s="17">
        <f>FTTB_Hybridpon_100!D$18</f>
        <v>75000</v>
      </c>
      <c r="I14" s="24">
        <f>SUM(Table717218[[#This Row],[Duct Cost]:[Building E&amp;I Costs]])</f>
        <v>161963.13936804034</v>
      </c>
      <c r="J14" s="24">
        <f t="shared" si="0"/>
        <v>8098156.9684020169</v>
      </c>
      <c r="K14" s="24">
        <v>29262</v>
      </c>
      <c r="L14" s="24">
        <f t="shared" si="1"/>
        <v>5.5349306051548197</v>
      </c>
      <c r="M14" s="17">
        <v>100</v>
      </c>
    </row>
    <row r="47" spans="4:7" x14ac:dyDescent="0.35">
      <c r="D47" s="24" t="s">
        <v>1</v>
      </c>
      <c r="E47" s="24" t="s">
        <v>2</v>
      </c>
      <c r="F47" s="24" t="s">
        <v>127</v>
      </c>
      <c r="G47" s="24" t="s">
        <v>3</v>
      </c>
    </row>
    <row r="48" spans="4:7" x14ac:dyDescent="0.35">
      <c r="D48" s="37">
        <f>D2</f>
        <v>46411.622601241266</v>
      </c>
      <c r="E48" s="37">
        <f t="shared" ref="E48:F48" si="2">E2</f>
        <v>1539.8347599557078</v>
      </c>
      <c r="F48" s="37">
        <f t="shared" si="2"/>
        <v>2000</v>
      </c>
      <c r="G48">
        <f>G2+H2</f>
        <v>315580</v>
      </c>
    </row>
    <row r="49" spans="4:7" x14ac:dyDescent="0.35">
      <c r="D49" s="37">
        <f t="shared" ref="D49:F49" si="3">D3</f>
        <v>83454.683914942696</v>
      </c>
      <c r="E49" s="37">
        <f t="shared" si="3"/>
        <v>3844.3769660028456</v>
      </c>
      <c r="F49" s="37">
        <f t="shared" si="3"/>
        <v>3300</v>
      </c>
      <c r="G49" s="24">
        <f t="shared" ref="G49:G60" si="4">G3+H3</f>
        <v>75000</v>
      </c>
    </row>
    <row r="50" spans="4:7" x14ac:dyDescent="0.35">
      <c r="D50" s="37">
        <f t="shared" ref="D50:F50" si="5">D4</f>
        <v>51603.826048242438</v>
      </c>
      <c r="E50" s="37">
        <f t="shared" si="5"/>
        <v>4383.6369516535042</v>
      </c>
      <c r="F50" s="37">
        <f t="shared" si="5"/>
        <v>4140</v>
      </c>
      <c r="G50" s="24">
        <f t="shared" si="4"/>
        <v>75138</v>
      </c>
    </row>
    <row r="51" spans="4:7" x14ac:dyDescent="0.35">
      <c r="D51" s="37">
        <f t="shared" ref="D51:F51" si="6">D5</f>
        <v>51603.826048242438</v>
      </c>
      <c r="E51" s="37">
        <f t="shared" si="6"/>
        <v>4383.6369516535042</v>
      </c>
      <c r="F51" s="37">
        <f t="shared" si="6"/>
        <v>28980</v>
      </c>
      <c r="G51" s="24">
        <f t="shared" si="4"/>
        <v>210966</v>
      </c>
    </row>
    <row r="52" spans="4:7" x14ac:dyDescent="0.35">
      <c r="D52" s="37">
        <f t="shared" ref="D52:F52" si="7">D6</f>
        <v>83454.683914942696</v>
      </c>
      <c r="E52" s="37">
        <f t="shared" si="7"/>
        <v>3844.3769660028456</v>
      </c>
      <c r="F52" s="37">
        <f t="shared" si="7"/>
        <v>5940</v>
      </c>
      <c r="G52" s="24">
        <f t="shared" si="4"/>
        <v>241248</v>
      </c>
    </row>
    <row r="53" spans="4:7" x14ac:dyDescent="0.35">
      <c r="D53" s="37">
        <f t="shared" ref="D53:F53" si="8">D7</f>
        <v>46411.622601241266</v>
      </c>
      <c r="E53" s="37">
        <f t="shared" si="8"/>
        <v>1539.8347599557078</v>
      </c>
      <c r="F53" s="37">
        <f t="shared" si="8"/>
        <v>5500</v>
      </c>
      <c r="G53" s="24">
        <f t="shared" si="4"/>
        <v>324760</v>
      </c>
    </row>
    <row r="54" spans="4:7" x14ac:dyDescent="0.35">
      <c r="D54" s="37">
        <f t="shared" ref="D54:F54" si="9">D8</f>
        <v>83454.683914942696</v>
      </c>
      <c r="E54" s="37">
        <f t="shared" si="9"/>
        <v>3844.3769660028456</v>
      </c>
      <c r="F54" s="37">
        <f t="shared" si="9"/>
        <v>24360</v>
      </c>
      <c r="G54" s="24">
        <f t="shared" si="4"/>
        <v>147673</v>
      </c>
    </row>
    <row r="55" spans="4:7" x14ac:dyDescent="0.35">
      <c r="D55" s="37">
        <f t="shared" ref="D55:F55" si="10">D9</f>
        <v>51603.826048242438</v>
      </c>
      <c r="E55" s="37">
        <f t="shared" si="10"/>
        <v>4383.6369516535042</v>
      </c>
      <c r="F55" s="37">
        <f t="shared" si="10"/>
        <v>8400</v>
      </c>
      <c r="G55" s="24">
        <f t="shared" si="4"/>
        <v>152800</v>
      </c>
    </row>
    <row r="56" spans="4:7" x14ac:dyDescent="0.35">
      <c r="D56" s="37">
        <f t="shared" ref="D56:F56" si="11">D10</f>
        <v>68386.565042534159</v>
      </c>
      <c r="E56" s="37">
        <f t="shared" si="11"/>
        <v>3778.2685110852781</v>
      </c>
      <c r="F56" s="37">
        <f t="shared" si="11"/>
        <v>2200</v>
      </c>
      <c r="G56" s="24">
        <f t="shared" si="4"/>
        <v>179600</v>
      </c>
    </row>
    <row r="57" spans="4:7" x14ac:dyDescent="0.35">
      <c r="D57" s="37">
        <f t="shared" ref="D57:F57" si="12">D11</f>
        <v>68870.426616112716</v>
      </c>
      <c r="E57" s="37">
        <f t="shared" si="12"/>
        <v>3663.5010909611156</v>
      </c>
      <c r="F57" s="37">
        <f t="shared" si="12"/>
        <v>4950</v>
      </c>
      <c r="G57" s="24">
        <f t="shared" si="4"/>
        <v>102000</v>
      </c>
    </row>
    <row r="58" spans="4:7" x14ac:dyDescent="0.35">
      <c r="D58" s="37">
        <f t="shared" ref="D58:F58" si="13">D12</f>
        <v>68870.426616112716</v>
      </c>
      <c r="E58" s="37">
        <f t="shared" si="13"/>
        <v>16649.727205824103</v>
      </c>
      <c r="F58" s="37">
        <f t="shared" si="13"/>
        <v>9900</v>
      </c>
      <c r="G58" s="24">
        <f t="shared" si="4"/>
        <v>213100</v>
      </c>
    </row>
    <row r="59" spans="4:7" x14ac:dyDescent="0.35">
      <c r="D59" s="37">
        <f t="shared" ref="D59:F59" si="14">D13</f>
        <v>68386.565042534159</v>
      </c>
      <c r="E59" s="37">
        <f t="shared" si="14"/>
        <v>3778.2685110852781</v>
      </c>
      <c r="F59" s="37">
        <f t="shared" si="14"/>
        <v>9000</v>
      </c>
      <c r="G59" s="24">
        <f t="shared" si="4"/>
        <v>305000</v>
      </c>
    </row>
    <row r="60" spans="4:7" x14ac:dyDescent="0.35">
      <c r="D60" s="37">
        <f t="shared" ref="D60:F61" si="15">D14</f>
        <v>68870.426616112716</v>
      </c>
      <c r="E60" s="37">
        <f t="shared" si="15"/>
        <v>1452.7127519276221</v>
      </c>
      <c r="F60" s="37">
        <f t="shared" si="15"/>
        <v>10540</v>
      </c>
      <c r="G60" s="24">
        <f t="shared" si="4"/>
        <v>81100</v>
      </c>
    </row>
    <row r="61" spans="4:7" x14ac:dyDescent="0.35">
      <c r="D61" s="37">
        <f>D15</f>
        <v>0</v>
      </c>
      <c r="E61" s="37">
        <f t="shared" si="15"/>
        <v>0</v>
      </c>
      <c r="F61" s="37">
        <f t="shared" si="15"/>
        <v>0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70" zoomScaleNormal="70" workbookViewId="0">
      <selection activeCell="AD38" sqref="AD38"/>
    </sheetView>
  </sheetViews>
  <sheetFormatPr defaultRowHeight="14.5" x14ac:dyDescent="0.35"/>
  <sheetData/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pane xSplit="4" ySplit="16" topLeftCell="E17" activePane="bottomRight" state="frozen"/>
      <selection activeCell="B47" sqref="B47"/>
      <selection pane="topRight" activeCell="B47" sqref="B47"/>
      <selection pane="bottomLeft" activeCell="B47" sqref="B47"/>
      <selection pane="bottomRight" activeCell="H10" sqref="H10"/>
    </sheetView>
  </sheetViews>
  <sheetFormatPr defaultRowHeight="14.5" x14ac:dyDescent="0.35"/>
  <cols>
    <col min="1" max="1" width="29.26953125" customWidth="1"/>
    <col min="2" max="2" width="38" customWidth="1"/>
    <col min="3" max="3" width="21.26953125" customWidth="1"/>
    <col min="4" max="4" width="21.26953125" style="21" customWidth="1"/>
    <col min="5" max="6" width="21.26953125" style="24" customWidth="1"/>
    <col min="7" max="7" width="22.54296875" customWidth="1"/>
    <col min="8" max="8" width="30.1796875" customWidth="1"/>
    <col min="9" max="9" width="23.54296875" customWidth="1"/>
    <col min="10" max="10" width="20.453125" customWidth="1"/>
  </cols>
  <sheetData>
    <row r="1" spans="1:11" x14ac:dyDescent="0.35">
      <c r="A1" s="7" t="s">
        <v>18</v>
      </c>
      <c r="B1" s="7" t="s">
        <v>19</v>
      </c>
      <c r="C1" s="7" t="s">
        <v>20</v>
      </c>
      <c r="D1" s="7" t="s">
        <v>80</v>
      </c>
      <c r="E1" s="7" t="s">
        <v>106</v>
      </c>
      <c r="F1" s="7" t="s">
        <v>118</v>
      </c>
      <c r="G1" s="7" t="s">
        <v>21</v>
      </c>
      <c r="H1" s="7" t="s">
        <v>79</v>
      </c>
      <c r="I1" s="7" t="s">
        <v>81</v>
      </c>
      <c r="J1" s="7" t="s">
        <v>107</v>
      </c>
      <c r="K1" s="34" t="s">
        <v>119</v>
      </c>
    </row>
    <row r="2" spans="1:11" x14ac:dyDescent="0.35">
      <c r="A2" s="6" t="s">
        <v>27</v>
      </c>
      <c r="B2" s="6" t="s">
        <v>23</v>
      </c>
      <c r="C2" s="4">
        <v>40</v>
      </c>
      <c r="D2" s="4">
        <f>3500/50</f>
        <v>70</v>
      </c>
      <c r="E2" s="4">
        <f>57600/4/44.97</f>
        <v>320.21347565043362</v>
      </c>
      <c r="F2" s="4">
        <f>2500/50</f>
        <v>50</v>
      </c>
      <c r="G2" s="4">
        <v>40</v>
      </c>
      <c r="H2" s="4">
        <f>Table2[[#This Row],[Cost per Unit (OASE)]]*Table2[[#This Row],[Quantity]]</f>
        <v>1600</v>
      </c>
      <c r="I2" s="4">
        <f>Table2[[#This Row],[Cost per Unit (Rokkas)]]*Table2[[#This Row],[Quantity]]</f>
        <v>2800</v>
      </c>
      <c r="J2" s="30">
        <f>Table2[[#This Row],[Cost per Unit (BSG)]]*Table2[[#This Row],[Quantity]]</f>
        <v>12808.539026017344</v>
      </c>
      <c r="K2" s="33">
        <f>Table2[[#This Row],[Cost per Unit(Philipson)]]*Table2[[#This Row],[Quantity]]</f>
        <v>2000</v>
      </c>
    </row>
    <row r="3" spans="1:11" x14ac:dyDescent="0.35">
      <c r="A3" s="6" t="s">
        <v>27</v>
      </c>
      <c r="B3" s="6" t="s">
        <v>24</v>
      </c>
      <c r="C3" s="4">
        <v>4</v>
      </c>
      <c r="D3" s="4">
        <f>200/50</f>
        <v>4</v>
      </c>
      <c r="E3" s="4">
        <v>0</v>
      </c>
      <c r="F3" s="4">
        <v>0</v>
      </c>
      <c r="G3" s="4">
        <f>156*2</f>
        <v>312</v>
      </c>
      <c r="H3" s="4">
        <f>Table2[[#This Row],[Cost per Unit (OASE)]]*Table2[[#This Row],[Quantity]]</f>
        <v>1248</v>
      </c>
      <c r="I3" s="4">
        <f>Table2[[#This Row],[Cost per Unit (Rokkas)]]*Table2[[#This Row],[Quantity]]</f>
        <v>1248</v>
      </c>
      <c r="J3" s="30">
        <f>Table2[[#This Row],[Cost per Unit (BSG)]]*Table2[[#This Row],[Quantity]]</f>
        <v>0</v>
      </c>
      <c r="K3" s="33">
        <f>Table2[[#This Row],[Cost per Unit(Philipson)]]*Table2[[#This Row],[Quantity]]</f>
        <v>0</v>
      </c>
    </row>
    <row r="4" spans="1:11" x14ac:dyDescent="0.35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800</v>
      </c>
      <c r="H4" s="4">
        <f>Table2[[#This Row],[Cost per Unit (OASE)]]*Table2[[#This Row],[Quantity]]</f>
        <v>8.8888888888888893</v>
      </c>
      <c r="I4" s="4">
        <f>Table2[[#This Row],[Cost per Unit (Rokkas)]]*Table2[[#This Row],[Quantity]]</f>
        <v>0</v>
      </c>
      <c r="J4" s="30">
        <f>Table2[[#This Row],[Cost per Unit (BSG)]]*Table2[[#This Row],[Quantity]]</f>
        <v>0</v>
      </c>
      <c r="K4" s="33">
        <f>Table2[[#This Row],[Cost per Unit(Philipson)]]*Table2[[#This Row],[Quantity]]</f>
        <v>0</v>
      </c>
    </row>
    <row r="5" spans="1:11" x14ac:dyDescent="0.35">
      <c r="A5" s="6" t="s">
        <v>27</v>
      </c>
      <c r="B5" s="6" t="s">
        <v>26</v>
      </c>
      <c r="C5" s="4">
        <v>200</v>
      </c>
      <c r="D5" s="4">
        <f>150000/50</f>
        <v>3000</v>
      </c>
      <c r="E5" s="4">
        <f>5000/44.97</f>
        <v>111.18523460084501</v>
      </c>
      <c r="F5" s="4">
        <v>0</v>
      </c>
      <c r="G5" s="4">
        <v>1</v>
      </c>
      <c r="H5" s="4">
        <f>Table2[[#This Row],[Cost per Unit (OASE)]]*Table2[[#This Row],[Quantity]]</f>
        <v>200</v>
      </c>
      <c r="I5" s="4">
        <f>Table2[[#This Row],[Cost per Unit (Rokkas)]]*Table2[[#This Row],[Quantity]]</f>
        <v>3000</v>
      </c>
      <c r="J5" s="30">
        <f>Table2[[#This Row],[Cost per Unit (BSG)]]*Table2[[#This Row],[Quantity]]</f>
        <v>111.18523460084501</v>
      </c>
      <c r="K5" s="33">
        <f>Table2[[#This Row],[Cost per Unit(Philipson)]]*Table2[[#This Row],[Quantity]]</f>
        <v>0</v>
      </c>
    </row>
    <row r="6" spans="1:11" x14ac:dyDescent="0.35">
      <c r="A6" s="6" t="s">
        <v>28</v>
      </c>
      <c r="B6" s="6" t="s">
        <v>29</v>
      </c>
      <c r="C6" s="4">
        <v>1.8</v>
      </c>
      <c r="D6" s="4">
        <f>500/50</f>
        <v>10</v>
      </c>
      <c r="E6" s="4">
        <f>70/44.97</f>
        <v>1.5565932844118302</v>
      </c>
      <c r="F6" s="4">
        <f>250/50</f>
        <v>5</v>
      </c>
      <c r="G6" s="4">
        <f>156*2</f>
        <v>312</v>
      </c>
      <c r="H6" s="4">
        <f>Table2[[#This Row],[Cost per Unit (OASE)]]*Table2[[#This Row],[Quantity]]</f>
        <v>561.6</v>
      </c>
      <c r="I6" s="4">
        <f>Table2[[#This Row],[Cost per Unit (Rokkas)]]*Table2[[#This Row],[Quantity]]</f>
        <v>3120</v>
      </c>
      <c r="J6" s="30">
        <f>Table2[[#This Row],[Cost per Unit (BSG)]]*Table2[[#This Row],[Quantity]]</f>
        <v>485.65710473649102</v>
      </c>
      <c r="K6" s="33">
        <f>Table2[[#This Row],[Cost per Unit(Philipson)]]*Table2[[#This Row],[Quantity]]</f>
        <v>1560</v>
      </c>
    </row>
    <row r="7" spans="1:11" x14ac:dyDescent="0.35">
      <c r="A7" s="6" t="s">
        <v>28</v>
      </c>
      <c r="B7" s="6" t="s">
        <v>24</v>
      </c>
      <c r="C7" s="4">
        <v>4</v>
      </c>
      <c r="D7" s="4">
        <f>200/50</f>
        <v>4</v>
      </c>
      <c r="E7" s="4">
        <v>0</v>
      </c>
      <c r="F7" s="4">
        <v>0</v>
      </c>
      <c r="G7" s="4">
        <f>156*2</f>
        <v>312</v>
      </c>
      <c r="H7" s="4">
        <f>Table2[[#This Row],[Cost per Unit (OASE)]]*Table2[[#This Row],[Quantity]]</f>
        <v>1248</v>
      </c>
      <c r="I7" s="4">
        <f>Table2[[#This Row],[Cost per Unit (Rokkas)]]*Table2[[#This Row],[Quantity]]</f>
        <v>1248</v>
      </c>
      <c r="J7" s="30">
        <f>Table2[[#This Row],[Cost per Unit (BSG)]]*Table2[[#This Row],[Quantity]]</f>
        <v>0</v>
      </c>
      <c r="K7" s="33">
        <f>Table2[[#This Row],[Cost per Unit(Philipson)]]*Table2[[#This Row],[Quantity]]</f>
        <v>0</v>
      </c>
    </row>
    <row r="8" spans="1:11" x14ac:dyDescent="0.35">
      <c r="A8" s="6" t="s">
        <v>30</v>
      </c>
      <c r="B8" s="6" t="s">
        <v>31</v>
      </c>
      <c r="C8" s="4">
        <v>1</v>
      </c>
      <c r="D8" s="4">
        <f>100/50</f>
        <v>2</v>
      </c>
      <c r="E8" s="4">
        <f>80/44.97</f>
        <v>1.7789637536135201</v>
      </c>
      <c r="F8" s="4">
        <f>250/50</f>
        <v>5</v>
      </c>
      <c r="G8" s="4">
        <f>1244*2</f>
        <v>2488</v>
      </c>
      <c r="H8" s="4">
        <f>Table2[[#This Row],[Cost per Unit (OASE)]]*Table2[[#This Row],[Quantity]]</f>
        <v>2488</v>
      </c>
      <c r="I8" s="4">
        <f>Table2[[#This Row],[Cost per Unit (Rokkas)]]*Table2[[#This Row],[Quantity]]</f>
        <v>4976</v>
      </c>
      <c r="J8" s="30">
        <f>Table2[[#This Row],[Cost per Unit (BSG)]]*Table2[[#This Row],[Quantity]]</f>
        <v>4426.061818990438</v>
      </c>
      <c r="K8" s="33">
        <f>Table2[[#This Row],[Cost per Unit(Philipson)]]*Table2[[#This Row],[Quantity]]</f>
        <v>12440</v>
      </c>
    </row>
    <row r="9" spans="1:11" x14ac:dyDescent="0.35">
      <c r="A9" s="6" t="s">
        <v>30</v>
      </c>
      <c r="B9" s="6" t="s">
        <v>124</v>
      </c>
      <c r="C9" s="4">
        <f>24+100</f>
        <v>124</v>
      </c>
      <c r="D9" s="4">
        <f>(15000)/50</f>
        <v>300</v>
      </c>
      <c r="E9" s="4">
        <f>(1200+13500)/44.97</f>
        <v>326.88458972648431</v>
      </c>
      <c r="F9" s="4">
        <f>11000/50</f>
        <v>220</v>
      </c>
      <c r="G9" s="4">
        <v>1244</v>
      </c>
      <c r="H9" s="4">
        <f>Table2[[#This Row],[Cost per Unit (OASE)]]*Table2[[#This Row],[Quantity]]</f>
        <v>154256</v>
      </c>
      <c r="I9" s="4">
        <f>Table2[[#This Row],[Cost per Unit (Rokkas)]]*Table2[[#This Row],[Quantity]]+279*100</f>
        <v>401100</v>
      </c>
      <c r="J9" s="30">
        <f>Table2[[#This Row],[Cost per Unit (BSG)]]*Table2[[#This Row],[Quantity]]+279*100</f>
        <v>434544.42961974646</v>
      </c>
      <c r="K9" s="33">
        <f>Table2[[#This Row],[Cost per Unit(Philipson)]]*Table2[[#This Row],[Quantity]]+279*100</f>
        <v>301580</v>
      </c>
    </row>
    <row r="10" spans="1:11" x14ac:dyDescent="0.35">
      <c r="A10" s="6" t="s">
        <v>32</v>
      </c>
      <c r="B10" s="6" t="s">
        <v>11</v>
      </c>
      <c r="C10" s="4">
        <v>0</v>
      </c>
      <c r="D10" s="4">
        <v>0</v>
      </c>
      <c r="E10" s="4">
        <v>0</v>
      </c>
      <c r="F10" s="4">
        <v>0</v>
      </c>
      <c r="G10" s="4">
        <v>4877</v>
      </c>
      <c r="H10" s="4">
        <f>Table2[[#This Row],[Cost per Unit (OASE)]]*Table2[[#This Row],[Quantity]]</f>
        <v>0</v>
      </c>
      <c r="I10" s="4">
        <f>Table2[[#This Row],[Cost per Unit (Rokkas)]]*Table2[[#This Row],[Quantity]]</f>
        <v>0</v>
      </c>
      <c r="J10" s="30">
        <f>Table2[[#This Row],[Cost per Unit (BSG)]]*Table2[[#This Row],[Quantity]]</f>
        <v>0</v>
      </c>
      <c r="K10" s="33">
        <f>Table2[[#This Row],[Cost per Unit(Philipson)]]*Table2[[#This Row],[Quantity]]</f>
        <v>0</v>
      </c>
    </row>
    <row r="11" spans="1:11" x14ac:dyDescent="0.35">
      <c r="A11" s="6"/>
      <c r="B11" s="6"/>
      <c r="C11" s="4"/>
      <c r="D11" s="4"/>
      <c r="E11" s="4"/>
      <c r="F11" s="4"/>
      <c r="G11" s="4"/>
      <c r="H11" s="11"/>
    </row>
    <row r="17" spans="1:10" x14ac:dyDescent="0.35">
      <c r="A17" t="s">
        <v>82</v>
      </c>
      <c r="B17" t="s">
        <v>35</v>
      </c>
      <c r="C17" t="s">
        <v>36</v>
      </c>
      <c r="D17" t="s">
        <v>37</v>
      </c>
      <c r="E17" t="s">
        <v>34</v>
      </c>
    </row>
    <row r="18" spans="1:10" ht="15" thickBot="1" x14ac:dyDescent="0.4">
      <c r="A18" t="s">
        <v>83</v>
      </c>
      <c r="B18" s="9">
        <f>SUM(H2:H5)</f>
        <v>3056.8888888888887</v>
      </c>
      <c r="C18" s="9">
        <f>SUM(H6:H9)</f>
        <v>158553.60000000001</v>
      </c>
      <c r="D18" s="10">
        <f>SUM(H10:H11)</f>
        <v>0</v>
      </c>
      <c r="E18" s="5">
        <f>SUM(B18:D18)</f>
        <v>161610.48888888888</v>
      </c>
      <c r="F18" s="10"/>
    </row>
    <row r="19" spans="1:10" ht="15.5" thickTop="1" thickBot="1" x14ac:dyDescent="0.4">
      <c r="A19" t="s">
        <v>84</v>
      </c>
      <c r="B19">
        <f>SUM(I2:I5)</f>
        <v>7048</v>
      </c>
      <c r="C19">
        <f>SUM(I6:I9)</f>
        <v>410444</v>
      </c>
      <c r="D19" s="21">
        <f>SUM(I10)</f>
        <v>0</v>
      </c>
      <c r="E19" s="5">
        <f>SUM(B19:D19)</f>
        <v>417492</v>
      </c>
    </row>
    <row r="20" spans="1:10" ht="15.5" thickTop="1" thickBot="1" x14ac:dyDescent="0.4">
      <c r="A20" t="s">
        <v>108</v>
      </c>
      <c r="B20">
        <f>SUM(J$2:J$5)</f>
        <v>12919.72426061819</v>
      </c>
      <c r="C20">
        <f>SUM(J6:J9)</f>
        <v>439456.14854347339</v>
      </c>
      <c r="D20" s="21">
        <f>SUM(J10)</f>
        <v>0</v>
      </c>
      <c r="E20" s="5">
        <f>SUM(B20:D20)</f>
        <v>452375.8728040916</v>
      </c>
    </row>
    <row r="21" spans="1:10" ht="15.5" thickTop="1" thickBot="1" x14ac:dyDescent="0.4">
      <c r="A21" t="s">
        <v>6</v>
      </c>
      <c r="B21">
        <f>SUM(K2:K5)</f>
        <v>2000</v>
      </c>
      <c r="C21">
        <f>SUM(K6:K9)</f>
        <v>315580</v>
      </c>
      <c r="D21" s="21">
        <f>SUM(K10)</f>
        <v>0</v>
      </c>
      <c r="E21" s="5">
        <f>SUM(B21:D21)</f>
        <v>317580</v>
      </c>
    </row>
    <row r="22" spans="1:10" ht="15" thickTop="1" x14ac:dyDescent="0.35"/>
    <row r="32" spans="1:10" x14ac:dyDescent="0.35">
      <c r="H32">
        <v>112</v>
      </c>
      <c r="I32">
        <v>900</v>
      </c>
      <c r="J32">
        <v>294</v>
      </c>
    </row>
  </sheetData>
  <pageMargins left="0.7" right="0.7" top="0.75" bottom="0.75" header="0.3" footer="0.3"/>
  <pageSetup paperSize="9" orientation="portrait" r:id="rId1"/>
  <headerFooter>
    <oddFooter>&amp;LUnrestricted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1"/>
  <sheetViews>
    <sheetView workbookViewId="0">
      <selection activeCell="C2" sqref="C2:C10"/>
    </sheetView>
  </sheetViews>
  <sheetFormatPr defaultRowHeight="14.5" x14ac:dyDescent="0.35"/>
  <cols>
    <col min="1" max="1" width="29.26953125" customWidth="1"/>
    <col min="2" max="2" width="38" customWidth="1"/>
    <col min="3" max="3" width="21.26953125" customWidth="1"/>
    <col min="4" max="4" width="21.26953125" style="21" customWidth="1"/>
    <col min="5" max="6" width="21.26953125" style="24" customWidth="1"/>
    <col min="7" max="7" width="18" customWidth="1"/>
    <col min="8" max="8" width="17.81640625" customWidth="1"/>
    <col min="9" max="9" width="15.1796875" customWidth="1"/>
    <col min="10" max="10" width="15.7265625" customWidth="1"/>
  </cols>
  <sheetData>
    <row r="1" spans="1:11" x14ac:dyDescent="0.35">
      <c r="A1" s="7" t="s">
        <v>18</v>
      </c>
      <c r="B1" s="7" t="s">
        <v>19</v>
      </c>
      <c r="C1" s="7" t="s">
        <v>20</v>
      </c>
      <c r="D1" s="7" t="s">
        <v>80</v>
      </c>
      <c r="E1" s="7" t="s">
        <v>109</v>
      </c>
      <c r="F1" s="7" t="s">
        <v>120</v>
      </c>
      <c r="G1" s="7" t="s">
        <v>21</v>
      </c>
      <c r="H1" s="7" t="s">
        <v>22</v>
      </c>
      <c r="I1" s="7" t="s">
        <v>81</v>
      </c>
      <c r="J1" s="7" t="s">
        <v>107</v>
      </c>
      <c r="K1" s="34" t="s">
        <v>119</v>
      </c>
    </row>
    <row r="2" spans="1:11" x14ac:dyDescent="0.35">
      <c r="A2" s="6" t="s">
        <v>27</v>
      </c>
      <c r="B2" s="6" t="s">
        <v>38</v>
      </c>
      <c r="C2" s="4">
        <v>80</v>
      </c>
      <c r="D2" s="4">
        <f>7000/50</f>
        <v>140</v>
      </c>
      <c r="E2" s="4">
        <f>60000/4/50</f>
        <v>300</v>
      </c>
      <c r="F2" s="4">
        <v>55</v>
      </c>
      <c r="G2" s="4">
        <v>60</v>
      </c>
      <c r="H2" s="4">
        <f>Table24[[#This Row],[Cost per Unit (OASE)]]*Table24[[#This Row],[Quantity]]</f>
        <v>4800</v>
      </c>
      <c r="I2" s="12">
        <f>Table24[[#This Row],[Cost per Unit (Rokkas)]]*Table24[[#This Row],[Quantity]]</f>
        <v>8400</v>
      </c>
      <c r="J2" s="12">
        <f>Table24[[#This Row],[Cost per Unit(BSG)]]*Table24[[#This Row],[Quantity]]</f>
        <v>18000</v>
      </c>
      <c r="K2" s="35">
        <f>Table24[[#This Row],[Cost per Unit(Phillipson)]]*Table24[[#This Row],[Quantity]]</f>
        <v>3300</v>
      </c>
    </row>
    <row r="3" spans="1:11" x14ac:dyDescent="0.35">
      <c r="A3" s="6" t="s">
        <v>27</v>
      </c>
      <c r="B3" s="6" t="s">
        <v>39</v>
      </c>
      <c r="C3" s="4">
        <v>4</v>
      </c>
      <c r="D3" s="4">
        <v>4</v>
      </c>
      <c r="E3" s="4">
        <v>0</v>
      </c>
      <c r="F3" s="4">
        <v>0</v>
      </c>
      <c r="G3" s="4">
        <f>156*2</f>
        <v>312</v>
      </c>
      <c r="H3" s="4">
        <f>Table24[[#This Row],[Cost per Unit (OASE)]]*Table24[[#This Row],[Quantity]]</f>
        <v>1248</v>
      </c>
      <c r="I3" s="12">
        <f>Table24[[#This Row],[Cost per Unit (Rokkas)]]*Table24[[#This Row],[Quantity]]</f>
        <v>1248</v>
      </c>
      <c r="J3" s="12">
        <f>Table24[[#This Row],[Cost per Unit(BSG)]]*Table24[[#This Row],[Quantity]]</f>
        <v>0</v>
      </c>
      <c r="K3" s="35">
        <f>Table24[[#This Row],[Cost per Unit(Phillipson)]]*Table24[[#This Row],[Quantity]]</f>
        <v>0</v>
      </c>
    </row>
    <row r="4" spans="1:11" x14ac:dyDescent="0.35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1200</v>
      </c>
      <c r="H4" s="4">
        <f>Table24[[#This Row],[Cost per Unit (OASE)]]*Table24[[#This Row],[Quantity]]</f>
        <v>13.333333333333334</v>
      </c>
      <c r="I4" s="12">
        <f>Table24[[#This Row],[Cost per Unit (Rokkas)]]*Table24[[#This Row],[Quantity]]</f>
        <v>0</v>
      </c>
      <c r="J4" s="12">
        <f>Table24[[#This Row],[Cost per Unit(BSG)]]*Table24[[#This Row],[Quantity]]</f>
        <v>0</v>
      </c>
      <c r="K4" s="35">
        <f>Table24[[#This Row],[Cost per Unit(Phillipson)]]*Table24[[#This Row],[Quantity]]</f>
        <v>0</v>
      </c>
    </row>
    <row r="5" spans="1:11" x14ac:dyDescent="0.35">
      <c r="A5" s="6" t="s">
        <v>27</v>
      </c>
      <c r="B5" s="6" t="s">
        <v>26</v>
      </c>
      <c r="C5" s="4">
        <v>200</v>
      </c>
      <c r="D5" s="4">
        <v>3000</v>
      </c>
      <c r="E5" s="4">
        <v>100</v>
      </c>
      <c r="F5" s="4">
        <v>0</v>
      </c>
      <c r="G5" s="4">
        <v>1</v>
      </c>
      <c r="H5" s="4">
        <f>Table24[[#This Row],[Cost per Unit (OASE)]]*Table24[[#This Row],[Quantity]]</f>
        <v>200</v>
      </c>
      <c r="I5" s="12">
        <f>Table24[[#This Row],[Cost per Unit (Rokkas)]]*Table24[[#This Row],[Quantity]]</f>
        <v>3000</v>
      </c>
      <c r="J5" s="12">
        <f>Table24[[#This Row],[Cost per Unit(BSG)]]*Table24[[#This Row],[Quantity]]</f>
        <v>100</v>
      </c>
      <c r="K5" s="35">
        <f>Table24[[#This Row],[Cost per Unit(Phillipson)]]*Table24[[#This Row],[Quantity]]</f>
        <v>0</v>
      </c>
    </row>
    <row r="6" spans="1:11" x14ac:dyDescent="0.35">
      <c r="A6" s="6" t="s">
        <v>28</v>
      </c>
      <c r="B6" s="6" t="s">
        <v>29</v>
      </c>
      <c r="C6" s="4">
        <v>1.8</v>
      </c>
      <c r="D6" s="4">
        <v>10</v>
      </c>
      <c r="E6" s="4">
        <f>70/50</f>
        <v>1.4</v>
      </c>
      <c r="F6" s="4">
        <v>0</v>
      </c>
      <c r="G6" s="4">
        <f>156*2</f>
        <v>312</v>
      </c>
      <c r="H6" s="4">
        <f>Table24[[#This Row],[Cost per Unit (OASE)]]*Table24[[#This Row],[Quantity]]</f>
        <v>561.6</v>
      </c>
      <c r="I6" s="12">
        <f>Table24[[#This Row],[Cost per Unit (Rokkas)]]*Table24[[#This Row],[Quantity]]</f>
        <v>3120</v>
      </c>
      <c r="J6" s="12">
        <f>Table24[[#This Row],[Cost per Unit(BSG)]]*Table24[[#This Row],[Quantity]]</f>
        <v>436.79999999999995</v>
      </c>
      <c r="K6" s="35">
        <f>Table24[[#This Row],[Cost per Unit(Phillipson)]]*Table24[[#This Row],[Quantity]]</f>
        <v>0</v>
      </c>
    </row>
    <row r="7" spans="1:11" x14ac:dyDescent="0.35">
      <c r="A7" s="6" t="s">
        <v>28</v>
      </c>
      <c r="B7" s="6" t="s">
        <v>39</v>
      </c>
      <c r="C7" s="4">
        <v>4</v>
      </c>
      <c r="D7" s="4">
        <v>4</v>
      </c>
      <c r="E7" s="4">
        <v>0</v>
      </c>
      <c r="F7" s="4">
        <v>0</v>
      </c>
      <c r="G7" s="4">
        <f>156*2</f>
        <v>312</v>
      </c>
      <c r="H7" s="4">
        <f>Table24[[#This Row],[Cost per Unit (OASE)]]*Table24[[#This Row],[Quantity]]</f>
        <v>1248</v>
      </c>
      <c r="I7" s="12">
        <f>Table24[[#This Row],[Cost per Unit (Rokkas)]]*Table24[[#This Row],[Quantity]]</f>
        <v>1248</v>
      </c>
      <c r="J7" s="12">
        <f>Table24[[#This Row],[Cost per Unit(BSG)]]*Table24[[#This Row],[Quantity]]</f>
        <v>0</v>
      </c>
      <c r="K7" s="35">
        <f>Table24[[#This Row],[Cost per Unit(Phillipson)]]*Table24[[#This Row],[Quantity]]</f>
        <v>0</v>
      </c>
    </row>
    <row r="8" spans="1:11" x14ac:dyDescent="0.35">
      <c r="A8" s="6" t="s">
        <v>30</v>
      </c>
      <c r="B8" s="6" t="s">
        <v>29</v>
      </c>
      <c r="C8" s="4">
        <v>1.8</v>
      </c>
      <c r="D8" s="4">
        <v>10</v>
      </c>
      <c r="E8" s="4">
        <f>80/50</f>
        <v>1.6</v>
      </c>
      <c r="F8" s="4">
        <v>0</v>
      </c>
      <c r="G8" s="4">
        <f>610*2</f>
        <v>1220</v>
      </c>
      <c r="H8" s="4">
        <f>Table24[[#This Row],[Cost per Unit (OASE)]]*Table24[[#This Row],[Quantity]]</f>
        <v>2196</v>
      </c>
      <c r="I8" s="12">
        <f>Table24[[#This Row],[Cost per Unit (Rokkas)]]*Table24[[#This Row],[Quantity]]</f>
        <v>12200</v>
      </c>
      <c r="J8" s="12">
        <f>Table24[[#This Row],[Cost per Unit(BSG)]]*Table24[[#This Row],[Quantity]]</f>
        <v>1952</v>
      </c>
      <c r="K8" s="35">
        <f>Table24[[#This Row],[Cost per Unit(Phillipson)]]*Table24[[#This Row],[Quantity]]</f>
        <v>0</v>
      </c>
    </row>
    <row r="9" spans="1:11" x14ac:dyDescent="0.35">
      <c r="A9" s="6" t="s">
        <v>32</v>
      </c>
      <c r="B9" s="6" t="s">
        <v>33</v>
      </c>
      <c r="C9" s="4">
        <v>4</v>
      </c>
      <c r="D9" s="4">
        <v>10</v>
      </c>
      <c r="E9" s="4">
        <f>1200/50</f>
        <v>24</v>
      </c>
      <c r="F9" s="4">
        <v>10</v>
      </c>
      <c r="G9" s="4">
        <v>5000</v>
      </c>
      <c r="H9" s="4">
        <f>Table24[[#This Row],[Cost per Unit (OASE)]]*Table24[[#This Row],[Quantity]]</f>
        <v>20000</v>
      </c>
      <c r="I9" s="12">
        <f>Table24[[#This Row],[Cost per Unit (Rokkas)]]*Table24[[#This Row],[Quantity]]</f>
        <v>50000</v>
      </c>
      <c r="J9" s="12">
        <f>Table24[[#This Row],[Cost per Unit(BSG)]]*Table24[[#This Row],[Quantity]]</f>
        <v>120000</v>
      </c>
      <c r="K9" s="35">
        <f>Table24[[#This Row],[Cost per Unit(Phillipson)]]*Table24[[#This Row],[Quantity]]</f>
        <v>50000</v>
      </c>
    </row>
    <row r="10" spans="1:11" x14ac:dyDescent="0.35">
      <c r="A10" s="6" t="s">
        <v>32</v>
      </c>
      <c r="B10" s="6" t="s">
        <v>40</v>
      </c>
      <c r="C10" s="4">
        <v>2.1</v>
      </c>
      <c r="D10" s="4">
        <v>4</v>
      </c>
      <c r="E10" s="4">
        <f>80/50</f>
        <v>1.6</v>
      </c>
      <c r="F10" s="4">
        <v>5</v>
      </c>
      <c r="G10" s="4">
        <v>5000</v>
      </c>
      <c r="H10" s="11">
        <f>Table24[[#This Row],[Cost per Unit (OASE)]]*Table24[[#This Row],[Quantity]]</f>
        <v>10500</v>
      </c>
      <c r="I10" s="12">
        <f>Table24[[#This Row],[Cost per Unit (Rokkas)]]*Table24[[#This Row],[Quantity]]</f>
        <v>20000</v>
      </c>
      <c r="J10" s="12">
        <f>Table24[[#This Row],[Cost per Unit(BSG)]]*Table24[[#This Row],[Quantity]]</f>
        <v>8000</v>
      </c>
      <c r="K10" s="35">
        <f>Table24[[#This Row],[Cost per Unit(Phillipson)]]*Table24[[#This Row],[Quantity]]</f>
        <v>25000</v>
      </c>
    </row>
    <row r="11" spans="1:11" x14ac:dyDescent="0.35">
      <c r="A11" s="6"/>
      <c r="B11" s="6"/>
      <c r="C11" s="4"/>
      <c r="D11" s="4"/>
      <c r="E11" s="4"/>
      <c r="F11" s="4"/>
      <c r="G11" s="4"/>
      <c r="H11" s="8"/>
      <c r="I11" s="12"/>
    </row>
    <row r="16" spans="1:11" x14ac:dyDescent="0.35">
      <c r="A16" t="s">
        <v>49</v>
      </c>
      <c r="B16" t="s">
        <v>35</v>
      </c>
      <c r="C16" t="s">
        <v>36</v>
      </c>
      <c r="D16" t="s">
        <v>37</v>
      </c>
      <c r="E16" t="s">
        <v>34</v>
      </c>
      <c r="G16" s="21"/>
    </row>
    <row r="17" spans="1:7" ht="15" thickBot="1" x14ac:dyDescent="0.4">
      <c r="A17" t="s">
        <v>83</v>
      </c>
      <c r="B17" s="9">
        <f>SUM(H2:H5)</f>
        <v>6261.333333333333</v>
      </c>
      <c r="C17" s="9">
        <f>SUM(H6:H8)</f>
        <v>4005.6</v>
      </c>
      <c r="D17" s="10">
        <f>SUM(H9:H11)</f>
        <v>30500</v>
      </c>
      <c r="E17" s="5">
        <f>SUM(B17:D17)</f>
        <v>40766.933333333334</v>
      </c>
      <c r="F17" s="5"/>
      <c r="G17" s="10"/>
    </row>
    <row r="18" spans="1:7" ht="15.5" thickTop="1" thickBot="1" x14ac:dyDescent="0.4">
      <c r="A18" t="s">
        <v>84</v>
      </c>
      <c r="B18">
        <f>SUM(I2:I5)</f>
        <v>12648</v>
      </c>
      <c r="C18">
        <f>SUM(I6:I8)</f>
        <v>16568</v>
      </c>
      <c r="D18" s="21">
        <f>SUM(I9:I10)</f>
        <v>70000</v>
      </c>
      <c r="E18" s="5">
        <f>SUM(B18:D18)</f>
        <v>99216</v>
      </c>
      <c r="F18" s="5"/>
    </row>
    <row r="19" spans="1:7" ht="15.5" thickTop="1" thickBot="1" x14ac:dyDescent="0.4">
      <c r="A19" t="s">
        <v>108</v>
      </c>
      <c r="B19">
        <f>SUM(J$2:J$5)</f>
        <v>18100</v>
      </c>
      <c r="C19">
        <f>SUM(J6:J8)</f>
        <v>2388.8000000000002</v>
      </c>
      <c r="D19" s="21">
        <f>SUM(J9:J10)</f>
        <v>128000</v>
      </c>
      <c r="E19" s="5">
        <f>SUM(B19:D19)</f>
        <v>148488.79999999999</v>
      </c>
      <c r="F19" s="5"/>
    </row>
    <row r="20" spans="1:7" ht="15.5" thickTop="1" thickBot="1" x14ac:dyDescent="0.4">
      <c r="A20" t="s">
        <v>6</v>
      </c>
      <c r="B20" s="24">
        <f>SUM(K$2:K$5)</f>
        <v>3300</v>
      </c>
      <c r="C20">
        <f>SUM(K6:K8)</f>
        <v>0</v>
      </c>
      <c r="D20" s="21">
        <f>SUM(K9:K10)</f>
        <v>75000</v>
      </c>
      <c r="E20" s="5">
        <f>SUM(B20:D20)</f>
        <v>78300</v>
      </c>
    </row>
    <row r="21" spans="1:7" ht="15" thickTop="1" x14ac:dyDescent="0.35"/>
  </sheetData>
  <pageMargins left="0.7" right="0.7" top="0.75" bottom="0.75" header="0.3" footer="0.3"/>
  <pageSetup orientation="portrait" r:id="rId1"/>
  <headerFooter>
    <oddFooter>&amp;LUnrestricted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9"/>
  <sheetViews>
    <sheetView workbookViewId="0">
      <selection activeCell="G2" sqref="G2:G10"/>
    </sheetView>
  </sheetViews>
  <sheetFormatPr defaultRowHeight="14.5" x14ac:dyDescent="0.35"/>
  <cols>
    <col min="1" max="1" width="29.26953125" customWidth="1"/>
    <col min="2" max="2" width="38" customWidth="1"/>
    <col min="3" max="3" width="21.26953125" customWidth="1"/>
    <col min="4" max="4" width="21.26953125" style="21" customWidth="1"/>
    <col min="5" max="6" width="21.26953125" style="24" customWidth="1"/>
    <col min="7" max="7" width="18" customWidth="1"/>
    <col min="8" max="8" width="17.81640625" customWidth="1"/>
  </cols>
  <sheetData>
    <row r="1" spans="1:11" x14ac:dyDescent="0.35">
      <c r="A1" s="7" t="s">
        <v>18</v>
      </c>
      <c r="B1" s="7" t="s">
        <v>19</v>
      </c>
      <c r="C1" s="7" t="s">
        <v>20</v>
      </c>
      <c r="D1" s="7" t="s">
        <v>85</v>
      </c>
      <c r="E1" s="7" t="s">
        <v>109</v>
      </c>
      <c r="F1" s="7" t="s">
        <v>120</v>
      </c>
      <c r="G1" s="7" t="s">
        <v>21</v>
      </c>
      <c r="H1" s="7" t="s">
        <v>79</v>
      </c>
      <c r="I1" s="7" t="s">
        <v>81</v>
      </c>
      <c r="J1" s="7" t="s">
        <v>107</v>
      </c>
      <c r="K1" s="34" t="s">
        <v>119</v>
      </c>
    </row>
    <row r="2" spans="1:11" x14ac:dyDescent="0.35">
      <c r="A2" s="6" t="s">
        <v>27</v>
      </c>
      <c r="B2" s="6" t="s">
        <v>41</v>
      </c>
      <c r="C2" s="4">
        <v>16</v>
      </c>
      <c r="D2" s="4">
        <v>0</v>
      </c>
      <c r="E2" s="4">
        <v>0</v>
      </c>
      <c r="F2" s="4">
        <v>0</v>
      </c>
      <c r="G2" s="4">
        <v>4</v>
      </c>
      <c r="H2" s="4">
        <f>Table245[[#This Row],[Cost per Unit (OASE)]]*Table245[[#This Row],[Quantity]]</f>
        <v>64</v>
      </c>
      <c r="I2" s="12">
        <f>Table245[[#This Row],[Cost per Unit(Rokkas)]]*Table245[[#This Row],[Quantity]]</f>
        <v>0</v>
      </c>
      <c r="J2" s="12">
        <f>Table245[[#This Row],[Cost per Unit(BSG)]]*Table245[[#This Row],[Quantity]]</f>
        <v>0</v>
      </c>
      <c r="K2" s="35">
        <f>Table245[[#This Row],[Cost per Unit(Phillipson)]]*Table245[[#This Row],[Quantity]]</f>
        <v>0</v>
      </c>
    </row>
    <row r="3" spans="1:11" x14ac:dyDescent="0.35">
      <c r="A3" s="6" t="s">
        <v>27</v>
      </c>
      <c r="B3" s="6" t="s">
        <v>42</v>
      </c>
      <c r="C3" s="4">
        <v>8.8000000000000007</v>
      </c>
      <c r="D3" s="4">
        <f>10000/50</f>
        <v>200</v>
      </c>
      <c r="E3" s="4">
        <v>350</v>
      </c>
      <c r="F3" s="4">
        <v>60</v>
      </c>
      <c r="G3" s="4">
        <v>69</v>
      </c>
      <c r="H3" s="4">
        <f>Table245[[#This Row],[Cost per Unit (OASE)]]*Table245[[#This Row],[Quantity]]</f>
        <v>607.20000000000005</v>
      </c>
      <c r="I3" s="12">
        <f>Table245[[#This Row],[Cost per Unit(Rokkas)]]*Table245[[#This Row],[Quantity]]</f>
        <v>13800</v>
      </c>
      <c r="J3" s="12">
        <f>Table245[[#This Row],[Cost per Unit(BSG)]]*Table245[[#This Row],[Quantity]]</f>
        <v>24150</v>
      </c>
      <c r="K3" s="35">
        <f>Table245[[#This Row],[Cost per Unit(Phillipson)]]*Table245[[#This Row],[Quantity]]</f>
        <v>4140</v>
      </c>
    </row>
    <row r="4" spans="1:11" x14ac:dyDescent="0.35">
      <c r="A4" s="6" t="s">
        <v>27</v>
      </c>
      <c r="B4" s="6" t="s">
        <v>43</v>
      </c>
      <c r="C4" s="4">
        <v>63</v>
      </c>
      <c r="D4" s="4">
        <v>0</v>
      </c>
      <c r="E4" s="4">
        <v>0</v>
      </c>
      <c r="F4" s="4">
        <v>0</v>
      </c>
      <c r="G4" s="4">
        <v>69</v>
      </c>
      <c r="H4" s="4">
        <f>Table245[[#This Row],[Cost per Unit (OASE)]]*Table245[[#This Row],[Quantity]]</f>
        <v>4347</v>
      </c>
      <c r="I4" s="12">
        <f>Table245[[#This Row],[Cost per Unit(Rokkas)]]*Table245[[#This Row],[Quantity]]</f>
        <v>0</v>
      </c>
      <c r="J4" s="12">
        <f>Table245[[#This Row],[Cost per Unit(BSG)]]*Table245[[#This Row],[Quantity]]</f>
        <v>0</v>
      </c>
      <c r="K4" s="35">
        <f>Table245[[#This Row],[Cost per Unit(Phillipson)]]*Table245[[#This Row],[Quantity]]</f>
        <v>0</v>
      </c>
    </row>
    <row r="5" spans="1:11" x14ac:dyDescent="0.35">
      <c r="A5" s="6" t="s">
        <v>27</v>
      </c>
      <c r="B5" s="6" t="s">
        <v>44</v>
      </c>
      <c r="C5" s="4">
        <v>2.2999999999999998</v>
      </c>
      <c r="D5" s="4">
        <v>0</v>
      </c>
      <c r="E5" s="4">
        <v>0</v>
      </c>
      <c r="F5" s="4">
        <v>0</v>
      </c>
      <c r="G5" s="4">
        <v>69</v>
      </c>
      <c r="H5" s="4">
        <f>Table245[[#This Row],[Cost per Unit (OASE)]]*Table245[[#This Row],[Quantity]]</f>
        <v>158.69999999999999</v>
      </c>
      <c r="I5" s="12">
        <f>Table245[[#This Row],[Cost per Unit(Rokkas)]]*Table245[[#This Row],[Quantity]]</f>
        <v>0</v>
      </c>
      <c r="J5" s="12">
        <f>Table245[[#This Row],[Cost per Unit(BSG)]]*Table245[[#This Row],[Quantity]]</f>
        <v>0</v>
      </c>
      <c r="K5" s="35">
        <f>Table245[[#This Row],[Cost per Unit(Phillipson)]]*Table245[[#This Row],[Quantity]]</f>
        <v>0</v>
      </c>
    </row>
    <row r="6" spans="1:11" x14ac:dyDescent="0.35">
      <c r="A6" s="6" t="s">
        <v>27</v>
      </c>
      <c r="B6" s="6" t="s">
        <v>45</v>
      </c>
      <c r="C6" s="4">
        <f>0.1/4.5</f>
        <v>2.2222222222222223E-2</v>
      </c>
      <c r="D6" s="4">
        <v>0</v>
      </c>
      <c r="E6" s="4">
        <v>0</v>
      </c>
      <c r="F6" s="4">
        <v>0</v>
      </c>
      <c r="G6" s="4">
        <v>1560</v>
      </c>
      <c r="H6" s="4">
        <f>Table245[[#This Row],[Cost per Unit (OASE)]]*Table245[[#This Row],[Quantity]]</f>
        <v>34.666666666666671</v>
      </c>
      <c r="I6" s="12">
        <f>Table245[[#This Row],[Cost per Unit(Rokkas)]]*Table245[[#This Row],[Quantity]]</f>
        <v>0</v>
      </c>
      <c r="J6" s="12">
        <f>Table245[[#This Row],[Cost per Unit(BSG)]]*Table245[[#This Row],[Quantity]]</f>
        <v>0</v>
      </c>
      <c r="K6" s="35">
        <f>Table245[[#This Row],[Cost per Unit(Phillipson)]]*Table245[[#This Row],[Quantity]]</f>
        <v>0</v>
      </c>
    </row>
    <row r="7" spans="1:11" x14ac:dyDescent="0.35">
      <c r="A7" s="6" t="s">
        <v>27</v>
      </c>
      <c r="B7" s="6" t="s">
        <v>46</v>
      </c>
      <c r="C7" s="4">
        <v>400</v>
      </c>
      <c r="D7" s="4">
        <v>3000</v>
      </c>
      <c r="E7" s="4">
        <v>200</v>
      </c>
      <c r="F7" s="4">
        <v>0</v>
      </c>
      <c r="G7" s="4">
        <v>1</v>
      </c>
      <c r="H7" s="4">
        <f>Table245[[#This Row],[Cost per Unit (OASE)]]*Table245[[#This Row],[Quantity]]</f>
        <v>400</v>
      </c>
      <c r="I7" s="12">
        <f>Table245[[#This Row],[Cost per Unit(Rokkas)]]*Table245[[#This Row],[Quantity]]</f>
        <v>3000</v>
      </c>
      <c r="J7" s="12">
        <f>Table245[[#This Row],[Cost per Unit(BSG)]]*Table245[[#This Row],[Quantity]]</f>
        <v>200</v>
      </c>
      <c r="K7" s="35">
        <f>Table245[[#This Row],[Cost per Unit(Phillipson)]]*Table245[[#This Row],[Quantity]]</f>
        <v>0</v>
      </c>
    </row>
    <row r="8" spans="1:11" x14ac:dyDescent="0.35">
      <c r="A8" s="6" t="s">
        <v>28</v>
      </c>
      <c r="B8" s="6" t="s">
        <v>47</v>
      </c>
      <c r="C8" s="4">
        <f>80*0.3</f>
        <v>24</v>
      </c>
      <c r="D8" s="4">
        <f>200/50</f>
        <v>4</v>
      </c>
      <c r="E8" s="4">
        <v>2</v>
      </c>
      <c r="F8" s="4">
        <v>2</v>
      </c>
      <c r="G8" s="4">
        <v>69</v>
      </c>
      <c r="H8" s="4">
        <f>Table245[[#This Row],[Cost per Unit (OASE)]]*Table245[[#This Row],[Quantity]]</f>
        <v>1656</v>
      </c>
      <c r="I8" s="12">
        <f>Table245[[#This Row],[Cost per Unit(Rokkas)]]*Table245[[#This Row],[Quantity]]</f>
        <v>276</v>
      </c>
      <c r="J8" s="12">
        <f>Table245[[#This Row],[Cost per Unit(BSG)]]*Table245[[#This Row],[Quantity]]</f>
        <v>138</v>
      </c>
      <c r="K8" s="35">
        <f>Table245[[#This Row],[Cost per Unit(Phillipson)]]*Table245[[#This Row],[Quantity]]</f>
        <v>138</v>
      </c>
    </row>
    <row r="9" spans="1:11" x14ac:dyDescent="0.35">
      <c r="A9" s="6" t="s">
        <v>32</v>
      </c>
      <c r="B9" s="6" t="s">
        <v>33</v>
      </c>
      <c r="C9" s="4">
        <v>10</v>
      </c>
      <c r="D9" s="4">
        <v>10</v>
      </c>
      <c r="E9" s="4">
        <v>24</v>
      </c>
      <c r="F9" s="4">
        <v>10</v>
      </c>
      <c r="G9" s="4">
        <v>5000</v>
      </c>
      <c r="H9" s="4">
        <f>Table245[[#This Row],[Cost per Unit (OASE)]]*Table245[[#This Row],[Quantity]]</f>
        <v>50000</v>
      </c>
      <c r="I9" s="12">
        <f>Table245[[#This Row],[Cost per Unit(Rokkas)]]*Table245[[#This Row],[Quantity]]</f>
        <v>50000</v>
      </c>
      <c r="J9" s="12">
        <f>Table245[[#This Row],[Cost per Unit(BSG)]]*Table245[[#This Row],[Quantity]]</f>
        <v>120000</v>
      </c>
      <c r="K9" s="35">
        <f>Table245[[#This Row],[Cost per Unit(Phillipson)]]*Table245[[#This Row],[Quantity]]</f>
        <v>50000</v>
      </c>
    </row>
    <row r="10" spans="1:11" x14ac:dyDescent="0.35">
      <c r="A10" s="6" t="s">
        <v>32</v>
      </c>
      <c r="B10" s="6" t="s">
        <v>86</v>
      </c>
      <c r="C10" s="4">
        <f>2.1</f>
        <v>2.1</v>
      </c>
      <c r="D10" s="4">
        <f>250/50</f>
        <v>5</v>
      </c>
      <c r="E10" s="4">
        <f>135/50</f>
        <v>2.7</v>
      </c>
      <c r="F10" s="4">
        <v>5</v>
      </c>
      <c r="G10" s="4">
        <v>5000</v>
      </c>
      <c r="H10" s="4">
        <f>Table245[[#This Row],[Cost per Unit (OASE)]]*Table245[[#This Row],[Quantity]]</f>
        <v>10500</v>
      </c>
      <c r="I10" s="12">
        <f>Table245[[#This Row],[Cost per Unit(Rokkas)]]*Table245[[#This Row],[Quantity]]</f>
        <v>25000</v>
      </c>
      <c r="J10" s="12">
        <f>Table245[[#This Row],[Cost per Unit(BSG)]]*Table245[[#This Row],[Quantity]]</f>
        <v>13500</v>
      </c>
      <c r="K10" s="35">
        <f>Table245[[#This Row],[Cost per Unit(Phillipson)]]*Table245[[#This Row],[Quantity]]</f>
        <v>25000</v>
      </c>
    </row>
    <row r="11" spans="1:11" x14ac:dyDescent="0.35">
      <c r="A11" s="6"/>
      <c r="B11" s="6"/>
      <c r="C11" s="4"/>
      <c r="D11" s="4"/>
      <c r="E11" s="4"/>
      <c r="F11" s="4"/>
      <c r="G11" s="4"/>
      <c r="H11" s="8"/>
      <c r="I11" s="8"/>
    </row>
    <row r="14" spans="1:11" x14ac:dyDescent="0.35">
      <c r="A14" t="s">
        <v>49</v>
      </c>
      <c r="B14" t="s">
        <v>35</v>
      </c>
      <c r="C14" t="s">
        <v>36</v>
      </c>
      <c r="D14" t="s">
        <v>37</v>
      </c>
      <c r="E14" t="s">
        <v>34</v>
      </c>
      <c r="G14" s="21"/>
    </row>
    <row r="15" spans="1:11" ht="15" thickBot="1" x14ac:dyDescent="0.4">
      <c r="A15" t="s">
        <v>83</v>
      </c>
      <c r="B15" s="9">
        <f>SUM(H2:H7)</f>
        <v>5611.5666666666666</v>
      </c>
      <c r="C15" s="9">
        <f>SUM(H8:H8)</f>
        <v>1656</v>
      </c>
      <c r="D15" s="10">
        <f>SUM(H9:H11)</f>
        <v>60500</v>
      </c>
      <c r="E15" s="5">
        <f>SUM(B15:D15)</f>
        <v>67767.566666666666</v>
      </c>
      <c r="F15" s="5"/>
      <c r="G15" s="10"/>
    </row>
    <row r="16" spans="1:11" ht="15.5" thickTop="1" thickBot="1" x14ac:dyDescent="0.4">
      <c r="A16" t="s">
        <v>84</v>
      </c>
      <c r="B16">
        <f>SUM(I2:I7)</f>
        <v>16800</v>
      </c>
      <c r="C16">
        <f>SUM(I8)</f>
        <v>276</v>
      </c>
      <c r="D16" s="21">
        <f>SUM(I9:I10)</f>
        <v>75000</v>
      </c>
      <c r="E16" s="5">
        <f t="shared" ref="E16:E18" si="0">SUM(B16:D16)</f>
        <v>92076</v>
      </c>
      <c r="F16" s="5"/>
    </row>
    <row r="17" spans="1:6" ht="15.5" thickTop="1" thickBot="1" x14ac:dyDescent="0.4">
      <c r="A17" t="s">
        <v>108</v>
      </c>
      <c r="B17">
        <f>SUM(J2:J7)</f>
        <v>24350</v>
      </c>
      <c r="C17">
        <f>J8</f>
        <v>138</v>
      </c>
      <c r="D17" s="21">
        <f>SUM(J9:J10)</f>
        <v>133500</v>
      </c>
      <c r="E17" s="5">
        <f t="shared" si="0"/>
        <v>157988</v>
      </c>
      <c r="F17" s="5"/>
    </row>
    <row r="18" spans="1:6" ht="15.5" thickTop="1" thickBot="1" x14ac:dyDescent="0.4">
      <c r="A18" t="s">
        <v>6</v>
      </c>
      <c r="B18">
        <f>SUM(K2:K7)</f>
        <v>4140</v>
      </c>
      <c r="C18">
        <f>K8</f>
        <v>138</v>
      </c>
      <c r="D18" s="21">
        <f>SUM(K9:K10)</f>
        <v>75000</v>
      </c>
      <c r="E18" s="5">
        <f t="shared" si="0"/>
        <v>79278</v>
      </c>
    </row>
    <row r="19" spans="1:6" ht="15" thickTop="1" x14ac:dyDescent="0.35"/>
  </sheetData>
  <pageMargins left="0.7" right="0.7" top="0.75" bottom="0.75" header="0.3" footer="0.3"/>
  <pageSetup orientation="portrait" r:id="rId1"/>
  <headerFooter>
    <oddFooter>&amp;LUnrestricted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3"/>
  <sheetViews>
    <sheetView workbookViewId="0">
      <selection activeCell="G10" sqref="G10"/>
    </sheetView>
  </sheetViews>
  <sheetFormatPr defaultRowHeight="14.5" x14ac:dyDescent="0.35"/>
  <cols>
    <col min="1" max="1" width="25.54296875" customWidth="1"/>
    <col min="2" max="2" width="27.7265625" customWidth="1"/>
    <col min="3" max="3" width="25" customWidth="1"/>
    <col min="4" max="4" width="28.26953125" customWidth="1"/>
    <col min="5" max="5" width="28" customWidth="1"/>
    <col min="6" max="6" width="28" style="24" customWidth="1"/>
    <col min="7" max="7" width="19.453125" customWidth="1"/>
    <col min="8" max="8" width="24.81640625" customWidth="1"/>
    <col min="9" max="9" width="26.54296875" customWidth="1"/>
    <col min="10" max="10" width="29" customWidth="1"/>
  </cols>
  <sheetData>
    <row r="1" spans="1:11" x14ac:dyDescent="0.35">
      <c r="A1" s="7" t="s">
        <v>18</v>
      </c>
      <c r="B1" s="7" t="s">
        <v>19</v>
      </c>
      <c r="C1" s="7" t="s">
        <v>20</v>
      </c>
      <c r="D1" s="7" t="s">
        <v>85</v>
      </c>
      <c r="E1" s="7" t="s">
        <v>106</v>
      </c>
      <c r="F1" s="7" t="s">
        <v>120</v>
      </c>
      <c r="G1" s="7" t="s">
        <v>21</v>
      </c>
      <c r="H1" s="7" t="s">
        <v>22</v>
      </c>
      <c r="I1" s="7" t="s">
        <v>81</v>
      </c>
      <c r="J1" s="7" t="s">
        <v>107</v>
      </c>
      <c r="K1" s="34" t="s">
        <v>119</v>
      </c>
    </row>
    <row r="2" spans="1:11" x14ac:dyDescent="0.35">
      <c r="A2" s="6" t="s">
        <v>27</v>
      </c>
      <c r="B2" s="6" t="s">
        <v>41</v>
      </c>
      <c r="C2" s="4">
        <v>16</v>
      </c>
      <c r="D2" s="4">
        <v>0</v>
      </c>
      <c r="E2" s="4">
        <v>0</v>
      </c>
      <c r="F2" s="4">
        <v>0</v>
      </c>
      <c r="G2" s="4">
        <f>3*7</f>
        <v>21</v>
      </c>
      <c r="H2" s="4">
        <f>Table2456[[#This Row],[Cost per Unit (OASE)]]*Table2456[[#This Row],[Quantity]]</f>
        <v>336</v>
      </c>
      <c r="I2" s="12">
        <f>Table2456[[#This Row],[Cost per Unit(Rokkas)]]*Table2456[[#This Row],[Quantity]]</f>
        <v>0</v>
      </c>
      <c r="J2" s="12">
        <f>Table2456[[#This Row],[Cost per Unit (BSG)]]*Table2456[[#This Row],[Quantity]]</f>
        <v>0</v>
      </c>
      <c r="K2" s="35">
        <f>Table2456[[#This Row],[Cost per Unit(Phillipson)]]*Table2456[[#This Row],[Quantity]]</f>
        <v>0</v>
      </c>
    </row>
    <row r="3" spans="1:11" x14ac:dyDescent="0.35">
      <c r="A3" s="6" t="s">
        <v>27</v>
      </c>
      <c r="B3" s="6" t="s">
        <v>42</v>
      </c>
      <c r="C3" s="4">
        <v>20</v>
      </c>
      <c r="D3" s="4">
        <f>10000/50</f>
        <v>200</v>
      </c>
      <c r="E3" s="4">
        <v>350</v>
      </c>
      <c r="F3" s="4">
        <v>60</v>
      </c>
      <c r="G3" s="4">
        <f>69*7</f>
        <v>483</v>
      </c>
      <c r="H3" s="4">
        <f>Table2456[[#This Row],[Cost per Unit (OASE)]]*Table2456[[#This Row],[Quantity]]</f>
        <v>9660</v>
      </c>
      <c r="I3" s="12">
        <f>Table2456[[#This Row],[Cost per Unit(Rokkas)]]*Table2456[[#This Row],[Quantity]]</f>
        <v>96600</v>
      </c>
      <c r="J3" s="12">
        <f>Table2456[[#This Row],[Cost per Unit (BSG)]]*Table2456[[#This Row],[Quantity]]</f>
        <v>169050</v>
      </c>
      <c r="K3" s="35">
        <f>Table2456[[#This Row],[Cost per Unit(Phillipson)]]*Table2456[[#This Row],[Quantity]]</f>
        <v>28980</v>
      </c>
    </row>
    <row r="4" spans="1:11" x14ac:dyDescent="0.35">
      <c r="A4" s="6" t="s">
        <v>27</v>
      </c>
      <c r="B4" s="6" t="s">
        <v>43</v>
      </c>
      <c r="C4" s="4">
        <v>63</v>
      </c>
      <c r="D4" s="4">
        <v>0</v>
      </c>
      <c r="E4" s="4">
        <v>0</v>
      </c>
      <c r="F4" s="4">
        <v>0</v>
      </c>
      <c r="G4" s="4">
        <f>69*7</f>
        <v>483</v>
      </c>
      <c r="H4" s="4">
        <f>Table2456[[#This Row],[Cost per Unit (OASE)]]*Table2456[[#This Row],[Quantity]]</f>
        <v>30429</v>
      </c>
      <c r="I4" s="12">
        <f>Table2456[[#This Row],[Cost per Unit(Rokkas)]]*Table2456[[#This Row],[Quantity]]</f>
        <v>0</v>
      </c>
      <c r="J4" s="12">
        <f>Table2456[[#This Row],[Cost per Unit (BSG)]]*Table2456[[#This Row],[Quantity]]</f>
        <v>0</v>
      </c>
      <c r="K4" s="35">
        <f>Table2456[[#This Row],[Cost per Unit(Phillipson)]]*Table2456[[#This Row],[Quantity]]</f>
        <v>0</v>
      </c>
    </row>
    <row r="5" spans="1:11" x14ac:dyDescent="0.35">
      <c r="A5" s="6" t="s">
        <v>27</v>
      </c>
      <c r="B5" s="6" t="s">
        <v>44</v>
      </c>
      <c r="C5" s="4">
        <v>2.2999999999999998</v>
      </c>
      <c r="D5" s="4">
        <v>0</v>
      </c>
      <c r="E5" s="4">
        <v>0</v>
      </c>
      <c r="F5" s="4">
        <v>0</v>
      </c>
      <c r="G5" s="4">
        <f>69*7</f>
        <v>483</v>
      </c>
      <c r="H5" s="4">
        <f>Table2456[[#This Row],[Cost per Unit (OASE)]]*Table2456[[#This Row],[Quantity]]</f>
        <v>1110.8999999999999</v>
      </c>
      <c r="I5" s="12">
        <f>Table2456[[#This Row],[Cost per Unit(Rokkas)]]*Table2456[[#This Row],[Quantity]]</f>
        <v>0</v>
      </c>
      <c r="J5" s="12">
        <f>Table2456[[#This Row],[Cost per Unit (BSG)]]*Table2456[[#This Row],[Quantity]]</f>
        <v>0</v>
      </c>
      <c r="K5" s="35">
        <f>Table2456[[#This Row],[Cost per Unit(Phillipson)]]*Table2456[[#This Row],[Quantity]]</f>
        <v>0</v>
      </c>
    </row>
    <row r="6" spans="1:11" x14ac:dyDescent="0.35">
      <c r="A6" s="6" t="s">
        <v>27</v>
      </c>
      <c r="B6" s="6" t="s">
        <v>45</v>
      </c>
      <c r="C6" s="4">
        <f>0.1/4.5</f>
        <v>2.2222222222222223E-2</v>
      </c>
      <c r="D6" s="4">
        <v>0</v>
      </c>
      <c r="E6" s="4">
        <v>0</v>
      </c>
      <c r="F6" s="4">
        <v>0</v>
      </c>
      <c r="G6" s="4">
        <v>3120</v>
      </c>
      <c r="H6" s="4">
        <f>Table2456[[#This Row],[Cost per Unit (OASE)]]*Table2456[[#This Row],[Quantity]]</f>
        <v>69.333333333333343</v>
      </c>
      <c r="I6" s="12">
        <f>Table2456[[#This Row],[Cost per Unit(Rokkas)]]*Table2456[[#This Row],[Quantity]]</f>
        <v>0</v>
      </c>
      <c r="J6" s="12">
        <f>Table2456[[#This Row],[Cost per Unit (BSG)]]*Table2456[[#This Row],[Quantity]]</f>
        <v>0</v>
      </c>
      <c r="K6" s="35">
        <f>Table2456[[#This Row],[Cost per Unit(Phillipson)]]*Table2456[[#This Row],[Quantity]]</f>
        <v>0</v>
      </c>
    </row>
    <row r="7" spans="1:11" x14ac:dyDescent="0.35">
      <c r="A7" s="6" t="s">
        <v>27</v>
      </c>
      <c r="B7" s="6" t="s">
        <v>46</v>
      </c>
      <c r="C7" s="4">
        <f>400</f>
        <v>400</v>
      </c>
      <c r="D7" s="4">
        <v>3000</v>
      </c>
      <c r="E7" s="4">
        <v>200</v>
      </c>
      <c r="F7" s="4">
        <v>0</v>
      </c>
      <c r="G7" s="4">
        <v>7</v>
      </c>
      <c r="H7" s="4">
        <f>Table2456[[#This Row],[Cost per Unit (OASE)]]*Table2456[[#This Row],[Quantity]]</f>
        <v>2800</v>
      </c>
      <c r="I7" s="12">
        <f>Table2456[[#This Row],[Cost per Unit(Rokkas)]]*Table2456[[#This Row],[Quantity]]</f>
        <v>21000</v>
      </c>
      <c r="J7" s="12">
        <f>Table2456[[#This Row],[Cost per Unit (BSG)]]*Table2456[[#This Row],[Quantity]]</f>
        <v>1400</v>
      </c>
      <c r="K7" s="35">
        <f>Table2456[[#This Row],[Cost per Unit(Phillipson)]]*Table2456[[#This Row],[Quantity]]</f>
        <v>0</v>
      </c>
    </row>
    <row r="8" spans="1:11" x14ac:dyDescent="0.35">
      <c r="A8" s="6" t="s">
        <v>28</v>
      </c>
      <c r="B8" s="6" t="s">
        <v>47</v>
      </c>
      <c r="C8" s="4">
        <f>80*0.3</f>
        <v>24</v>
      </c>
      <c r="D8" s="4">
        <f>200/50</f>
        <v>4</v>
      </c>
      <c r="E8" s="4">
        <v>2</v>
      </c>
      <c r="F8" s="4">
        <v>2</v>
      </c>
      <c r="G8" s="4">
        <f>69*7</f>
        <v>483</v>
      </c>
      <c r="H8" s="4">
        <f>Table2456[[#This Row],[Cost per Unit (OASE)]]*Table2456[[#This Row],[Quantity]]</f>
        <v>11592</v>
      </c>
      <c r="I8" s="12">
        <f>Table2456[[#This Row],[Cost per Unit(Rokkas)]]*Table2456[[#This Row],[Quantity]]</f>
        <v>1932</v>
      </c>
      <c r="J8" s="12">
        <f>Table2456[[#This Row],[Cost per Unit (BSG)]]*Table2456[[#This Row],[Quantity]]</f>
        <v>966</v>
      </c>
      <c r="K8" s="35">
        <f>Table2456[[#This Row],[Cost per Unit(Phillipson)]]*Table2456[[#This Row],[Quantity]]</f>
        <v>966</v>
      </c>
    </row>
    <row r="9" spans="1:11" x14ac:dyDescent="0.35">
      <c r="A9" s="6" t="s">
        <v>32</v>
      </c>
      <c r="B9" s="6" t="s">
        <v>64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f>Table2456[[#This Row],[Cost per Unit (OASE)]]*Table2456[[#This Row],[Quantity]]</f>
        <v>0</v>
      </c>
      <c r="I9" s="12">
        <f>Table2456[[#This Row],[Cost per Unit(Rokkas)]]*Table2456[[#This Row],[Quantity]]</f>
        <v>0</v>
      </c>
      <c r="J9" s="12">
        <f>Table2456[[#This Row],[Cost per Unit (BSG)]]*Table2456[[#This Row],[Quantity]]</f>
        <v>0</v>
      </c>
      <c r="K9" s="35">
        <f>Table2456[[#This Row],[Cost per Unit(Phillipson)]]*Table2456[[#This Row],[Quantity]]</f>
        <v>0</v>
      </c>
    </row>
    <row r="10" spans="1:11" x14ac:dyDescent="0.35">
      <c r="A10" s="6" t="s">
        <v>32</v>
      </c>
      <c r="B10" s="6" t="s">
        <v>125</v>
      </c>
      <c r="C10" s="4">
        <f>2.3+3</f>
        <v>5.3</v>
      </c>
      <c r="D10" s="4">
        <f>2+250/50</f>
        <v>7</v>
      </c>
      <c r="E10" s="4">
        <v>7</v>
      </c>
      <c r="F10" s="4">
        <f>5+2</f>
        <v>7</v>
      </c>
      <c r="G10" s="4">
        <v>30000</v>
      </c>
      <c r="H10" s="4">
        <f>Table2456[[#This Row],[Cost per Unit (OASE)]]*Table2456[[#This Row],[Quantity]]</f>
        <v>159000</v>
      </c>
      <c r="I10" s="12">
        <f>Table2456[[#This Row],[Cost per Unit(Rokkas)]]*Table2456[[#This Row],[Quantity]]</f>
        <v>210000</v>
      </c>
      <c r="J10" s="12">
        <f>Table2456[[#This Row],[Cost per Unit (BSG)]]*Table2456[[#This Row],[Quantity]]</f>
        <v>210000</v>
      </c>
      <c r="K10" s="35">
        <f>Table2456[[#This Row],[Cost per Unit(Phillipson)]]*Table2456[[#This Row],[Quantity]]</f>
        <v>210000</v>
      </c>
    </row>
    <row r="11" spans="1:11" x14ac:dyDescent="0.35">
      <c r="A11" s="6"/>
      <c r="B11" s="6"/>
      <c r="C11" s="4"/>
      <c r="D11" s="4"/>
      <c r="E11" s="8"/>
      <c r="F11" s="36"/>
    </row>
    <row r="14" spans="1:11" x14ac:dyDescent="0.35">
      <c r="A14" t="s">
        <v>49</v>
      </c>
      <c r="B14" t="s">
        <v>35</v>
      </c>
      <c r="C14" t="s">
        <v>36</v>
      </c>
      <c r="D14" t="s">
        <v>37</v>
      </c>
      <c r="E14" t="s">
        <v>34</v>
      </c>
      <c r="J14" s="31"/>
    </row>
    <row r="15" spans="1:11" ht="15" thickBot="1" x14ac:dyDescent="0.4">
      <c r="A15" t="s">
        <v>83</v>
      </c>
      <c r="B15" s="9">
        <f>SUM(H2:H7)</f>
        <v>44405.233333333337</v>
      </c>
      <c r="C15" s="9">
        <f>SUM(H8:H8)</f>
        <v>11592</v>
      </c>
      <c r="D15" s="10">
        <f>SUM(H9:H10)</f>
        <v>159000</v>
      </c>
      <c r="E15" s="5">
        <f>SUM(B15:D15)</f>
        <v>214997.23333333334</v>
      </c>
      <c r="F15" s="5"/>
      <c r="J15" s="28"/>
    </row>
    <row r="16" spans="1:11" ht="15.5" thickTop="1" thickBot="1" x14ac:dyDescent="0.4">
      <c r="A16" t="s">
        <v>87</v>
      </c>
      <c r="B16">
        <f>SUM(I2:I7)</f>
        <v>117600</v>
      </c>
      <c r="C16">
        <f>SUM(I8)</f>
        <v>1932</v>
      </c>
      <c r="D16">
        <f>SUM(I9:I10)</f>
        <v>210000</v>
      </c>
      <c r="E16" s="5">
        <f>SUM(B16:D16)</f>
        <v>329532</v>
      </c>
      <c r="F16" s="5"/>
      <c r="J16" s="29"/>
    </row>
    <row r="17" spans="1:10" ht="15.5" thickTop="1" thickBot="1" x14ac:dyDescent="0.4">
      <c r="A17" t="s">
        <v>108</v>
      </c>
      <c r="B17">
        <f>SUM(J2:J7)</f>
        <v>170450</v>
      </c>
      <c r="C17">
        <f>SUM(J8)</f>
        <v>966</v>
      </c>
      <c r="D17">
        <f>SUM(J9:J10)</f>
        <v>210000</v>
      </c>
      <c r="E17" s="5">
        <f>SUM(B17:D17)</f>
        <v>381416</v>
      </c>
      <c r="F17" s="5"/>
      <c r="J17" s="28"/>
    </row>
    <row r="18" spans="1:10" ht="15.5" thickTop="1" thickBot="1" x14ac:dyDescent="0.4">
      <c r="A18" t="s">
        <v>6</v>
      </c>
      <c r="B18">
        <f>SUM(K2:K7)</f>
        <v>28980</v>
      </c>
      <c r="C18" s="24">
        <f>SUM(K8)</f>
        <v>966</v>
      </c>
      <c r="D18" s="24">
        <f>SUM(K10:K11)</f>
        <v>210000</v>
      </c>
      <c r="E18" s="5">
        <f>SUM(B18:D18)</f>
        <v>239946</v>
      </c>
      <c r="J18" s="29"/>
    </row>
    <row r="19" spans="1:10" ht="15" thickTop="1" x14ac:dyDescent="0.35">
      <c r="J19" s="28"/>
    </row>
    <row r="20" spans="1:10" x14ac:dyDescent="0.35">
      <c r="J20" s="29"/>
    </row>
    <row r="21" spans="1:10" x14ac:dyDescent="0.35">
      <c r="J21" s="28"/>
    </row>
    <row r="22" spans="1:10" x14ac:dyDescent="0.35">
      <c r="J22" s="29"/>
    </row>
    <row r="23" spans="1:10" x14ac:dyDescent="0.35">
      <c r="J23" s="28"/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1"/>
  <sheetViews>
    <sheetView workbookViewId="0">
      <selection activeCell="D10" sqref="D10"/>
    </sheetView>
  </sheetViews>
  <sheetFormatPr defaultRowHeight="14.5" x14ac:dyDescent="0.35"/>
  <cols>
    <col min="1" max="1" width="29.26953125" customWidth="1"/>
    <col min="2" max="2" width="38" customWidth="1"/>
    <col min="3" max="3" width="21.26953125" customWidth="1"/>
    <col min="4" max="4" width="18" customWidth="1"/>
    <col min="5" max="5" width="17.81640625" customWidth="1"/>
    <col min="6" max="6" width="30.26953125" style="24" customWidth="1"/>
    <col min="8" max="8" width="18.81640625" customWidth="1"/>
  </cols>
  <sheetData>
    <row r="1" spans="1:11" x14ac:dyDescent="0.35">
      <c r="A1" s="7" t="s">
        <v>18</v>
      </c>
      <c r="B1" s="7" t="s">
        <v>19</v>
      </c>
      <c r="C1" s="7" t="s">
        <v>20</v>
      </c>
      <c r="D1" s="7" t="s">
        <v>80</v>
      </c>
      <c r="E1" s="7" t="s">
        <v>106</v>
      </c>
      <c r="F1" s="7" t="s">
        <v>120</v>
      </c>
      <c r="G1" s="7" t="s">
        <v>21</v>
      </c>
      <c r="H1" s="7" t="s">
        <v>22</v>
      </c>
      <c r="I1" s="7" t="s">
        <v>81</v>
      </c>
      <c r="J1" s="7" t="s">
        <v>107</v>
      </c>
      <c r="K1" s="34" t="s">
        <v>119</v>
      </c>
    </row>
    <row r="2" spans="1:11" x14ac:dyDescent="0.35">
      <c r="A2" s="6" t="s">
        <v>27</v>
      </c>
      <c r="B2" s="6" t="s">
        <v>38</v>
      </c>
      <c r="C2" s="4">
        <v>80</v>
      </c>
      <c r="D2" s="4">
        <f>7000/50</f>
        <v>140</v>
      </c>
      <c r="E2" s="4">
        <v>0</v>
      </c>
      <c r="F2" s="4">
        <v>55</v>
      </c>
      <c r="G2" s="4">
        <f>54*2</f>
        <v>108</v>
      </c>
      <c r="H2" s="4">
        <f>Table247[[#This Row],[Cost per Unit (OASE)]]*Table247[[#This Row],[Quantity]]</f>
        <v>8640</v>
      </c>
      <c r="I2" s="12">
        <f>Table247[[#This Row],[Cost per Unit (Rokkas)]]*Table247[[#This Row],[Quantity]]</f>
        <v>15120</v>
      </c>
      <c r="J2" s="12">
        <f>Table247[[#This Row],[Cost per Unit (BSG)]]*Table247[[#This Row],[Quantity]]</f>
        <v>0</v>
      </c>
      <c r="K2" s="35">
        <f>Table247[[#This Row],[Cost per Unit(Phillipson)]]*Table247[[#This Row],[Quantity]]</f>
        <v>5940</v>
      </c>
    </row>
    <row r="3" spans="1:11" x14ac:dyDescent="0.35">
      <c r="A3" s="6" t="s">
        <v>27</v>
      </c>
      <c r="B3" s="6" t="s">
        <v>39</v>
      </c>
      <c r="C3" s="4">
        <v>4</v>
      </c>
      <c r="D3" s="4">
        <v>4</v>
      </c>
      <c r="E3" s="4">
        <v>300</v>
      </c>
      <c r="F3" s="4">
        <v>0</v>
      </c>
      <c r="G3" s="4">
        <f>156*2</f>
        <v>312</v>
      </c>
      <c r="H3" s="4">
        <f>Table247[[#This Row],[Cost per Unit (OASE)]]*Table247[[#This Row],[Quantity]]</f>
        <v>1248</v>
      </c>
      <c r="I3" s="12">
        <f>Table247[[#This Row],[Cost per Unit (Rokkas)]]*Table247[[#This Row],[Quantity]]</f>
        <v>1248</v>
      </c>
      <c r="J3" s="12">
        <f>Table247[[#This Row],[Cost per Unit (BSG)]]*Table247[[#This Row],[Quantity]]</f>
        <v>93600</v>
      </c>
      <c r="K3" s="35">
        <f>Table247[[#This Row],[Cost per Unit(Phillipson)]]*Table247[[#This Row],[Quantity]]</f>
        <v>0</v>
      </c>
    </row>
    <row r="4" spans="1:11" x14ac:dyDescent="0.35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3120</v>
      </c>
      <c r="H4" s="4">
        <f>Table247[[#This Row],[Cost per Unit (OASE)]]*Table247[[#This Row],[Quantity]]</f>
        <v>34.666666666666671</v>
      </c>
      <c r="I4" s="12">
        <f>Table247[[#This Row],[Cost per Unit (Rokkas)]]*Table247[[#This Row],[Quantity]]</f>
        <v>0</v>
      </c>
      <c r="J4" s="12">
        <f>Table247[[#This Row],[Cost per Unit (BSG)]]*Table247[[#This Row],[Quantity]]</f>
        <v>0</v>
      </c>
      <c r="K4" s="35">
        <f>Table247[[#This Row],[Cost per Unit(Phillipson)]]*Table247[[#This Row],[Quantity]]</f>
        <v>0</v>
      </c>
    </row>
    <row r="5" spans="1:11" x14ac:dyDescent="0.35">
      <c r="A5" s="6" t="s">
        <v>27</v>
      </c>
      <c r="B5" s="6" t="s">
        <v>26</v>
      </c>
      <c r="C5" s="4">
        <v>200</v>
      </c>
      <c r="D5" s="4">
        <v>3000</v>
      </c>
      <c r="E5" s="4">
        <v>200</v>
      </c>
      <c r="F5" s="4">
        <v>0</v>
      </c>
      <c r="G5" s="4">
        <v>1</v>
      </c>
      <c r="H5" s="4">
        <f>Table247[[#This Row],[Cost per Unit (OASE)]]*Table247[[#This Row],[Quantity]]</f>
        <v>200</v>
      </c>
      <c r="I5" s="12">
        <f>Table247[[#This Row],[Cost per Unit (Rokkas)]]*Table247[[#This Row],[Quantity]]</f>
        <v>3000</v>
      </c>
      <c r="J5" s="12">
        <f>Table247[[#This Row],[Cost per Unit (BSG)]]*Table247[[#This Row],[Quantity]]</f>
        <v>200</v>
      </c>
      <c r="K5" s="35">
        <f>Table247[[#This Row],[Cost per Unit(Phillipson)]]*Table247[[#This Row],[Quantity]]</f>
        <v>0</v>
      </c>
    </row>
    <row r="6" spans="1:11" x14ac:dyDescent="0.35">
      <c r="A6" s="6" t="s">
        <v>28</v>
      </c>
      <c r="B6" s="6" t="s">
        <v>29</v>
      </c>
      <c r="C6" s="4">
        <v>1.8</v>
      </c>
      <c r="D6" s="4">
        <v>10</v>
      </c>
      <c r="E6" s="4">
        <v>0</v>
      </c>
      <c r="F6" s="4">
        <v>0</v>
      </c>
      <c r="G6" s="4">
        <f>156*2</f>
        <v>312</v>
      </c>
      <c r="H6" s="4">
        <f>Table247[[#This Row],[Cost per Unit (OASE)]]*Table247[[#This Row],[Quantity]]</f>
        <v>561.6</v>
      </c>
      <c r="I6" s="12">
        <f>Table247[[#This Row],[Cost per Unit (Rokkas)]]*Table247[[#This Row],[Quantity]]</f>
        <v>3120</v>
      </c>
      <c r="J6" s="12">
        <f>Table247[[#This Row],[Cost per Unit (BSG)]]*Table247[[#This Row],[Quantity]]</f>
        <v>0</v>
      </c>
      <c r="K6" s="35">
        <f>Table247[[#This Row],[Cost per Unit(Phillipson)]]*Table247[[#This Row],[Quantity]]</f>
        <v>0</v>
      </c>
    </row>
    <row r="7" spans="1:11" x14ac:dyDescent="0.35">
      <c r="A7" s="6" t="s">
        <v>28</v>
      </c>
      <c r="B7" s="6" t="s">
        <v>39</v>
      </c>
      <c r="C7" s="4">
        <v>4</v>
      </c>
      <c r="D7" s="4">
        <v>4</v>
      </c>
      <c r="E7" s="4">
        <v>200</v>
      </c>
      <c r="F7" s="4">
        <v>4</v>
      </c>
      <c r="G7" s="4">
        <f>156*2</f>
        <v>312</v>
      </c>
      <c r="H7" s="4">
        <f>Table247[[#This Row],[Cost per Unit (OASE)]]*Table247[[#This Row],[Quantity]]</f>
        <v>1248</v>
      </c>
      <c r="I7" s="12">
        <f>Table247[[#This Row],[Cost per Unit (Rokkas)]]*Table247[[#This Row],[Quantity]]</f>
        <v>1248</v>
      </c>
      <c r="J7" s="12">
        <f>Table247[[#This Row],[Cost per Unit (BSG)]]*Table247[[#This Row],[Quantity]]</f>
        <v>62400</v>
      </c>
      <c r="K7" s="35">
        <f>Table247[[#This Row],[Cost per Unit(Phillipson)]]*Table247[[#This Row],[Quantity]]</f>
        <v>1248</v>
      </c>
    </row>
    <row r="8" spans="1:11" x14ac:dyDescent="0.35">
      <c r="A8" s="6" t="s">
        <v>30</v>
      </c>
      <c r="B8" s="6" t="s">
        <v>29</v>
      </c>
      <c r="C8" s="4">
        <v>1.8</v>
      </c>
      <c r="D8" s="4">
        <v>10</v>
      </c>
      <c r="E8" s="4">
        <v>2</v>
      </c>
      <c r="F8" s="4">
        <v>0</v>
      </c>
      <c r="G8" s="4">
        <f>610*2</f>
        <v>1220</v>
      </c>
      <c r="H8" s="4">
        <f>Table247[[#This Row],[Cost per Unit (OASE)]]*Table247[[#This Row],[Quantity]]</f>
        <v>2196</v>
      </c>
      <c r="I8" s="12">
        <f>Table247[[#This Row],[Cost per Unit (Rokkas)]]*Table247[[#This Row],[Quantity]]</f>
        <v>12200</v>
      </c>
      <c r="J8" s="12">
        <f>Table247[[#This Row],[Cost per Unit (BSG)]]*Table247[[#This Row],[Quantity]]</f>
        <v>2440</v>
      </c>
      <c r="K8" s="35">
        <f>Table247[[#This Row],[Cost per Unit(Phillipson)]]*Table247[[#This Row],[Quantity]]</f>
        <v>0</v>
      </c>
    </row>
    <row r="9" spans="1:11" x14ac:dyDescent="0.35">
      <c r="A9" s="6" t="s">
        <v>32</v>
      </c>
      <c r="B9" s="6" t="s">
        <v>29</v>
      </c>
      <c r="C9" s="4">
        <v>1.8</v>
      </c>
      <c r="D9" s="4">
        <v>10</v>
      </c>
      <c r="E9" s="4">
        <v>2</v>
      </c>
      <c r="F9" s="4">
        <v>0</v>
      </c>
      <c r="G9" s="4">
        <v>4877</v>
      </c>
      <c r="H9" s="4">
        <f>Table247[[#This Row],[Cost per Unit (OASE)]]*Table247[[#This Row],[Quantity]]</f>
        <v>8778.6</v>
      </c>
      <c r="I9" s="12">
        <f>Table247[[#This Row],[Cost per Unit (Rokkas)]]*Table247[[#This Row],[Quantity]]</f>
        <v>48770</v>
      </c>
      <c r="J9" s="12">
        <f>Table247[[#This Row],[Cost per Unit (BSG)]]*Table247[[#This Row],[Quantity]]</f>
        <v>9754</v>
      </c>
      <c r="K9" s="35">
        <f>Table247[[#This Row],[Cost per Unit(Phillipson)]]*Table247[[#This Row],[Quantity]]</f>
        <v>0</v>
      </c>
    </row>
    <row r="10" spans="1:11" x14ac:dyDescent="0.35">
      <c r="A10" s="6" t="s">
        <v>32</v>
      </c>
      <c r="B10" s="6" t="s">
        <v>40</v>
      </c>
      <c r="C10" s="4">
        <f>1.8+3</f>
        <v>4.8</v>
      </c>
      <c r="D10" s="4">
        <f>4+3</f>
        <v>7</v>
      </c>
      <c r="E10" s="4">
        <f>2.7+3</f>
        <v>5.7</v>
      </c>
      <c r="F10" s="4">
        <f>5+3</f>
        <v>8</v>
      </c>
      <c r="G10" s="4">
        <v>30000</v>
      </c>
      <c r="H10" s="4">
        <f>Table247[[#This Row],[Cost per Unit (OASE)]]*Table247[[#This Row],[Quantity]]</f>
        <v>144000</v>
      </c>
      <c r="I10" s="12">
        <f>Table247[[#This Row],[Cost per Unit (Rokkas)]]*Table247[[#This Row],[Quantity]]</f>
        <v>210000</v>
      </c>
      <c r="J10" s="12">
        <f>Table247[[#This Row],[Cost per Unit (BSG)]]*Table247[[#This Row],[Quantity]]</f>
        <v>171000</v>
      </c>
      <c r="K10" s="35">
        <f>Table247[[#This Row],[Cost per Unit(Phillipson)]]*Table247[[#This Row],[Quantity]]</f>
        <v>240000</v>
      </c>
    </row>
    <row r="11" spans="1:11" x14ac:dyDescent="0.35">
      <c r="A11" s="6"/>
      <c r="B11" s="6"/>
      <c r="C11" s="4"/>
      <c r="D11" s="4"/>
      <c r="E11" s="8"/>
      <c r="F11" s="36"/>
    </row>
    <row r="16" spans="1:11" x14ac:dyDescent="0.35">
      <c r="A16" t="s">
        <v>82</v>
      </c>
      <c r="B16" t="s">
        <v>35</v>
      </c>
      <c r="C16" t="s">
        <v>36</v>
      </c>
      <c r="D16" t="s">
        <v>37</v>
      </c>
      <c r="E16" t="s">
        <v>34</v>
      </c>
    </row>
    <row r="17" spans="1:6" ht="15" thickBot="1" x14ac:dyDescent="0.4">
      <c r="A17" t="s">
        <v>83</v>
      </c>
      <c r="B17" s="9">
        <f>SUM(H2:H5)</f>
        <v>10122.666666666666</v>
      </c>
      <c r="C17" s="9">
        <f>SUM(H6:H8)</f>
        <v>4005.6</v>
      </c>
      <c r="D17" s="10">
        <f>SUM(H9:H10)</f>
        <v>152778.6</v>
      </c>
      <c r="E17" s="5">
        <f>SUM(B17:D17)</f>
        <v>166906.86666666667</v>
      </c>
      <c r="F17" s="5"/>
    </row>
    <row r="18" spans="1:6" ht="15.5" thickTop="1" thickBot="1" x14ac:dyDescent="0.4">
      <c r="A18" t="s">
        <v>84</v>
      </c>
      <c r="B18">
        <f>SUM(I2:I5)</f>
        <v>19368</v>
      </c>
      <c r="C18">
        <f>SUM(I6:I8)</f>
        <v>16568</v>
      </c>
      <c r="D18">
        <f>SUM(I9:I10)</f>
        <v>258770</v>
      </c>
      <c r="E18" s="5">
        <f>SUM(B18:D18)</f>
        <v>294706</v>
      </c>
      <c r="F18" s="5"/>
    </row>
    <row r="19" spans="1:6" ht="15.5" thickTop="1" thickBot="1" x14ac:dyDescent="0.4">
      <c r="A19" t="s">
        <v>108</v>
      </c>
      <c r="B19">
        <f>SUM(J2:J5)</f>
        <v>93800</v>
      </c>
      <c r="C19">
        <f>SUM(J6:J8)</f>
        <v>64840</v>
      </c>
      <c r="D19">
        <f>SUM(J9:J10)</f>
        <v>180754</v>
      </c>
      <c r="E19" s="5">
        <f>SUM(B19:D19)</f>
        <v>339394</v>
      </c>
      <c r="F19" s="5"/>
    </row>
    <row r="20" spans="1:6" ht="15.5" thickTop="1" thickBot="1" x14ac:dyDescent="0.4">
      <c r="A20" t="s">
        <v>6</v>
      </c>
      <c r="B20" s="24">
        <f>SUM(K2:K5)</f>
        <v>5940</v>
      </c>
      <c r="C20" s="24">
        <f>SUM(K6:K8)</f>
        <v>1248</v>
      </c>
      <c r="D20" s="24">
        <f>SUM(K9:K10)</f>
        <v>240000</v>
      </c>
      <c r="E20" s="5">
        <f>SUM(B20:D20)</f>
        <v>247188</v>
      </c>
    </row>
    <row r="21" spans="1:6" ht="15" thickTop="1" x14ac:dyDescent="0.35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4"/>
  <sheetViews>
    <sheetView workbookViewId="0">
      <selection activeCell="G6" sqref="G6"/>
    </sheetView>
  </sheetViews>
  <sheetFormatPr defaultRowHeight="14.5" x14ac:dyDescent="0.35"/>
  <cols>
    <col min="1" max="1" width="38.54296875" customWidth="1"/>
    <col min="2" max="2" width="37.453125" customWidth="1"/>
    <col min="3" max="3" width="28.81640625" customWidth="1"/>
    <col min="4" max="4" width="32.453125" customWidth="1"/>
    <col min="5" max="5" width="34.26953125" customWidth="1"/>
    <col min="6" max="6" width="34.26953125" style="24" customWidth="1"/>
    <col min="7" max="7" width="16" customWidth="1"/>
    <col min="8" max="8" width="17.453125" customWidth="1"/>
  </cols>
  <sheetData>
    <row r="1" spans="1:11" x14ac:dyDescent="0.35">
      <c r="A1" s="7" t="s">
        <v>18</v>
      </c>
      <c r="B1" s="7" t="s">
        <v>19</v>
      </c>
      <c r="C1" s="7" t="s">
        <v>20</v>
      </c>
      <c r="D1" s="7" t="s">
        <v>80</v>
      </c>
      <c r="E1" s="7" t="s">
        <v>109</v>
      </c>
      <c r="F1" s="7" t="s">
        <v>121</v>
      </c>
      <c r="G1" s="7" t="s">
        <v>21</v>
      </c>
      <c r="H1" s="7" t="s">
        <v>22</v>
      </c>
      <c r="I1" s="7" t="s">
        <v>81</v>
      </c>
      <c r="J1" s="7" t="s">
        <v>107</v>
      </c>
      <c r="K1" s="34" t="s">
        <v>119</v>
      </c>
    </row>
    <row r="2" spans="1:11" x14ac:dyDescent="0.35">
      <c r="A2" s="6" t="s">
        <v>27</v>
      </c>
      <c r="B2" s="6" t="s">
        <v>62</v>
      </c>
      <c r="C2" s="4">
        <v>40</v>
      </c>
      <c r="D2" s="4">
        <f>3500/50</f>
        <v>70</v>
      </c>
      <c r="E2" s="4">
        <f>57600/4/50</f>
        <v>288</v>
      </c>
      <c r="F2" s="4">
        <v>50</v>
      </c>
      <c r="G2" s="4">
        <v>110</v>
      </c>
      <c r="H2" s="4">
        <f>Table29[[#This Row],[Cost per Unit (OASE)]]*Table29[[#This Row],[Quantity]]</f>
        <v>4400</v>
      </c>
      <c r="I2" s="12">
        <f t="shared" ref="I2:I11" si="0">D2*G2</f>
        <v>7700</v>
      </c>
      <c r="J2" s="12">
        <f>Table29[[#This Row],[Cost per Unit(BSG)]]*Table29[[#This Row],[Quantity]]</f>
        <v>31680</v>
      </c>
      <c r="K2" s="35">
        <f>Table29[[#This Row],[Cost per Unit (Phillipson)]]*Table29[[#This Row],[Quantity]]</f>
        <v>5500</v>
      </c>
    </row>
    <row r="3" spans="1:11" x14ac:dyDescent="0.35">
      <c r="A3" s="6" t="s">
        <v>27</v>
      </c>
      <c r="B3" s="6" t="s">
        <v>39</v>
      </c>
      <c r="C3" s="4">
        <v>4</v>
      </c>
      <c r="D3" s="4">
        <f>200/50</f>
        <v>4</v>
      </c>
      <c r="E3" s="4">
        <v>0</v>
      </c>
      <c r="F3" s="4">
        <v>0</v>
      </c>
      <c r="G3" s="4">
        <v>312</v>
      </c>
      <c r="H3" s="4">
        <f>Table29[[#This Row],[Cost per Unit (OASE)]]*Table29[[#This Row],[Quantity]]</f>
        <v>1248</v>
      </c>
      <c r="I3" s="12">
        <f t="shared" si="0"/>
        <v>1248</v>
      </c>
      <c r="J3" s="12">
        <f>Table29[[#This Row],[Cost per Unit(BSG)]]*Table29[[#This Row],[Quantity]]</f>
        <v>0</v>
      </c>
      <c r="K3" s="35">
        <f>Table29[[#This Row],[Cost per Unit (Phillipson)]]*Table29[[#This Row],[Quantity]]</f>
        <v>0</v>
      </c>
    </row>
    <row r="4" spans="1:11" x14ac:dyDescent="0.35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3120</v>
      </c>
      <c r="H4" s="4">
        <f>Table29[[#This Row],[Cost per Unit (OASE)]]*Table29[[#This Row],[Quantity]]</f>
        <v>34.666666666666671</v>
      </c>
      <c r="I4" s="12">
        <f t="shared" si="0"/>
        <v>0</v>
      </c>
      <c r="J4" s="12">
        <f>Table29[[#This Row],[Cost per Unit(BSG)]]*Table29[[#This Row],[Quantity]]</f>
        <v>0</v>
      </c>
      <c r="K4" s="35">
        <f>Table29[[#This Row],[Cost per Unit (Phillipson)]]*Table29[[#This Row],[Quantity]]</f>
        <v>0</v>
      </c>
    </row>
    <row r="5" spans="1:11" x14ac:dyDescent="0.35">
      <c r="A5" s="6" t="s">
        <v>27</v>
      </c>
      <c r="B5" s="6" t="s">
        <v>26</v>
      </c>
      <c r="C5" s="4">
        <v>200</v>
      </c>
      <c r="D5" s="4">
        <f>150000/50</f>
        <v>3000</v>
      </c>
      <c r="E5" s="4">
        <f>5000/50</f>
        <v>100</v>
      </c>
      <c r="F5" s="4">
        <v>0</v>
      </c>
      <c r="G5" s="4">
        <v>1</v>
      </c>
      <c r="H5" s="4">
        <f>Table29[[#This Row],[Cost per Unit (OASE)]]*Table29[[#This Row],[Quantity]]</f>
        <v>200</v>
      </c>
      <c r="I5" s="12">
        <f t="shared" si="0"/>
        <v>3000</v>
      </c>
      <c r="J5" s="12">
        <f>Table29[[#This Row],[Cost per Unit(BSG)]]*Table29[[#This Row],[Quantity]]</f>
        <v>100</v>
      </c>
      <c r="K5" s="35">
        <f>Table29[[#This Row],[Cost per Unit (Phillipson)]]*Table29[[#This Row],[Quantity]]</f>
        <v>0</v>
      </c>
    </row>
    <row r="6" spans="1:11" x14ac:dyDescent="0.35">
      <c r="A6" s="6" t="s">
        <v>28</v>
      </c>
      <c r="B6" s="6" t="s">
        <v>29</v>
      </c>
      <c r="C6" s="4">
        <v>1.8</v>
      </c>
      <c r="D6" s="4">
        <f>500/50</f>
        <v>10</v>
      </c>
      <c r="E6" s="4">
        <f>70/50</f>
        <v>1.4</v>
      </c>
      <c r="F6" s="4">
        <v>0</v>
      </c>
      <c r="G6" s="4">
        <v>624</v>
      </c>
      <c r="H6" s="4">
        <f>Table29[[#This Row],[Cost per Unit (OASE)]]*Table29[[#This Row],[Quantity]]</f>
        <v>1123.2</v>
      </c>
      <c r="I6" s="12">
        <f t="shared" si="0"/>
        <v>6240</v>
      </c>
      <c r="J6" s="12">
        <f>Table29[[#This Row],[Cost per Unit(BSG)]]*Table29[[#This Row],[Quantity]]</f>
        <v>873.59999999999991</v>
      </c>
      <c r="K6" s="35">
        <f>Table29[[#This Row],[Cost per Unit (Phillipson)]]*Table29[[#This Row],[Quantity]]</f>
        <v>0</v>
      </c>
    </row>
    <row r="7" spans="1:11" x14ac:dyDescent="0.35">
      <c r="A7" s="6" t="s">
        <v>28</v>
      </c>
      <c r="B7" s="6" t="s">
        <v>39</v>
      </c>
      <c r="C7" s="4">
        <v>4</v>
      </c>
      <c r="D7" s="4">
        <f>200/50</f>
        <v>4</v>
      </c>
      <c r="E7" s="4">
        <v>0</v>
      </c>
      <c r="F7" s="4">
        <v>0</v>
      </c>
      <c r="G7" s="4">
        <v>624</v>
      </c>
      <c r="H7" s="4">
        <f>Table29[[#This Row],[Cost per Unit (OASE)]]*Table29[[#This Row],[Quantity]]</f>
        <v>2496</v>
      </c>
      <c r="I7" s="12">
        <f t="shared" si="0"/>
        <v>2496</v>
      </c>
      <c r="J7" s="12">
        <f>Table29[[#This Row],[Cost per Unit(BSG)]]*Table29[[#This Row],[Quantity]]</f>
        <v>0</v>
      </c>
      <c r="K7" s="35">
        <f>Table29[[#This Row],[Cost per Unit (Phillipson)]]*Table29[[#This Row],[Quantity]]</f>
        <v>0</v>
      </c>
    </row>
    <row r="8" spans="1:11" x14ac:dyDescent="0.35">
      <c r="A8" s="6" t="s">
        <v>30</v>
      </c>
      <c r="B8" s="6" t="s">
        <v>31</v>
      </c>
      <c r="C8" s="4">
        <v>1</v>
      </c>
      <c r="D8" s="4">
        <f>100/50</f>
        <v>2</v>
      </c>
      <c r="E8" s="4">
        <f>80/50</f>
        <v>1.6</v>
      </c>
      <c r="F8" s="4">
        <v>5</v>
      </c>
      <c r="G8" s="4">
        <v>5000</v>
      </c>
      <c r="H8" s="4">
        <f>Table29[[#This Row],[Cost per Unit (OASE)]]*Table29[[#This Row],[Quantity]]</f>
        <v>5000</v>
      </c>
      <c r="I8" s="12">
        <f t="shared" si="0"/>
        <v>10000</v>
      </c>
      <c r="J8" s="12">
        <f>Table29[[#This Row],[Cost per Unit(BSG)]]*Table29[[#This Row],[Quantity]]</f>
        <v>8000</v>
      </c>
      <c r="K8" s="35">
        <f>Table29[[#This Row],[Cost per Unit (Phillipson)]]*Table29[[#This Row],[Quantity]]</f>
        <v>25000</v>
      </c>
    </row>
    <row r="9" spans="1:11" x14ac:dyDescent="0.35">
      <c r="A9" s="6" t="s">
        <v>30</v>
      </c>
      <c r="B9" s="6" t="s">
        <v>134</v>
      </c>
      <c r="C9" s="4">
        <f>24+100</f>
        <v>124</v>
      </c>
      <c r="D9" s="4">
        <v>10</v>
      </c>
      <c r="E9" s="4">
        <v>1.4</v>
      </c>
      <c r="F9" s="4">
        <v>200</v>
      </c>
      <c r="G9" s="4">
        <v>1250</v>
      </c>
      <c r="H9" s="4">
        <f>Table29[[#This Row],[Cost per Unit (OASE)]]*Table29[[#This Row],[Quantity]]</f>
        <v>155000</v>
      </c>
      <c r="I9" s="12">
        <f t="shared" si="0"/>
        <v>12500</v>
      </c>
      <c r="J9" s="12">
        <f>Table29[[#This Row],[Cost per Unit(BSG)]]*Table29[[#This Row],[Quantity]]</f>
        <v>1750</v>
      </c>
      <c r="K9" s="35">
        <f>Table29[[#This Row],[Cost per Unit (Phillipson)]]*Table29[[#This Row],[Quantity]]</f>
        <v>250000</v>
      </c>
    </row>
    <row r="10" spans="1:11" x14ac:dyDescent="0.35">
      <c r="A10" s="6" t="s">
        <v>30</v>
      </c>
      <c r="B10" s="6" t="s">
        <v>63</v>
      </c>
      <c r="C10" s="4">
        <v>0</v>
      </c>
      <c r="D10" s="4">
        <f>(15000/4)/50</f>
        <v>75</v>
      </c>
      <c r="E10" s="4">
        <f>(1200+(13500/4))/50</f>
        <v>91.5</v>
      </c>
      <c r="F10" s="4">
        <v>10</v>
      </c>
      <c r="G10" s="4">
        <f>1244*4</f>
        <v>4976</v>
      </c>
      <c r="H10" s="4">
        <f>Table29[[#This Row],[Cost per Unit (OASE)]]*Table29[[#This Row],[Quantity]]</f>
        <v>0</v>
      </c>
      <c r="I10" s="12">
        <f t="shared" si="0"/>
        <v>373200</v>
      </c>
      <c r="J10" s="12">
        <f>Table29[[#This Row],[Cost per Unit(BSG)]]*Table29[[#This Row],[Quantity]]</f>
        <v>455304</v>
      </c>
      <c r="K10" s="35">
        <f>Table29[[#This Row],[Cost per Unit (Phillipson)]]*Table29[[#This Row],[Quantity]]</f>
        <v>49760</v>
      </c>
    </row>
    <row r="11" spans="1:11" x14ac:dyDescent="0.35">
      <c r="A11" s="6" t="s">
        <v>32</v>
      </c>
      <c r="B11" s="6" t="s">
        <v>64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8">
        <f>Table29[[#This Row],[Cost per Unit (OASE)]]*Table29[[#This Row],[Quantity]]</f>
        <v>0</v>
      </c>
      <c r="I11" s="12">
        <f t="shared" si="0"/>
        <v>0</v>
      </c>
      <c r="J11" s="12">
        <f>Table29[[#This Row],[Cost per Unit(BSG)]]*Table29[[#This Row],[Quantity]]</f>
        <v>0</v>
      </c>
      <c r="K11" s="35">
        <f>Table29[[#This Row],[Cost per Unit (Phillipson)]]*Table29[[#This Row],[Quantity]]</f>
        <v>0</v>
      </c>
    </row>
    <row r="12" spans="1:11" x14ac:dyDescent="0.35">
      <c r="A12" s="6"/>
      <c r="B12" s="6"/>
      <c r="C12" s="4"/>
      <c r="D12" s="4"/>
      <c r="E12" s="4"/>
      <c r="F12" s="12"/>
    </row>
    <row r="13" spans="1:11" x14ac:dyDescent="0.35">
      <c r="A13" s="6"/>
      <c r="B13" s="6"/>
      <c r="C13" s="4"/>
      <c r="D13" s="4"/>
      <c r="E13" s="4"/>
      <c r="F13" s="12"/>
    </row>
    <row r="15" spans="1:11" x14ac:dyDescent="0.35">
      <c r="A15" t="s">
        <v>82</v>
      </c>
      <c r="B15" s="19" t="s">
        <v>35</v>
      </c>
      <c r="C15" s="19" t="s">
        <v>36</v>
      </c>
      <c r="D15" s="19" t="s">
        <v>37</v>
      </c>
      <c r="E15" s="19" t="s">
        <v>34</v>
      </c>
    </row>
    <row r="16" spans="1:11" ht="15" thickBot="1" x14ac:dyDescent="0.4">
      <c r="A16" t="s">
        <v>83</v>
      </c>
      <c r="B16" s="20">
        <f>SUM(H1:H5)</f>
        <v>5882.666666666667</v>
      </c>
      <c r="C16" s="20">
        <f>SUM(H5:H10)</f>
        <v>163819.20000000001</v>
      </c>
      <c r="D16" s="10">
        <f>SUM(H11)</f>
        <v>0</v>
      </c>
      <c r="E16" s="5">
        <f>SUM(B16:D16)</f>
        <v>169701.86666666667</v>
      </c>
      <c r="F16" s="5"/>
    </row>
    <row r="17" spans="1:6" ht="15.5" thickTop="1" thickBot="1" x14ac:dyDescent="0.4">
      <c r="A17" t="s">
        <v>84</v>
      </c>
      <c r="B17">
        <f>SUM(I2:I5)</f>
        <v>11948</v>
      </c>
      <c r="C17">
        <f>SUM(I6:I10)</f>
        <v>404436</v>
      </c>
      <c r="D17">
        <v>0</v>
      </c>
      <c r="E17" s="5">
        <f>SUM(B17:D17)</f>
        <v>416384</v>
      </c>
      <c r="F17" s="5"/>
    </row>
    <row r="18" spans="1:6" ht="15.5" thickTop="1" thickBot="1" x14ac:dyDescent="0.4">
      <c r="A18" t="s">
        <v>108</v>
      </c>
      <c r="B18">
        <f>SUM(J2:J5)</f>
        <v>31780</v>
      </c>
      <c r="C18">
        <f>SUM(J6:J10)</f>
        <v>465927.6</v>
      </c>
      <c r="D18">
        <v>0</v>
      </c>
      <c r="E18" s="5">
        <f>SUM(B18:D18)</f>
        <v>497707.6</v>
      </c>
      <c r="F18" s="5"/>
    </row>
    <row r="19" spans="1:6" ht="15.5" thickTop="1" thickBot="1" x14ac:dyDescent="0.4">
      <c r="A19" t="s">
        <v>6</v>
      </c>
      <c r="B19" s="24">
        <f>SUM(K2:K5)</f>
        <v>5500</v>
      </c>
      <c r="C19" s="24">
        <f>SUM(K6:K10)</f>
        <v>324760</v>
      </c>
      <c r="D19" s="24">
        <v>0</v>
      </c>
      <c r="E19" s="5">
        <f>SUM(B19:D19)</f>
        <v>330260</v>
      </c>
    </row>
    <row r="20" spans="1:6" ht="15" thickTop="1" x14ac:dyDescent="0.35"/>
    <row r="26" spans="1:6" x14ac:dyDescent="0.35">
      <c r="E26" s="28">
        <v>40</v>
      </c>
      <c r="F26" s="28">
        <f>54*2</f>
        <v>108</v>
      </c>
    </row>
    <row r="27" spans="1:6" x14ac:dyDescent="0.35">
      <c r="E27" s="29">
        <f>156*2</f>
        <v>312</v>
      </c>
      <c r="F27" s="29">
        <f>156*2</f>
        <v>312</v>
      </c>
    </row>
    <row r="28" spans="1:6" x14ac:dyDescent="0.35">
      <c r="E28" s="28">
        <v>800</v>
      </c>
      <c r="F28" s="28">
        <v>3120</v>
      </c>
    </row>
    <row r="29" spans="1:6" x14ac:dyDescent="0.35">
      <c r="E29" s="29">
        <v>1</v>
      </c>
      <c r="F29" s="29">
        <v>1</v>
      </c>
    </row>
    <row r="30" spans="1:6" x14ac:dyDescent="0.35">
      <c r="E30" s="28">
        <f>156*2</f>
        <v>312</v>
      </c>
      <c r="F30" s="28">
        <f>156*4</f>
        <v>624</v>
      </c>
    </row>
    <row r="31" spans="1:6" x14ac:dyDescent="0.35">
      <c r="E31" s="29">
        <f>156*2</f>
        <v>312</v>
      </c>
      <c r="F31" s="29">
        <f>156*4</f>
        <v>624</v>
      </c>
    </row>
    <row r="32" spans="1:6" x14ac:dyDescent="0.35">
      <c r="E32" s="28">
        <f>1244*2</f>
        <v>2488</v>
      </c>
      <c r="F32" s="28">
        <f>1244*4</f>
        <v>4976</v>
      </c>
    </row>
    <row r="33" spans="5:6" x14ac:dyDescent="0.35">
      <c r="E33" s="29">
        <v>1244</v>
      </c>
      <c r="F33" s="29">
        <v>1244</v>
      </c>
    </row>
    <row r="34" spans="5:6" x14ac:dyDescent="0.35">
      <c r="E34" s="28">
        <v>4877</v>
      </c>
      <c r="F34" s="28">
        <f>1244*4</f>
        <v>4976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0"/>
  <sheetViews>
    <sheetView workbookViewId="0">
      <selection activeCell="F6" sqref="F6"/>
    </sheetView>
  </sheetViews>
  <sheetFormatPr defaultColWidth="9.1796875" defaultRowHeight="14.5" x14ac:dyDescent="0.35"/>
  <cols>
    <col min="1" max="1" width="29.26953125" style="13" customWidth="1"/>
    <col min="2" max="2" width="38" style="13" customWidth="1"/>
    <col min="3" max="3" width="21.26953125" style="13" customWidth="1"/>
    <col min="4" max="4" width="18" style="13" customWidth="1"/>
    <col min="5" max="5" width="17.81640625" style="13" customWidth="1"/>
    <col min="6" max="6" width="17.81640625" style="24" customWidth="1"/>
    <col min="7" max="7" width="24.453125" style="13" customWidth="1"/>
    <col min="8" max="8" width="25.54296875" style="13" customWidth="1"/>
    <col min="9" max="16384" width="9.1796875" style="13"/>
  </cols>
  <sheetData>
    <row r="1" spans="1:11" x14ac:dyDescent="0.35">
      <c r="A1" s="7" t="s">
        <v>18</v>
      </c>
      <c r="B1" s="7" t="s">
        <v>19</v>
      </c>
      <c r="C1" s="7" t="s">
        <v>20</v>
      </c>
      <c r="D1" s="7" t="s">
        <v>80</v>
      </c>
      <c r="E1" s="7" t="s">
        <v>109</v>
      </c>
      <c r="F1" s="7" t="s">
        <v>120</v>
      </c>
      <c r="G1" s="7" t="s">
        <v>21</v>
      </c>
      <c r="H1" s="7" t="s">
        <v>22</v>
      </c>
      <c r="I1" s="7" t="s">
        <v>81</v>
      </c>
      <c r="J1" s="7" t="s">
        <v>107</v>
      </c>
      <c r="K1" s="34" t="s">
        <v>119</v>
      </c>
    </row>
    <row r="2" spans="1:11" x14ac:dyDescent="0.35">
      <c r="A2" s="6" t="s">
        <v>27</v>
      </c>
      <c r="B2" s="6" t="s">
        <v>38</v>
      </c>
      <c r="C2" s="4">
        <v>80</v>
      </c>
      <c r="D2" s="4">
        <f>7000/50</f>
        <v>140</v>
      </c>
      <c r="E2" s="4">
        <f>60000/4/50</f>
        <v>300</v>
      </c>
      <c r="F2" s="4">
        <v>55</v>
      </c>
      <c r="G2" s="4">
        <f>54*4</f>
        <v>216</v>
      </c>
      <c r="H2" s="4">
        <f>Table2410[[#This Row],[Cost per Unit (OASE)]]*Table2410[[#This Row],[Quantity]]</f>
        <v>17280</v>
      </c>
      <c r="I2" s="12">
        <f>Table2410[[#This Row],[Cost per Unit (Rokkas)]]*Table2410[[#This Row],[Quantity]]</f>
        <v>30240</v>
      </c>
      <c r="J2" s="12">
        <f>Table2410[[#This Row],[Cost per Unit(BSG)]]*Table2410[[#This Row],[Quantity]]</f>
        <v>64800</v>
      </c>
      <c r="K2" s="35">
        <f>Table2410[[#This Row],[Cost per Unit(Phillipson)]]*Table2410[[#This Row],[Quantity]]</f>
        <v>11880</v>
      </c>
    </row>
    <row r="3" spans="1:11" x14ac:dyDescent="0.35">
      <c r="A3" s="6" t="s">
        <v>27</v>
      </c>
      <c r="B3" s="6" t="s">
        <v>39</v>
      </c>
      <c r="C3" s="4">
        <v>4</v>
      </c>
      <c r="D3" s="4">
        <v>4</v>
      </c>
      <c r="E3" s="4">
        <v>0</v>
      </c>
      <c r="F3" s="4">
        <v>20</v>
      </c>
      <c r="G3" s="4">
        <f>156*4</f>
        <v>624</v>
      </c>
      <c r="H3" s="4">
        <f>Table2410[[#This Row],[Cost per Unit (OASE)]]*Table2410[[#This Row],[Quantity]]</f>
        <v>2496</v>
      </c>
      <c r="I3" s="12">
        <f>Table2410[[#This Row],[Cost per Unit (Rokkas)]]*Table2410[[#This Row],[Quantity]]</f>
        <v>2496</v>
      </c>
      <c r="J3" s="12">
        <f>Table2410[[#This Row],[Cost per Unit(BSG)]]*Table2410[[#This Row],[Quantity]]</f>
        <v>0</v>
      </c>
      <c r="K3" s="35">
        <f>Table2410[[#This Row],[Cost per Unit(Phillipson)]]*Table2410[[#This Row],[Quantity]]</f>
        <v>12480</v>
      </c>
    </row>
    <row r="4" spans="1:11" x14ac:dyDescent="0.35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3120</v>
      </c>
      <c r="H4" s="4">
        <f>Table2410[[#This Row],[Cost per Unit (OASE)]]*Table2410[[#This Row],[Quantity]]</f>
        <v>34.666666666666671</v>
      </c>
      <c r="I4" s="12">
        <f>Table2410[[#This Row],[Cost per Unit (Rokkas)]]*Table2410[[#This Row],[Quantity]]</f>
        <v>0</v>
      </c>
      <c r="J4" s="12">
        <f>Table2410[[#This Row],[Cost per Unit(BSG)]]*Table2410[[#This Row],[Quantity]]</f>
        <v>0</v>
      </c>
      <c r="K4" s="35">
        <f>Table2410[[#This Row],[Cost per Unit(Phillipson)]]*Table2410[[#This Row],[Quantity]]</f>
        <v>0</v>
      </c>
    </row>
    <row r="5" spans="1:11" x14ac:dyDescent="0.35">
      <c r="A5" s="6" t="s">
        <v>27</v>
      </c>
      <c r="B5" s="6" t="s">
        <v>26</v>
      </c>
      <c r="C5" s="4">
        <v>200</v>
      </c>
      <c r="D5" s="4">
        <v>3000</v>
      </c>
      <c r="E5" s="4">
        <v>100</v>
      </c>
      <c r="F5" s="4">
        <v>0</v>
      </c>
      <c r="G5" s="4">
        <v>1</v>
      </c>
      <c r="H5" s="4">
        <f>Table2410[[#This Row],[Cost per Unit (OASE)]]*Table2410[[#This Row],[Quantity]]</f>
        <v>200</v>
      </c>
      <c r="I5" s="12">
        <f>Table2410[[#This Row],[Cost per Unit (Rokkas)]]*Table2410[[#This Row],[Quantity]]</f>
        <v>3000</v>
      </c>
      <c r="J5" s="12">
        <f>Table2410[[#This Row],[Cost per Unit(BSG)]]*Table2410[[#This Row],[Quantity]]</f>
        <v>100</v>
      </c>
      <c r="K5" s="35">
        <f>Table2410[[#This Row],[Cost per Unit(Phillipson)]]*Table2410[[#This Row],[Quantity]]</f>
        <v>0</v>
      </c>
    </row>
    <row r="6" spans="1:11" x14ac:dyDescent="0.35">
      <c r="A6" s="6" t="s">
        <v>28</v>
      </c>
      <c r="B6" s="6" t="s">
        <v>29</v>
      </c>
      <c r="C6" s="4">
        <v>1.8</v>
      </c>
      <c r="D6" s="4">
        <v>10</v>
      </c>
      <c r="E6" s="4">
        <f>70/50</f>
        <v>1.4</v>
      </c>
      <c r="F6" s="4">
        <v>0</v>
      </c>
      <c r="G6" s="4">
        <f>156*2</f>
        <v>312</v>
      </c>
      <c r="H6" s="4">
        <f>Table2410[[#This Row],[Cost per Unit (OASE)]]*Table2410[[#This Row],[Quantity]]</f>
        <v>561.6</v>
      </c>
      <c r="I6" s="12">
        <f>Table2410[[#This Row],[Cost per Unit (Rokkas)]]*Table2410[[#This Row],[Quantity]]</f>
        <v>3120</v>
      </c>
      <c r="J6" s="12">
        <f>Table2410[[#This Row],[Cost per Unit(BSG)]]*Table2410[[#This Row],[Quantity]]</f>
        <v>436.79999999999995</v>
      </c>
      <c r="K6" s="35">
        <f>Table2410[[#This Row],[Cost per Unit(Phillipson)]]*Table2410[[#This Row],[Quantity]]</f>
        <v>0</v>
      </c>
    </row>
    <row r="7" spans="1:11" x14ac:dyDescent="0.35">
      <c r="A7" s="6" t="s">
        <v>28</v>
      </c>
      <c r="B7" s="6" t="s">
        <v>24</v>
      </c>
      <c r="C7" s="4">
        <v>4</v>
      </c>
      <c r="D7" s="4">
        <v>4</v>
      </c>
      <c r="E7" s="4">
        <v>0</v>
      </c>
      <c r="F7" s="4">
        <v>20</v>
      </c>
      <c r="G7" s="4">
        <f>156*2</f>
        <v>312</v>
      </c>
      <c r="H7" s="4">
        <f>Table2410[[#This Row],[Cost per Unit (OASE)]]*Table2410[[#This Row],[Quantity]]</f>
        <v>1248</v>
      </c>
      <c r="I7" s="12">
        <f>Table2410[[#This Row],[Cost per Unit (Rokkas)]]*Table2410[[#This Row],[Quantity]]</f>
        <v>1248</v>
      </c>
      <c r="J7" s="12">
        <f>Table2410[[#This Row],[Cost per Unit(BSG)]]*Table2410[[#This Row],[Quantity]]</f>
        <v>0</v>
      </c>
      <c r="K7" s="35">
        <f>Table2410[[#This Row],[Cost per Unit(Phillipson)]]*Table2410[[#This Row],[Quantity]]</f>
        <v>6240</v>
      </c>
    </row>
    <row r="8" spans="1:11" x14ac:dyDescent="0.35">
      <c r="A8" s="6" t="s">
        <v>30</v>
      </c>
      <c r="B8" s="6" t="s">
        <v>29</v>
      </c>
      <c r="C8" s="4">
        <v>1.8</v>
      </c>
      <c r="D8" s="4">
        <v>10</v>
      </c>
      <c r="E8" s="4">
        <f>80/50</f>
        <v>1.6</v>
      </c>
      <c r="F8" s="4">
        <v>0</v>
      </c>
      <c r="G8" s="4">
        <f>610*2</f>
        <v>1220</v>
      </c>
      <c r="H8" s="4">
        <f>Table2410[[#This Row],[Cost per Unit (OASE)]]*Table2410[[#This Row],[Quantity]]</f>
        <v>2196</v>
      </c>
      <c r="I8" s="12">
        <f>Table2410[[#This Row],[Cost per Unit (Rokkas)]]*Table2410[[#This Row],[Quantity]]</f>
        <v>12200</v>
      </c>
      <c r="J8" s="12">
        <f>Table2410[[#This Row],[Cost per Unit(BSG)]]*Table2410[[#This Row],[Quantity]]</f>
        <v>1952</v>
      </c>
      <c r="K8" s="35">
        <f>Table2410[[#This Row],[Cost per Unit(Phillipson)]]*Table2410[[#This Row],[Quantity]]</f>
        <v>0</v>
      </c>
    </row>
    <row r="9" spans="1:11" x14ac:dyDescent="0.35">
      <c r="A9" s="6" t="s">
        <v>32</v>
      </c>
      <c r="B9" s="6" t="s">
        <v>63</v>
      </c>
      <c r="C9" s="4">
        <v>4</v>
      </c>
      <c r="D9" s="4">
        <v>10</v>
      </c>
      <c r="E9" s="4">
        <f>24</f>
        <v>24</v>
      </c>
      <c r="F9" s="4">
        <v>24</v>
      </c>
      <c r="G9" s="4">
        <v>4877</v>
      </c>
      <c r="H9" s="4">
        <f>Table2410[[#This Row],[Cost per Unit (OASE)]]*Table2410[[#This Row],[Quantity]]</f>
        <v>19508</v>
      </c>
      <c r="I9" s="12">
        <f>Table2410[[#This Row],[Cost per Unit (Rokkas)]]*Table2410[[#This Row],[Quantity]]</f>
        <v>48770</v>
      </c>
      <c r="J9" s="12">
        <f>Table2410[[#This Row],[Cost per Unit(BSG)]]*Table2410[[#This Row],[Quantity]]</f>
        <v>117048</v>
      </c>
      <c r="K9" s="35">
        <f>Table2410[[#This Row],[Cost per Unit(Phillipson)]]*Table2410[[#This Row],[Quantity]]</f>
        <v>117048</v>
      </c>
    </row>
    <row r="10" spans="1:11" x14ac:dyDescent="0.35">
      <c r="A10" s="6" t="s">
        <v>32</v>
      </c>
      <c r="B10" s="6" t="s">
        <v>40</v>
      </c>
      <c r="C10" s="4">
        <v>2.1</v>
      </c>
      <c r="D10" s="4">
        <v>4</v>
      </c>
      <c r="E10" s="4">
        <f>80/50</f>
        <v>1.6</v>
      </c>
      <c r="F10" s="4">
        <v>5</v>
      </c>
      <c r="G10" s="4">
        <v>4877</v>
      </c>
      <c r="H10" s="11">
        <f>Table2410[[#This Row],[Cost per Unit (OASE)]]*Table2410[[#This Row],[Quantity]]</f>
        <v>10241.700000000001</v>
      </c>
      <c r="I10" s="12">
        <f>Table2410[[#This Row],[Cost per Unit (Rokkas)]]*Table2410[[#This Row],[Quantity]]</f>
        <v>19508</v>
      </c>
      <c r="J10" s="12">
        <f>Table2410[[#This Row],[Cost per Unit(BSG)]]*Table2410[[#This Row],[Quantity]]</f>
        <v>7803.2000000000007</v>
      </c>
      <c r="K10" s="35">
        <f>Table2410[[#This Row],[Cost per Unit(Phillipson)]]*Table2410[[#This Row],[Quantity]]</f>
        <v>24385</v>
      </c>
    </row>
    <row r="15" spans="1:11" x14ac:dyDescent="0.35">
      <c r="A15" s="13" t="s">
        <v>82</v>
      </c>
      <c r="B15" s="13" t="s">
        <v>35</v>
      </c>
      <c r="C15" s="13" t="s">
        <v>36</v>
      </c>
      <c r="D15" s="13" t="s">
        <v>37</v>
      </c>
      <c r="E15" s="13" t="s">
        <v>34</v>
      </c>
    </row>
    <row r="16" spans="1:11" ht="15" thickBot="1" x14ac:dyDescent="0.4">
      <c r="A16" s="13" t="s">
        <v>83</v>
      </c>
      <c r="B16" s="14">
        <f>SUM(H2:H5)</f>
        <v>20010.666666666668</v>
      </c>
      <c r="C16" s="14">
        <f>SUM(H6:H8)</f>
        <v>4005.6</v>
      </c>
      <c r="D16" s="10">
        <f>SUM(H9:H10)</f>
        <v>29749.7</v>
      </c>
      <c r="E16" s="5">
        <f>SUM(B16:D16)</f>
        <v>53765.966666666667</v>
      </c>
      <c r="F16" s="5"/>
    </row>
    <row r="17" spans="1:6" ht="15.5" thickTop="1" thickBot="1" x14ac:dyDescent="0.4">
      <c r="A17" s="13" t="s">
        <v>84</v>
      </c>
      <c r="B17" s="13">
        <f>SUM(I2:I5)</f>
        <v>35736</v>
      </c>
      <c r="C17" s="13">
        <f>SUM(I6:I8)</f>
        <v>16568</v>
      </c>
      <c r="D17" s="13">
        <f>SUM(I9:I10)</f>
        <v>68278</v>
      </c>
      <c r="E17" s="5">
        <f>SUM(B17:D17)</f>
        <v>120582</v>
      </c>
      <c r="F17" s="5"/>
    </row>
    <row r="18" spans="1:6" ht="15.5" thickTop="1" thickBot="1" x14ac:dyDescent="0.4">
      <c r="A18" s="13" t="s">
        <v>108</v>
      </c>
      <c r="B18" s="13">
        <f>SUM(J2:J5)</f>
        <v>64900</v>
      </c>
      <c r="C18" s="13">
        <f>SUM(J6:J8)</f>
        <v>2388.8000000000002</v>
      </c>
      <c r="D18" s="13">
        <f>SUM(J9:J10)</f>
        <v>124851.2</v>
      </c>
      <c r="E18" s="5">
        <f>SUM(B18:D18)</f>
        <v>192140</v>
      </c>
      <c r="F18" s="5"/>
    </row>
    <row r="19" spans="1:6" ht="15.5" thickTop="1" thickBot="1" x14ac:dyDescent="0.4">
      <c r="A19" s="13" t="s">
        <v>6</v>
      </c>
      <c r="B19" s="24">
        <f>SUM(K2:K5)</f>
        <v>24360</v>
      </c>
      <c r="C19" s="24">
        <f>SUM(K6:K8)</f>
        <v>6240</v>
      </c>
      <c r="D19" s="24">
        <f>SUM(K9:K10)</f>
        <v>141433</v>
      </c>
      <c r="E19" s="5">
        <f>SUM(B19:D19)</f>
        <v>172033</v>
      </c>
    </row>
    <row r="20" spans="1:6" ht="15" thickTop="1" x14ac:dyDescent="0.35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1</vt:i4>
      </vt:variant>
    </vt:vector>
  </HeadingPairs>
  <TitlesOfParts>
    <vt:vector size="20" baseType="lpstr">
      <vt:lpstr>Papers and Reports</vt:lpstr>
      <vt:lpstr>Results_Visual</vt:lpstr>
      <vt:lpstr>FTTCab GPON 26 Mbps</vt:lpstr>
      <vt:lpstr>FTTB XGPON 50 Mbps</vt:lpstr>
      <vt:lpstr>FTTB WR-WDMPON 50 Mbps</vt:lpstr>
      <vt:lpstr>FTTH WR-WDMPON 100 Mbps</vt:lpstr>
      <vt:lpstr>FTTH XGPON 100 Mbps</vt:lpstr>
      <vt:lpstr>FTTCab_GPON_100</vt:lpstr>
      <vt:lpstr>FTTB_XGPON_100</vt:lpstr>
      <vt:lpstr>FTTB_WRWDM_100</vt:lpstr>
      <vt:lpstr>FTTCab_Hybridpon_25</vt:lpstr>
      <vt:lpstr>FTTB_Hybridpon_50</vt:lpstr>
      <vt:lpstr>FTTH_Hybridpon_100</vt:lpstr>
      <vt:lpstr>FTTC_Hybridpon_100</vt:lpstr>
      <vt:lpstr>FTTB_Hybridpon_100</vt:lpstr>
      <vt:lpstr>CAPEX_Euros_OASE</vt:lpstr>
      <vt:lpstr>CAPEX_Euros_Rokkas</vt:lpstr>
      <vt:lpstr>CAPEX_Euros_BSG</vt:lpstr>
      <vt:lpstr>CAPEX_Euros_Phillipson</vt:lpstr>
      <vt:lpstr>Chart1</vt:lpstr>
    </vt:vector>
  </TitlesOfParts>
  <Company>Technische Universität München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Kireet Patri</cp:lastModifiedBy>
  <dcterms:created xsi:type="dcterms:W3CDTF">2018-06-18T12:55:08Z</dcterms:created>
  <dcterms:modified xsi:type="dcterms:W3CDTF">2018-09-17T21:28:16Z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