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85" windowWidth="15105" windowHeight="7965"/>
  </bookViews>
  <sheets>
    <sheet name="CAPEX" sheetId="1" r:id="rId1"/>
    <sheet name="OPEX" sheetId="2" r:id="rId2"/>
    <sheet name="Revenue" sheetId="3" r:id="rId3"/>
    <sheet name="MIG_MATRIX" sheetId="11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</sheets>
  <calcPr calcId="145621"/>
</workbook>
</file>

<file path=xl/calcChain.xml><?xml version="1.0" encoding="utf-8"?>
<calcChain xmlns="http://schemas.openxmlformats.org/spreadsheetml/2006/main">
  <c r="V2" i="1" l="1"/>
  <c r="S48" i="2" l="1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M14" i="11" l="1"/>
  <c r="N11" i="11"/>
  <c r="M11" i="11"/>
  <c r="L11" i="11"/>
  <c r="I8" i="11"/>
  <c r="G8" i="11"/>
  <c r="G3" i="11"/>
  <c r="D3" i="11"/>
  <c r="W4" i="1" l="1"/>
  <c r="W5" i="1"/>
  <c r="W6" i="1"/>
  <c r="W7" i="1"/>
  <c r="W8" i="1"/>
  <c r="W9" i="1"/>
  <c r="W10" i="1"/>
  <c r="W11" i="1"/>
  <c r="W12" i="1"/>
  <c r="W13" i="1"/>
  <c r="W14" i="1"/>
  <c r="W15" i="1"/>
  <c r="Q6" i="1" l="1"/>
  <c r="W3" i="1" l="1"/>
  <c r="C2" i="11" s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M2" i="11" s="1"/>
  <c r="P27" i="1"/>
  <c r="Q15" i="1"/>
  <c r="N2" i="11"/>
  <c r="K2" i="11"/>
  <c r="H10" i="1"/>
  <c r="I2" i="11"/>
  <c r="G4" i="1"/>
  <c r="H4" i="1"/>
  <c r="G7" i="1"/>
  <c r="H7" i="1"/>
  <c r="G3" i="1"/>
  <c r="H3" i="1"/>
  <c r="H2" i="11"/>
  <c r="H3" i="11" s="1"/>
  <c r="I6" i="3"/>
  <c r="G6" i="1"/>
  <c r="H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F47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G41" i="3" s="1"/>
  <c r="D42" i="3"/>
  <c r="G42" i="3" s="1"/>
  <c r="D43" i="3"/>
  <c r="D44" i="3"/>
  <c r="G44" i="3" s="1"/>
  <c r="D45" i="3"/>
  <c r="G45" i="3" s="1"/>
  <c r="D46" i="3"/>
  <c r="G46" i="3" s="1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 s="1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B43" i="3"/>
  <c r="E43" i="3" s="1"/>
  <c r="B44" i="3"/>
  <c r="E44" i="3"/>
  <c r="B45" i="3"/>
  <c r="E45" i="3" s="1"/>
  <c r="B46" i="3"/>
  <c r="E46" i="3" s="1"/>
  <c r="B47" i="3"/>
  <c r="E47" i="3" s="1"/>
  <c r="B48" i="3"/>
  <c r="B49" i="3"/>
  <c r="E49" i="3" s="1"/>
  <c r="D29" i="3"/>
  <c r="G29" i="3"/>
  <c r="C29" i="3"/>
  <c r="B29" i="3"/>
  <c r="E29" i="3" s="1"/>
  <c r="I12" i="3"/>
  <c r="I7" i="3"/>
  <c r="I8" i="3"/>
  <c r="O3" i="3" l="1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9" i="3"/>
  <c r="R11" i="3"/>
  <c r="R13" i="3"/>
  <c r="R17" i="3"/>
  <c r="R19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Q9" i="3"/>
  <c r="O12" i="3"/>
  <c r="S14" i="3"/>
  <c r="Q17" i="3"/>
  <c r="O20" i="3"/>
  <c r="O22" i="3"/>
  <c r="R3" i="3"/>
  <c r="P6" i="3"/>
  <c r="P8" i="3"/>
  <c r="P10" i="3"/>
  <c r="T14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D2" i="11"/>
  <c r="G2" i="11"/>
  <c r="E42" i="3"/>
  <c r="R15" i="3" s="1"/>
  <c r="F46" i="3"/>
  <c r="S19" i="3" s="1"/>
  <c r="F40" i="3"/>
  <c r="S13" i="3" s="1"/>
  <c r="F35" i="3"/>
  <c r="S8" i="3" s="1"/>
  <c r="F30" i="3"/>
  <c r="S3" i="3" s="1"/>
  <c r="G39" i="3"/>
  <c r="T12" i="3" s="1"/>
  <c r="G33" i="3"/>
  <c r="T6" i="3" s="1"/>
  <c r="L2" i="11"/>
  <c r="M12" i="11" s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S6" i="3" s="1"/>
  <c r="G49" i="3"/>
  <c r="T22" i="3" s="1"/>
  <c r="G43" i="3"/>
  <c r="T16" i="3" s="1"/>
  <c r="G31" i="3"/>
  <c r="T4" i="3" s="1"/>
  <c r="F43" i="3"/>
  <c r="S16" i="3" s="1"/>
  <c r="O2" i="11"/>
  <c r="M15" i="11" s="1"/>
  <c r="F2" i="11"/>
  <c r="J2" i="11"/>
  <c r="E2" i="11"/>
  <c r="F5" i="11" l="1"/>
  <c r="F10" i="11"/>
  <c r="J5" i="11"/>
  <c r="G4" i="11"/>
  <c r="G9" i="11"/>
  <c r="O11" i="11"/>
  <c r="O12" i="11"/>
  <c r="I3" i="11"/>
  <c r="I4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<sst xmlns="http://schemas.openxmlformats.org/spreadsheetml/2006/main" count="427" uniqueCount="81">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</sst>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3"/>
      <name val="Times New Roman"/>
      <family val="1"/>
    </font>
    <font>
      <b/>
      <sz val="2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9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</cellStyleXfs>
  <cellXfs count="30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0" fillId="0" borderId="0" xfId="0"/>
    <xf numFmtId="0" fontId="8" fillId="0" borderId="5" xfId="0" applyFont="1" applyBorder="1"/>
    <xf numFmtId="0" fontId="8" fillId="5" borderId="6" xfId="0" applyFont="1" applyFill="1" applyBorder="1"/>
    <xf numFmtId="0" fontId="8" fillId="0" borderId="7" xfId="0" applyFont="1" applyBorder="1"/>
    <xf numFmtId="0" fontId="9" fillId="6" borderId="4" xfId="7" applyBorder="1"/>
    <xf numFmtId="0" fontId="9" fillId="6" borderId="2" xfId="7" applyBorder="1"/>
    <xf numFmtId="0" fontId="9" fillId="6" borderId="0" xfId="7"/>
    <xf numFmtId="0" fontId="8" fillId="0" borderId="0" xfId="0" applyFont="1"/>
    <xf numFmtId="0" fontId="10" fillId="7" borderId="4" xfId="8" applyBorder="1"/>
    <xf numFmtId="0" fontId="10" fillId="7" borderId="2" xfId="8" applyBorder="1"/>
    <xf numFmtId="0" fontId="10" fillId="7" borderId="0" xfId="8"/>
    <xf numFmtId="0" fontId="10" fillId="7" borderId="3" xfId="8" applyBorder="1"/>
    <xf numFmtId="0" fontId="9" fillId="6" borderId="3" xfId="7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4" xfId="3" applyFont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11" fontId="14" fillId="0" borderId="0" xfId="0" applyNumberFormat="1" applyFont="1" applyAlignment="1">
      <alignment horizontal="center"/>
    </xf>
  </cellXfs>
  <cellStyles count="9">
    <cellStyle name="Calculation" xfId="6" builtinId="22"/>
    <cellStyle name="Good" xfId="8" builtinId="26"/>
    <cellStyle name="Heading 3" xfId="2" builtinId="18"/>
    <cellStyle name="Heading 4" xfId="3" builtinId="19"/>
    <cellStyle name="Input" xfId="4" builtinId="20"/>
    <cellStyle name="Neutral" xfId="7" builtinId="28"/>
    <cellStyle name="Normal" xfId="0" builtinId="0"/>
    <cellStyle name="Output" xfId="5" builtinId="21"/>
    <cellStyle name="Standard 2" xfId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20010.666666666668</c:v>
                </c:pt>
                <c:pt idx="5">
                  <c:v>5802.666666666667</c:v>
                </c:pt>
                <c:pt idx="6">
                  <c:v>10322.666666666666</c:v>
                </c:pt>
                <c:pt idx="7">
                  <c:v>11664.333333333334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62060</c:v>
                </c:pt>
                <c:pt idx="3">
                  <c:v>169920</c:v>
                </c:pt>
                <c:pt idx="4">
                  <c:v>160789.80000000002</c:v>
                </c:pt>
                <c:pt idx="5">
                  <c:v>163051.20000000001</c:v>
                </c:pt>
                <c:pt idx="6">
                  <c:v>59551.4</c:v>
                </c:pt>
                <c:pt idx="7">
                  <c:v>126120</c:v>
                </c:pt>
                <c:pt idx="8">
                  <c:v>96145</c:v>
                </c:pt>
                <c:pt idx="9">
                  <c:v>55966.5</c:v>
                </c:pt>
                <c:pt idx="10">
                  <c:v>108385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5744"/>
        <c:axId val="211736768"/>
      </c:barChart>
      <c:catAx>
        <c:axId val="2096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736768"/>
        <c:crosses val="autoZero"/>
        <c:auto val="1"/>
        <c:lblAlgn val="ctr"/>
        <c:lblOffset val="100"/>
        <c:noMultiLvlLbl val="0"/>
      </c:catAx>
      <c:valAx>
        <c:axId val="2117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96261.143172944852</c:v>
                </c:pt>
                <c:pt idx="1">
                  <c:v>5.1327825331856927</c:v>
                </c:pt>
                <c:pt idx="2">
                  <c:v>3056.8888888888887</c:v>
                </c:pt>
                <c:pt idx="3">
                  <c:v>158553.60000000001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subscriber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0.25</c:v>
                </c:pt>
                <c:pt idx="1">
                  <c:v>0.49224161041270542</c:v>
                </c:pt>
                <c:pt idx="2">
                  <c:v>0.5789063798208488</c:v>
                </c:pt>
                <c:pt idx="3">
                  <c:v>0.58215129407531951</c:v>
                </c:pt>
                <c:pt idx="4">
                  <c:v>0.46209105787546995</c:v>
                </c:pt>
                <c:pt idx="5">
                  <c:v>0.45021997996363888</c:v>
                </c:pt>
                <c:pt idx="6">
                  <c:v>0.67492291894643885</c:v>
                </c:pt>
                <c:pt idx="7">
                  <c:v>0.69545623826450687</c:v>
                </c:pt>
                <c:pt idx="8">
                  <c:v>0.81938295513690118</c:v>
                </c:pt>
                <c:pt idx="9">
                  <c:v>0.83142291519321987</c:v>
                </c:pt>
                <c:pt idx="10">
                  <c:v>0.61862811609322665</c:v>
                </c:pt>
                <c:pt idx="11">
                  <c:v>0.71225808775340016</c:v>
                </c:pt>
                <c:pt idx="12">
                  <c:v>0.97920924340919968</c:v>
                </c:pt>
                <c:pt idx="13">
                  <c:v>0.7657950621556967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74304"/>
        <c:axId val="215164608"/>
      </c:barChart>
      <c:catAx>
        <c:axId val="2150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64608"/>
        <c:crosses val="autoZero"/>
        <c:auto val="1"/>
        <c:lblAlgn val="ctr"/>
        <c:lblOffset val="100"/>
        <c:noMultiLvlLbl val="0"/>
      </c:catAx>
      <c:valAx>
        <c:axId val="21516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7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75840"/>
        <c:axId val="215166336"/>
      </c:barChart>
      <c:catAx>
        <c:axId val="2150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5166336"/>
        <c:crosses val="autoZero"/>
        <c:auto val="1"/>
        <c:lblAlgn val="ctr"/>
        <c:lblOffset val="100"/>
        <c:noMultiLvlLbl val="0"/>
      </c:catAx>
      <c:valAx>
        <c:axId val="21516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7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89888"/>
        <c:axId val="215168640"/>
      </c:barChart>
      <c:catAx>
        <c:axId val="215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168640"/>
        <c:crosses val="autoZero"/>
        <c:auto val="1"/>
        <c:lblAlgn val="ctr"/>
        <c:lblOffset val="100"/>
        <c:noMultiLvlLbl val="0"/>
      </c:catAx>
      <c:valAx>
        <c:axId val="2151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8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21</xdr:row>
      <xdr:rowOff>161925</xdr:rowOff>
    </xdr:from>
    <xdr:to>
      <xdr:col>14</xdr:col>
      <xdr:colOff>57150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0</xdr:row>
      <xdr:rowOff>0</xdr:rowOff>
    </xdr:from>
    <xdr:to>
      <xdr:col>29</xdr:col>
      <xdr:colOff>476249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26</xdr:row>
      <xdr:rowOff>95250</xdr:rowOff>
    </xdr:from>
    <xdr:to>
      <xdr:col>21</xdr:col>
      <xdr:colOff>66674</xdr:colOff>
      <xdr:row>44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15" totalsRowShown="0" headerRowDxfId="16" dataDxfId="15" headerRowCellStyle="Heading 4">
  <autoFilter ref="A1:O15"/>
  <tableColumns count="15">
    <tableColumn id="1" name="Technology" dataDxfId="14" dataCellStyle="Heading 4"/>
    <tableColumn id="2" name="ADSL" dataDxfId="13"/>
    <tableColumn id="3" name="FTTC_GPON_25" dataDxfId="12"/>
    <tableColumn id="4" name="FTTB_XGPON_50" dataDxfId="11"/>
    <tableColumn id="5" name="FTTB_UDWDM_50" dataDxfId="10"/>
    <tableColumn id="6" name="FTTH_UDWDM_100" dataDxfId="9"/>
    <tableColumn id="7" name="FTTH_XGPON_100" dataDxfId="8"/>
    <tableColumn id="8" name="FTTC_GPON_100" dataDxfId="7"/>
    <tableColumn id="9" name="FTTB_XGPON_100" dataDxfId="6"/>
    <tableColumn id="10" name="FTTB_UDWDM_100" dataDxfId="5"/>
    <tableColumn id="11" name="FTTC_Hybridpon_25" dataDxfId="4"/>
    <tableColumn id="12" name="FTTB_Hybridpon_50" dataDxfId="3"/>
    <tableColumn id="13" name="FTTH_Hybridpon_100" dataDxfId="2"/>
    <tableColumn id="14" name="FTTC_Hybridpon_100" dataDxfId="1"/>
    <tableColumn id="15" name="FTTB_Hybridpon_100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abSelected="1" topLeftCell="G1" workbookViewId="0">
      <selection activeCell="N25" sqref="N25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25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f>AVERAGE(V3:V15)</f>
        <v>110235.38119658121</v>
      </c>
      <c r="W2" s="9">
        <v>110235.38119658121</v>
      </c>
    </row>
    <row r="3" spans="1:23" s="17" customFormat="1" x14ac:dyDescent="0.25">
      <c r="A3" s="15" t="s">
        <v>65</v>
      </c>
      <c r="B3" s="16">
        <f>CEILING((4877+0.1*4877)/2,1)</f>
        <v>2683</v>
      </c>
      <c r="C3" s="16">
        <v>8</v>
      </c>
      <c r="D3" s="16">
        <v>4</v>
      </c>
      <c r="E3" s="16" t="s">
        <v>8</v>
      </c>
      <c r="F3" s="16" t="s">
        <v>9</v>
      </c>
      <c r="G3" s="16">
        <f>0.64</f>
        <v>0.64</v>
      </c>
      <c r="H3" s="16">
        <f>0.88</f>
        <v>0.88</v>
      </c>
      <c r="I3" s="16">
        <v>1</v>
      </c>
      <c r="J3" s="16">
        <v>156</v>
      </c>
      <c r="K3" s="16">
        <v>1244</v>
      </c>
      <c r="L3" s="16">
        <v>31505.122417993502</v>
      </c>
      <c r="M3" s="16">
        <v>54442.326843564399</v>
      </c>
      <c r="N3" s="16">
        <v>68598.261692039698</v>
      </c>
      <c r="O3" s="16">
        <v>171056.49354431301</v>
      </c>
      <c r="P3" s="16">
        <v>85582.633114971599</v>
      </c>
      <c r="Q3" s="16">
        <v>685372.28279667499</v>
      </c>
      <c r="R3" s="17">
        <v>96261.143172944852</v>
      </c>
      <c r="S3" s="17">
        <v>5.1327825331856927</v>
      </c>
      <c r="T3" s="17">
        <v>3056.8888888888887</v>
      </c>
      <c r="U3" s="17">
        <v>158553.60000000001</v>
      </c>
      <c r="V3" s="16">
        <v>161610.48888888888</v>
      </c>
      <c r="W3" s="23">
        <f>R3+S3+T3+U3</f>
        <v>257876.76484436693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1">
        <v>146337.87420813384</v>
      </c>
      <c r="S4" s="11">
        <v>12.814589886676153</v>
      </c>
      <c r="T4" s="11">
        <v>6405.333333333333</v>
      </c>
      <c r="U4" s="11">
        <v>63750.8</v>
      </c>
      <c r="V4" s="9">
        <v>70156.133333333331</v>
      </c>
      <c r="W4" s="10">
        <f t="shared" ref="W4:W15" si="0">R4+S4+T4+U4</f>
        <v>216506.82213135384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1">
        <v>78872.086550701642</v>
      </c>
      <c r="S5" s="11">
        <v>14.612123172178348</v>
      </c>
      <c r="T5" s="11">
        <v>5299.166666666667</v>
      </c>
      <c r="U5" s="11">
        <v>62060</v>
      </c>
      <c r="V5" s="9">
        <v>66159.166666666672</v>
      </c>
      <c r="W5" s="10">
        <f t="shared" si="0"/>
        <v>146245.86534054048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1">
        <v>78872.086550701642</v>
      </c>
      <c r="S6" s="11">
        <v>14.612123172178348</v>
      </c>
      <c r="T6" s="11">
        <v>41616.833333333336</v>
      </c>
      <c r="U6" s="11">
        <v>169920</v>
      </c>
      <c r="V6" s="9">
        <v>202536.83333333334</v>
      </c>
      <c r="W6" s="10">
        <f t="shared" si="0"/>
        <v>290423.53200720716</v>
      </c>
    </row>
    <row r="7" spans="1:23" s="17" customFormat="1" x14ac:dyDescent="0.25">
      <c r="A7" s="15" t="s">
        <v>69</v>
      </c>
      <c r="B7" s="16">
        <f>CEILING(29262+0.1*29262,1)</f>
        <v>32189</v>
      </c>
      <c r="C7" s="16">
        <v>8</v>
      </c>
      <c r="D7" s="16">
        <v>8</v>
      </c>
      <c r="E7" s="16" t="s">
        <v>8</v>
      </c>
      <c r="F7" s="16" t="s">
        <v>8</v>
      </c>
      <c r="G7" s="16">
        <f>0.3</f>
        <v>0.3</v>
      </c>
      <c r="H7" s="16">
        <f>0.58</f>
        <v>0.57999999999999996</v>
      </c>
      <c r="I7" s="16">
        <v>1.8</v>
      </c>
      <c r="J7" s="16">
        <v>8</v>
      </c>
      <c r="K7" s="16">
        <v>151</v>
      </c>
      <c r="L7" s="16">
        <v>31505.122417993502</v>
      </c>
      <c r="M7" s="16">
        <v>54442.326843564399</v>
      </c>
      <c r="N7" s="16">
        <v>68598.261692039698</v>
      </c>
      <c r="O7" s="16">
        <v>171056.49354431301</v>
      </c>
      <c r="P7" s="16">
        <v>85582.633114971599</v>
      </c>
      <c r="Q7" s="16" t="s">
        <v>80</v>
      </c>
      <c r="R7" s="17">
        <v>146337.87420813384</v>
      </c>
      <c r="S7" s="17">
        <v>12.814589886676153</v>
      </c>
      <c r="T7" s="17">
        <v>20010.666666666668</v>
      </c>
      <c r="U7" s="17">
        <v>160789.80000000002</v>
      </c>
      <c r="V7" s="16">
        <v>81898.866666666669</v>
      </c>
      <c r="W7" s="23">
        <f t="shared" si="0"/>
        <v>327151.15546468715</v>
      </c>
    </row>
    <row r="8" spans="1:23" s="17" customFormat="1" x14ac:dyDescent="0.25">
      <c r="A8" s="15" t="s">
        <v>70</v>
      </c>
      <c r="B8" s="16">
        <f>CEILING(4877+0.1*(4877),1)</f>
        <v>5365</v>
      </c>
      <c r="C8" s="16">
        <v>8</v>
      </c>
      <c r="D8" s="16">
        <v>4</v>
      </c>
      <c r="E8" s="16" t="s">
        <v>8</v>
      </c>
      <c r="F8" s="16" t="s">
        <v>41</v>
      </c>
      <c r="G8" s="16">
        <v>1.3</v>
      </c>
      <c r="H8" s="16">
        <v>1.58</v>
      </c>
      <c r="I8" s="16">
        <v>1</v>
      </c>
      <c r="J8" s="16">
        <v>156</v>
      </c>
      <c r="K8" s="16">
        <v>1244</v>
      </c>
      <c r="L8" s="16">
        <v>31505.122417993502</v>
      </c>
      <c r="M8" s="16">
        <v>54442.326843564399</v>
      </c>
      <c r="N8" s="16">
        <v>68598.261692039698</v>
      </c>
      <c r="O8" s="16">
        <v>171056.49354431301</v>
      </c>
      <c r="P8" s="16">
        <v>85582.633114971599</v>
      </c>
      <c r="Q8" s="16">
        <v>685372.28279667499</v>
      </c>
      <c r="R8" s="17">
        <v>96261.143172944852</v>
      </c>
      <c r="S8" s="17">
        <v>5.1327825331856927</v>
      </c>
      <c r="T8" s="17">
        <v>5802.666666666667</v>
      </c>
      <c r="U8" s="17">
        <v>163051.20000000001</v>
      </c>
      <c r="V8" s="16">
        <v>201513.06666666665</v>
      </c>
      <c r="W8" s="23">
        <f t="shared" si="0"/>
        <v>265120.14262214472</v>
      </c>
    </row>
    <row r="9" spans="1:23" s="17" customFormat="1" x14ac:dyDescent="0.25">
      <c r="A9" s="15" t="s">
        <v>71</v>
      </c>
      <c r="B9" s="16">
        <f t="shared" ref="B9:B15" si="1">CEILING(4877+0.1*(4877),1)</f>
        <v>5365</v>
      </c>
      <c r="C9" s="16">
        <v>8</v>
      </c>
      <c r="D9" s="16">
        <v>8</v>
      </c>
      <c r="E9" s="16" t="s">
        <v>8</v>
      </c>
      <c r="F9" s="16" t="s">
        <v>8</v>
      </c>
      <c r="G9" s="16">
        <v>0.72</v>
      </c>
      <c r="H9" s="16">
        <v>0.94</v>
      </c>
      <c r="I9" s="16">
        <v>1.8</v>
      </c>
      <c r="J9" s="16">
        <v>19</v>
      </c>
      <c r="K9" s="16">
        <v>151</v>
      </c>
      <c r="L9" s="16">
        <v>31505.122417993502</v>
      </c>
      <c r="M9" s="16">
        <v>54442.326843564399</v>
      </c>
      <c r="N9" s="16">
        <v>68598.261692039698</v>
      </c>
      <c r="O9" s="16">
        <v>171056.49354431301</v>
      </c>
      <c r="P9" s="16">
        <v>85582.633114971599</v>
      </c>
      <c r="Q9" s="16">
        <v>384090.36767452297</v>
      </c>
      <c r="R9" s="17">
        <v>146337.87420813384</v>
      </c>
      <c r="S9" s="17">
        <v>12.814589886676153</v>
      </c>
      <c r="T9" s="17">
        <v>10322.666666666666</v>
      </c>
      <c r="U9" s="17">
        <v>59551.4</v>
      </c>
      <c r="V9" s="16">
        <v>74808.566666666666</v>
      </c>
      <c r="W9" s="23">
        <f t="shared" si="0"/>
        <v>216224.75546468716</v>
      </c>
    </row>
    <row r="10" spans="1:23" x14ac:dyDescent="0.25">
      <c r="A10" s="7" t="s">
        <v>72</v>
      </c>
      <c r="B10" s="8">
        <f t="shared" si="1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1">
        <v>78872.086550701642</v>
      </c>
      <c r="S10" s="11">
        <v>14.612123172178348</v>
      </c>
      <c r="T10" s="11">
        <v>11664.333333333334</v>
      </c>
      <c r="U10" s="11">
        <v>126120</v>
      </c>
      <c r="V10" s="9">
        <v>74276.333333333328</v>
      </c>
      <c r="W10" s="10">
        <f t="shared" si="0"/>
        <v>216671.03200720716</v>
      </c>
    </row>
    <row r="11" spans="1:23" s="21" customFormat="1" x14ac:dyDescent="0.25">
      <c r="A11" s="19" t="s">
        <v>73</v>
      </c>
      <c r="B11" s="20">
        <f>CEILING((4877+0.1*4877)/3,1)</f>
        <v>1789</v>
      </c>
      <c r="C11" s="20">
        <v>80</v>
      </c>
      <c r="D11" s="20">
        <v>8</v>
      </c>
      <c r="E11" s="20" t="s">
        <v>22</v>
      </c>
      <c r="F11" s="20" t="s">
        <v>41</v>
      </c>
      <c r="G11" s="20">
        <v>0.54</v>
      </c>
      <c r="H11" s="20">
        <v>0.28000000000000003</v>
      </c>
      <c r="I11" s="20">
        <v>2.2000000000000002</v>
      </c>
      <c r="J11" s="20">
        <v>8</v>
      </c>
      <c r="K11" s="20">
        <v>610</v>
      </c>
      <c r="L11" s="20">
        <v>7039.7238495865004</v>
      </c>
      <c r="M11" s="20">
        <v>50467.597460168901</v>
      </c>
      <c r="N11" s="20">
        <v>69134.465806048596</v>
      </c>
      <c r="O11" s="20">
        <v>8635.1542501059794</v>
      </c>
      <c r="P11" s="20">
        <v>233483.63773783101</v>
      </c>
      <c r="Q11" s="20">
        <v>387592.626526276</v>
      </c>
      <c r="R11" s="21">
        <v>114876.35990534152</v>
      </c>
      <c r="S11" s="21">
        <v>12.594228370284263</v>
      </c>
      <c r="T11" s="21">
        <v>4000</v>
      </c>
      <c r="U11" s="21">
        <v>96145</v>
      </c>
      <c r="V11" s="20">
        <v>100145</v>
      </c>
      <c r="W11" s="22">
        <f t="shared" si="0"/>
        <v>215033.95413371181</v>
      </c>
    </row>
    <row r="12" spans="1:23" s="21" customFormat="1" x14ac:dyDescent="0.25">
      <c r="A12" s="19" t="s">
        <v>74</v>
      </c>
      <c r="B12" s="20">
        <f t="shared" si="1"/>
        <v>5365</v>
      </c>
      <c r="C12" s="20">
        <v>80</v>
      </c>
      <c r="D12" s="20">
        <v>16</v>
      </c>
      <c r="E12" s="20" t="s">
        <v>22</v>
      </c>
      <c r="F12" s="20" t="s">
        <v>8</v>
      </c>
      <c r="G12" s="20">
        <v>0.28000000000000003</v>
      </c>
      <c r="H12" s="20">
        <v>0.24</v>
      </c>
      <c r="I12" s="20">
        <v>3.1</v>
      </c>
      <c r="J12" s="20">
        <v>8</v>
      </c>
      <c r="K12" s="20">
        <v>305</v>
      </c>
      <c r="L12" s="20">
        <v>7039.7238495865004</v>
      </c>
      <c r="M12" s="20">
        <v>50467.597460168901</v>
      </c>
      <c r="N12" s="20">
        <v>70030.505757120001</v>
      </c>
      <c r="O12" s="20">
        <v>8635.1542501059794</v>
      </c>
      <c r="P12" s="20">
        <v>233483.63773783101</v>
      </c>
      <c r="Q12" s="20">
        <v>368464.72317224898</v>
      </c>
      <c r="R12" s="21">
        <v>115530.46906962365</v>
      </c>
      <c r="S12" s="21">
        <v>12.211670303203721</v>
      </c>
      <c r="T12" s="21">
        <v>7280</v>
      </c>
      <c r="U12" s="21">
        <v>55966.5</v>
      </c>
      <c r="V12" s="20">
        <v>63246.5</v>
      </c>
      <c r="W12" s="22">
        <f t="shared" si="0"/>
        <v>178789.18073992687</v>
      </c>
    </row>
    <row r="13" spans="1:23" s="21" customFormat="1" x14ac:dyDescent="0.25">
      <c r="A13" s="19" t="s">
        <v>75</v>
      </c>
      <c r="B13" s="20">
        <f>CEILING(29262+0.1*29262,1)</f>
        <v>32189</v>
      </c>
      <c r="C13" s="20">
        <v>80</v>
      </c>
      <c r="D13" s="20">
        <v>16</v>
      </c>
      <c r="E13" s="20" t="s">
        <v>22</v>
      </c>
      <c r="F13" s="20" t="s">
        <v>8</v>
      </c>
      <c r="G13" s="20">
        <v>0.54</v>
      </c>
      <c r="H13" s="20">
        <v>0.28000000000000003</v>
      </c>
      <c r="I13" s="20">
        <v>3.1</v>
      </c>
      <c r="J13" s="20">
        <v>8</v>
      </c>
      <c r="K13" s="20">
        <v>305</v>
      </c>
      <c r="L13" s="20">
        <v>7039.7238495865004</v>
      </c>
      <c r="M13" s="20">
        <v>50467.597460168901</v>
      </c>
      <c r="N13" s="20">
        <v>70030.505757120001</v>
      </c>
      <c r="O13" s="20">
        <v>8635.1542501059794</v>
      </c>
      <c r="P13" s="20">
        <v>233483.63773783101</v>
      </c>
      <c r="Q13" s="20">
        <f>$Q$12+20*$B$13</f>
        <v>1012244.723172249</v>
      </c>
      <c r="R13" s="21">
        <v>115530.46906962365</v>
      </c>
      <c r="S13" s="21">
        <v>10.331648594515361</v>
      </c>
      <c r="T13" s="21">
        <v>14160</v>
      </c>
      <c r="U13" s="21">
        <v>108385</v>
      </c>
      <c r="V13" s="20">
        <v>122626.5</v>
      </c>
      <c r="W13" s="22">
        <f t="shared" si="0"/>
        <v>238085.80071821815</v>
      </c>
    </row>
    <row r="14" spans="1:23" s="21" customFormat="1" x14ac:dyDescent="0.25">
      <c r="A14" s="19" t="s">
        <v>76</v>
      </c>
      <c r="B14" s="20">
        <f t="shared" si="1"/>
        <v>5365</v>
      </c>
      <c r="C14" s="20">
        <v>80</v>
      </c>
      <c r="D14" s="20">
        <v>8</v>
      </c>
      <c r="E14" s="20" t="s">
        <v>22</v>
      </c>
      <c r="F14" s="20" t="s">
        <v>41</v>
      </c>
      <c r="G14" s="20">
        <v>0.54</v>
      </c>
      <c r="H14" s="20">
        <v>0.28000000000000003</v>
      </c>
      <c r="I14" s="20">
        <v>2.2000000000000002</v>
      </c>
      <c r="J14" s="20">
        <v>8</v>
      </c>
      <c r="K14" s="20">
        <v>610</v>
      </c>
      <c r="L14" s="20">
        <v>7039.7238495865004</v>
      </c>
      <c r="M14" s="20">
        <v>50467.597460168901</v>
      </c>
      <c r="N14" s="20">
        <v>69134.465806048596</v>
      </c>
      <c r="O14" s="20">
        <v>8635.1542501059794</v>
      </c>
      <c r="P14" s="20">
        <v>233483.63773783101</v>
      </c>
      <c r="Q14" s="20">
        <v>387592.626526276</v>
      </c>
      <c r="R14" s="21">
        <v>114876.35990534152</v>
      </c>
      <c r="S14" s="21">
        <v>12.594228370284263</v>
      </c>
      <c r="T14" s="21">
        <v>27600</v>
      </c>
      <c r="U14" s="21">
        <v>105356</v>
      </c>
      <c r="V14" s="20">
        <v>132956</v>
      </c>
      <c r="W14" s="22">
        <f t="shared" si="0"/>
        <v>247844.95413371181</v>
      </c>
    </row>
    <row r="15" spans="1:23" s="21" customFormat="1" x14ac:dyDescent="0.25">
      <c r="A15" s="19" t="s">
        <v>77</v>
      </c>
      <c r="B15" s="20">
        <f t="shared" si="1"/>
        <v>5365</v>
      </c>
      <c r="C15" s="20">
        <v>80</v>
      </c>
      <c r="D15" s="20">
        <v>16</v>
      </c>
      <c r="E15" s="20" t="s">
        <v>22</v>
      </c>
      <c r="F15" s="20" t="s">
        <v>8</v>
      </c>
      <c r="G15" s="20">
        <v>0.54</v>
      </c>
      <c r="H15" s="20">
        <v>0.28000000000000003</v>
      </c>
      <c r="I15" s="20">
        <v>3.1</v>
      </c>
      <c r="J15" s="20">
        <v>8</v>
      </c>
      <c r="K15" s="20">
        <v>305</v>
      </c>
      <c r="L15" s="20">
        <v>7039.7238495865004</v>
      </c>
      <c r="M15" s="20">
        <v>50467.597460168901</v>
      </c>
      <c r="N15" s="20">
        <v>70030.505757120001</v>
      </c>
      <c r="O15" s="20">
        <v>8635.1542501059794</v>
      </c>
      <c r="P15" s="20">
        <v>233483.63773783101</v>
      </c>
      <c r="Q15" s="20">
        <f>$Q$12</f>
        <v>368464.72317224898</v>
      </c>
      <c r="R15" s="21">
        <v>115530.46906962365</v>
      </c>
      <c r="S15" s="21">
        <v>9.5120485945153614</v>
      </c>
      <c r="T15" s="21">
        <v>14160</v>
      </c>
      <c r="U15" s="21">
        <v>66966.5</v>
      </c>
      <c r="V15" s="20">
        <v>81126.5</v>
      </c>
      <c r="W15" s="22">
        <f t="shared" si="0"/>
        <v>196666.48111821816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activeCell="B7" sqref="B7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8" ht="14.45" x14ac:dyDescent="0.3">
      <c r="A1" t="s">
        <v>23</v>
      </c>
      <c r="B1" t="s">
        <v>79</v>
      </c>
      <c r="C1" t="s">
        <v>78</v>
      </c>
    </row>
    <row r="2" spans="1:8" thickBot="1" x14ac:dyDescent="0.35">
      <c r="A2" s="7" t="s">
        <v>24</v>
      </c>
      <c r="B2">
        <v>0.25</v>
      </c>
      <c r="C2">
        <v>3.6</v>
      </c>
    </row>
    <row r="3" spans="1:8" ht="16.5" thickTop="1" thickBot="1" x14ac:dyDescent="0.3">
      <c r="A3" s="7" t="s">
        <v>65</v>
      </c>
      <c r="B3" s="12">
        <v>0.49224161041270542</v>
      </c>
      <c r="C3">
        <v>7.2</v>
      </c>
    </row>
    <row r="4" spans="1:8" ht="16.5" thickTop="1" thickBot="1" x14ac:dyDescent="0.3">
      <c r="A4" s="7" t="s">
        <v>66</v>
      </c>
      <c r="B4" s="12">
        <v>0.5789063798208488</v>
      </c>
      <c r="C4">
        <v>9.6</v>
      </c>
      <c r="H4">
        <v>15000</v>
      </c>
    </row>
    <row r="5" spans="1:8" ht="15.75" thickTop="1" x14ac:dyDescent="0.25">
      <c r="A5" s="7" t="s">
        <v>67</v>
      </c>
      <c r="B5" s="12">
        <v>0.58215129407531951</v>
      </c>
      <c r="C5">
        <v>9.6</v>
      </c>
    </row>
    <row r="6" spans="1:8" ht="15.75" thickBot="1" x14ac:dyDescent="0.3">
      <c r="A6" s="7" t="s">
        <v>68</v>
      </c>
      <c r="B6" s="18">
        <v>0.46209105787546995</v>
      </c>
      <c r="C6">
        <v>12</v>
      </c>
    </row>
    <row r="7" spans="1:8" ht="16.5" thickTop="1" thickBot="1" x14ac:dyDescent="0.3">
      <c r="A7" s="7" t="s">
        <v>69</v>
      </c>
      <c r="B7" s="12">
        <v>0.45021997996363888</v>
      </c>
      <c r="C7">
        <v>12</v>
      </c>
    </row>
    <row r="8" spans="1:8" ht="15.75" thickTop="1" x14ac:dyDescent="0.25">
      <c r="A8" s="7" t="s">
        <v>70</v>
      </c>
      <c r="B8" s="12">
        <v>0.67492291894643885</v>
      </c>
      <c r="C8">
        <v>12</v>
      </c>
    </row>
    <row r="9" spans="1:8" x14ac:dyDescent="0.25">
      <c r="A9" s="7" t="s">
        <v>71</v>
      </c>
      <c r="B9" s="13">
        <v>0.69545623826450687</v>
      </c>
      <c r="C9">
        <v>12</v>
      </c>
    </row>
    <row r="10" spans="1:8" x14ac:dyDescent="0.25">
      <c r="A10" s="7" t="s">
        <v>72</v>
      </c>
      <c r="B10" s="13">
        <v>0.81938295513690118</v>
      </c>
      <c r="C10">
        <v>12</v>
      </c>
    </row>
    <row r="11" spans="1:8" ht="15.75" thickBot="1" x14ac:dyDescent="0.3">
      <c r="A11" s="7" t="s">
        <v>73</v>
      </c>
      <c r="B11" s="13">
        <v>0.83142291519321987</v>
      </c>
      <c r="C11">
        <v>7.2</v>
      </c>
    </row>
    <row r="12" spans="1:8" ht="16.5" thickTop="1" thickBot="1" x14ac:dyDescent="0.3">
      <c r="A12" s="7" t="s">
        <v>74</v>
      </c>
      <c r="B12" s="12">
        <v>0.61862811609322665</v>
      </c>
      <c r="C12">
        <v>9.6</v>
      </c>
    </row>
    <row r="13" spans="1:8" ht="16.5" thickTop="1" thickBot="1" x14ac:dyDescent="0.3">
      <c r="A13" s="7" t="s">
        <v>75</v>
      </c>
      <c r="B13" s="12">
        <v>0.71225808775340016</v>
      </c>
      <c r="C13">
        <v>12</v>
      </c>
    </row>
    <row r="14" spans="1:8" ht="16.5" thickTop="1" thickBot="1" x14ac:dyDescent="0.3">
      <c r="A14" s="7" t="s">
        <v>76</v>
      </c>
      <c r="B14" s="12">
        <v>0.97920924340919968</v>
      </c>
      <c r="C14">
        <v>12</v>
      </c>
    </row>
    <row r="15" spans="1:8" ht="15.75" thickTop="1" x14ac:dyDescent="0.25">
      <c r="A15" s="7" t="s">
        <v>77</v>
      </c>
      <c r="B15" s="14">
        <v>0.7657950621556967</v>
      </c>
      <c r="C15">
        <v>12</v>
      </c>
    </row>
    <row r="35" spans="19:19" ht="15.75" thickBot="1" x14ac:dyDescent="0.3">
      <c r="S35" s="11">
        <f>5000/$H$4</f>
        <v>0.33333333333333331</v>
      </c>
    </row>
    <row r="36" spans="19:19" ht="16.5" thickTop="1" thickBot="1" x14ac:dyDescent="0.3">
      <c r="S36" s="12">
        <f>11087.736787518/$H$4</f>
        <v>0.73918245250120007</v>
      </c>
    </row>
    <row r="37" spans="19:19" ht="16.5" thickTop="1" thickBot="1" x14ac:dyDescent="0.3">
      <c r="S37" s="12">
        <f>12782.4624863177/$H$4</f>
        <v>0.85216416575451326</v>
      </c>
    </row>
    <row r="38" spans="19:19" ht="15.75" thickTop="1" x14ac:dyDescent="0.25">
      <c r="S38" s="12">
        <f>14006.00005152/$H$4</f>
        <v>0.93373333676800008</v>
      </c>
    </row>
    <row r="39" spans="19:19" ht="15.75" thickBot="1" x14ac:dyDescent="0.3">
      <c r="S39" s="18">
        <f>18741.20044366/$H$4</f>
        <v>1.2494133629106667</v>
      </c>
    </row>
    <row r="40" spans="19:19" ht="16.5" thickTop="1" thickBot="1" x14ac:dyDescent="0.3">
      <c r="S40" s="12">
        <f>13816.2330786949/$H$4</f>
        <v>0.92108220524632667</v>
      </c>
    </row>
    <row r="41" spans="19:19" ht="15.75" thickTop="1" x14ac:dyDescent="0.25">
      <c r="S41" s="12">
        <f>20390.3878460214/$H$4</f>
        <v>1.3593591897347601</v>
      </c>
    </row>
    <row r="42" spans="19:19" x14ac:dyDescent="0.25">
      <c r="S42" s="13">
        <f>17063.4194922825/$H$4</f>
        <v>1.1375612994855</v>
      </c>
    </row>
    <row r="43" spans="19:19" x14ac:dyDescent="0.25">
      <c r="S43" s="13">
        <f>20330.2700332454/$H$4</f>
        <v>1.3553513355496933</v>
      </c>
    </row>
    <row r="44" spans="19:19" ht="15.75" thickBot="1" x14ac:dyDescent="0.3">
      <c r="S44" s="13">
        <f>25179.9434884633/$H$4</f>
        <v>1.6786628992308867</v>
      </c>
    </row>
    <row r="45" spans="19:19" ht="16.5" thickTop="1" thickBot="1" x14ac:dyDescent="0.3">
      <c r="S45" s="12">
        <f>17697.58393312/$H$4</f>
        <v>1.1798389288746667</v>
      </c>
    </row>
    <row r="46" spans="19:19" ht="16.5" thickTop="1" thickBot="1" x14ac:dyDescent="0.3">
      <c r="S46" s="12">
        <f>19419.1685400754/$H$4</f>
        <v>1.2946112360050266</v>
      </c>
    </row>
    <row r="47" spans="19:19" ht="16.5" thickTop="1" thickBot="1" x14ac:dyDescent="0.3">
      <c r="S47" s="12">
        <f>28483.9362085165/$H$4</f>
        <v>1.8989290805677668</v>
      </c>
    </row>
    <row r="48" spans="19:19" ht="15.75" thickTop="1" x14ac:dyDescent="0.25">
      <c r="S48" s="14">
        <f>17784.6514332397/$H$4</f>
        <v>1.1856434288826465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activeCell="M1" sqref="M1:AH1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0.49224161041270542</v>
      </c>
      <c r="V2">
        <f>O2-U2</f>
        <v>690.7077583895873</v>
      </c>
      <c r="W2">
        <f>P2-U2</f>
        <v>690.7077583895873</v>
      </c>
      <c r="X2">
        <f t="shared" ref="X2:X22" si="1">Q2-U2</f>
        <v>690.7077583895873</v>
      </c>
      <c r="Y2">
        <f>R2-$U2</f>
        <v>618.7077583895873</v>
      </c>
      <c r="Z2">
        <f>S2-$U2</f>
        <v>618.7077583895873</v>
      </c>
      <c r="AA2">
        <f>T2-$U2</f>
        <v>618.7077583895873</v>
      </c>
      <c r="AB2">
        <f>1/POWER(1+$L$25,N2-2018)</f>
        <v>1</v>
      </c>
      <c r="AC2">
        <f>V2*AB2</f>
        <v>690.7077583895873</v>
      </c>
      <c r="AD2">
        <f>W2*AB2</f>
        <v>690.7077583895873</v>
      </c>
      <c r="AE2">
        <f>X2*AB2</f>
        <v>690.7077583895873</v>
      </c>
      <c r="AF2">
        <f>Y2*$AB2</f>
        <v>618.7077583895873</v>
      </c>
      <c r="AG2">
        <f>Z2*$AB2</f>
        <v>618.7077583895873</v>
      </c>
      <c r="AH2">
        <f>AA2*$AB2</f>
        <v>618.7077583895873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0.49224161041270542</v>
      </c>
      <c r="V3">
        <f t="shared" ref="V3:V22" si="8">O3-U3</f>
        <v>921.10775838958727</v>
      </c>
      <c r="W3">
        <f t="shared" ref="W3:W22" si="9">P3-U3</f>
        <v>949.90775838958723</v>
      </c>
      <c r="X3">
        <f t="shared" si="1"/>
        <v>1288.3077583895872</v>
      </c>
      <c r="Y3">
        <f t="shared" ref="Y3:Y22" si="10">R3-$U3</f>
        <v>827.50775838958725</v>
      </c>
      <c r="Z3">
        <f t="shared" ref="Z3:Z22" si="11">S3-$U3</f>
        <v>849.10775838958727</v>
      </c>
      <c r="AA3">
        <f t="shared" ref="AA3:AA22" si="12">T3-$U3</f>
        <v>1158.7077583895873</v>
      </c>
      <c r="AB3">
        <f t="shared" ref="AB3:AB22" si="13">1/POWER(1+$L$25,N3-2018)</f>
        <v>0.90909090909090906</v>
      </c>
      <c r="AC3">
        <f t="shared" ref="AC3:AC22" si="14">V3*AB3</f>
        <v>837.37068944507928</v>
      </c>
      <c r="AD3">
        <f t="shared" ref="AD3:AD22" si="15">W3*AB3</f>
        <v>863.55250762689741</v>
      </c>
      <c r="AE3">
        <f t="shared" ref="AE3:AE22" si="16">X3*AB3</f>
        <v>1171.188871263261</v>
      </c>
      <c r="AF3">
        <f t="shared" ref="AF3:AF22" si="17">Y3*$AB3</f>
        <v>752.27978035417016</v>
      </c>
      <c r="AG3">
        <f t="shared" ref="AG3:AG22" si="18">Z3*$AB3</f>
        <v>771.9161439905339</v>
      </c>
      <c r="AH3">
        <f t="shared" ref="AH3:AH22" si="19">AA3*$AB3</f>
        <v>1053.3706894450793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0.49224161041270542</v>
      </c>
      <c r="V4">
        <f t="shared" si="8"/>
        <v>1237.9077583895873</v>
      </c>
      <c r="W4">
        <f t="shared" si="9"/>
        <v>1317.1077583895874</v>
      </c>
      <c r="X4">
        <f t="shared" si="1"/>
        <v>2461.9077583895873</v>
      </c>
      <c r="Y4">
        <f t="shared" si="10"/>
        <v>1108.3077583895872</v>
      </c>
      <c r="Z4">
        <f t="shared" si="11"/>
        <v>1180.3077583895872</v>
      </c>
      <c r="AA4">
        <f t="shared" si="12"/>
        <v>2209.9077583895873</v>
      </c>
      <c r="AB4">
        <f t="shared" si="13"/>
        <v>0.82644628099173545</v>
      </c>
      <c r="AC4">
        <f t="shared" si="14"/>
        <v>1023.0642631318902</v>
      </c>
      <c r="AD4">
        <f t="shared" si="15"/>
        <v>1088.5188085864359</v>
      </c>
      <c r="AE4">
        <f t="shared" si="16"/>
        <v>2034.6345110657744</v>
      </c>
      <c r="AF4">
        <f t="shared" si="17"/>
        <v>915.9568251153612</v>
      </c>
      <c r="AG4">
        <f t="shared" si="18"/>
        <v>975.46095734676624</v>
      </c>
      <c r="AH4">
        <f t="shared" si="19"/>
        <v>1826.370048255857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0.49224161041270542</v>
      </c>
      <c r="V5">
        <f t="shared" si="8"/>
        <v>1677.1077583895874</v>
      </c>
      <c r="W5">
        <f t="shared" si="9"/>
        <v>1849.9077583895873</v>
      </c>
      <c r="X5">
        <f t="shared" si="1"/>
        <v>4758.7077583895871</v>
      </c>
      <c r="Y5">
        <f t="shared" si="10"/>
        <v>1504.3077583895872</v>
      </c>
      <c r="Z5">
        <f t="shared" si="11"/>
        <v>1662.7077583895873</v>
      </c>
      <c r="AA5">
        <f t="shared" si="12"/>
        <v>4276.3077583895874</v>
      </c>
      <c r="AB5">
        <f t="shared" si="13"/>
        <v>0.75131480090157754</v>
      </c>
      <c r="AC5">
        <f t="shared" si="14"/>
        <v>1260.0358815849638</v>
      </c>
      <c r="AD5">
        <f t="shared" si="15"/>
        <v>1389.8630791807564</v>
      </c>
      <c r="AE5">
        <f t="shared" si="16"/>
        <v>3575.2875720432648</v>
      </c>
      <c r="AF5">
        <f t="shared" si="17"/>
        <v>1130.208683989171</v>
      </c>
      <c r="AG5">
        <f t="shared" si="18"/>
        <v>1249.2169484519811</v>
      </c>
      <c r="AH5">
        <f t="shared" si="19"/>
        <v>3212.8533120883444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0.49224161041270542</v>
      </c>
      <c r="V6">
        <f t="shared" si="8"/>
        <v>2289.1077583895872</v>
      </c>
      <c r="W6">
        <f t="shared" si="9"/>
        <v>2613.1077583895872</v>
      </c>
      <c r="X6">
        <f t="shared" si="1"/>
        <v>9244.3077583895883</v>
      </c>
      <c r="Y6">
        <f t="shared" si="10"/>
        <v>2058.7077583895875</v>
      </c>
      <c r="Z6">
        <f t="shared" si="11"/>
        <v>2346.7077583895875</v>
      </c>
      <c r="AA6">
        <f t="shared" si="12"/>
        <v>8315.5077583895873</v>
      </c>
      <c r="AB6">
        <f t="shared" si="13"/>
        <v>0.68301345536507052</v>
      </c>
      <c r="AC6">
        <f t="shared" si="14"/>
        <v>1563.4913997606629</v>
      </c>
      <c r="AD6">
        <f t="shared" si="15"/>
        <v>1784.7877592989457</v>
      </c>
      <c r="AE6">
        <f t="shared" si="16"/>
        <v>6313.986584515802</v>
      </c>
      <c r="AF6">
        <f t="shared" si="17"/>
        <v>1406.125099644551</v>
      </c>
      <c r="AG6">
        <f t="shared" si="18"/>
        <v>1602.8329747896912</v>
      </c>
      <c r="AH6">
        <f t="shared" si="19"/>
        <v>5679.6036871727238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0.49224161041270542</v>
      </c>
      <c r="V7">
        <f t="shared" si="8"/>
        <v>3131.5077583895873</v>
      </c>
      <c r="W7">
        <f t="shared" si="9"/>
        <v>3700.3077583895874</v>
      </c>
      <c r="X7">
        <f t="shared" si="1"/>
        <v>17805.107758389589</v>
      </c>
      <c r="Y7">
        <f t="shared" si="10"/>
        <v>2814.7077583895875</v>
      </c>
      <c r="Z7">
        <f t="shared" si="11"/>
        <v>3325.9077583895873</v>
      </c>
      <c r="AA7">
        <f t="shared" si="12"/>
        <v>16019.507758389587</v>
      </c>
      <c r="AB7">
        <f t="shared" si="13"/>
        <v>0.62092132305915493</v>
      </c>
      <c r="AC7">
        <f t="shared" si="14"/>
        <v>1944.4199405092709</v>
      </c>
      <c r="AD7">
        <f t="shared" si="15"/>
        <v>2297.5999890653184</v>
      </c>
      <c r="AE7">
        <f t="shared" si="16"/>
        <v>11055.571066550088</v>
      </c>
      <c r="AF7">
        <f t="shared" si="17"/>
        <v>1747.7120653641309</v>
      </c>
      <c r="AG7">
        <f t="shared" si="18"/>
        <v>2065.1270457119708</v>
      </c>
      <c r="AH7">
        <f t="shared" si="19"/>
        <v>9946.8539520956601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0.49224161041270542</v>
      </c>
      <c r="V8">
        <f t="shared" si="8"/>
        <v>4276.3077583895874</v>
      </c>
      <c r="W8">
        <f t="shared" si="9"/>
        <v>5233.9077583895878</v>
      </c>
      <c r="X8">
        <f t="shared" si="1"/>
        <v>33551.507758389591</v>
      </c>
      <c r="Y8">
        <f t="shared" si="10"/>
        <v>3844.3077583895874</v>
      </c>
      <c r="Z8">
        <f t="shared" si="11"/>
        <v>4708.3077583895874</v>
      </c>
      <c r="AA8">
        <f t="shared" si="12"/>
        <v>30196.307758389587</v>
      </c>
      <c r="AB8">
        <f t="shared" si="13"/>
        <v>0.56447393005377722</v>
      </c>
      <c r="AC8">
        <f t="shared" si="14"/>
        <v>2413.8642464976288</v>
      </c>
      <c r="AD8">
        <f t="shared" si="15"/>
        <v>2954.4044819171263</v>
      </c>
      <c r="AE8">
        <f t="shared" si="16"/>
        <v>18938.95144360797</v>
      </c>
      <c r="AF8">
        <f t="shared" si="17"/>
        <v>2170.0115087143972</v>
      </c>
      <c r="AG8">
        <f t="shared" si="18"/>
        <v>2657.7169842808607</v>
      </c>
      <c r="AH8">
        <f t="shared" si="19"/>
        <v>17045.028513491532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0.49224161041270542</v>
      </c>
      <c r="V9">
        <f t="shared" si="8"/>
        <v>5853.1077583895876</v>
      </c>
      <c r="W9">
        <f t="shared" si="9"/>
        <v>7393.9077583895878</v>
      </c>
      <c r="X9">
        <f t="shared" si="1"/>
        <v>60285.107758389589</v>
      </c>
      <c r="Y9">
        <f t="shared" si="10"/>
        <v>5262.7077583895871</v>
      </c>
      <c r="Z9">
        <f t="shared" si="11"/>
        <v>6652.3077583895874</v>
      </c>
      <c r="AA9">
        <f t="shared" si="12"/>
        <v>54251.507758389591</v>
      </c>
      <c r="AB9">
        <f t="shared" si="13"/>
        <v>0.51315811823070645</v>
      </c>
      <c r="AC9">
        <f t="shared" si="14"/>
        <v>3003.5697630967493</v>
      </c>
      <c r="AD9">
        <f t="shared" si="15"/>
        <v>3794.2437916666217</v>
      </c>
      <c r="AE9">
        <f t="shared" si="16"/>
        <v>30935.792454630562</v>
      </c>
      <c r="AF9">
        <f t="shared" si="17"/>
        <v>2700.6012100933399</v>
      </c>
      <c r="AG9">
        <f t="shared" si="18"/>
        <v>3413.6857311867298</v>
      </c>
      <c r="AH9">
        <f t="shared" si="19"/>
        <v>27839.601632473776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0.49224161041270542</v>
      </c>
      <c r="V10">
        <f t="shared" si="8"/>
        <v>7984.3077583895874</v>
      </c>
      <c r="W10">
        <f t="shared" si="9"/>
        <v>10410.707758389588</v>
      </c>
      <c r="X10">
        <f t="shared" si="1"/>
        <v>99071.507758389591</v>
      </c>
      <c r="Y10">
        <f t="shared" si="10"/>
        <v>7185.1077583895876</v>
      </c>
      <c r="Z10">
        <f t="shared" si="11"/>
        <v>9366.707758389588</v>
      </c>
      <c r="AA10">
        <f t="shared" si="12"/>
        <v>89164.307758389594</v>
      </c>
      <c r="AB10">
        <f t="shared" si="13"/>
        <v>0.46650738020973315</v>
      </c>
      <c r="AC10">
        <f t="shared" si="14"/>
        <v>3724.7384951545732</v>
      </c>
      <c r="AD10">
        <f t="shared" si="15"/>
        <v>4856.6720024954702</v>
      </c>
      <c r="AE10">
        <f t="shared" si="16"/>
        <v>46217.589537794578</v>
      </c>
      <c r="AF10">
        <f t="shared" si="17"/>
        <v>3351.9057968909547</v>
      </c>
      <c r="AG10">
        <f t="shared" si="18"/>
        <v>4369.6382975565084</v>
      </c>
      <c r="AH10">
        <f t="shared" si="19"/>
        <v>41595.807620580716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0.49224161041270542</v>
      </c>
      <c r="V11">
        <f t="shared" si="8"/>
        <v>10864.307758389588</v>
      </c>
      <c r="W11">
        <f t="shared" si="9"/>
        <v>14601.107758389588</v>
      </c>
      <c r="X11">
        <f t="shared" si="1"/>
        <v>140521.90775838957</v>
      </c>
      <c r="Y11">
        <f t="shared" si="10"/>
        <v>9777.1077583895876</v>
      </c>
      <c r="Z11">
        <f t="shared" si="11"/>
        <v>13139.507758389587</v>
      </c>
      <c r="AA11">
        <f t="shared" si="12"/>
        <v>126467.50775838959</v>
      </c>
      <c r="AB11">
        <f t="shared" si="13"/>
        <v>0.42409761837248466</v>
      </c>
      <c r="AC11">
        <f t="shared" si="14"/>
        <v>4607.527045598732</v>
      </c>
      <c r="AD11">
        <f t="shared" si="15"/>
        <v>6192.2950259330328</v>
      </c>
      <c r="AE11">
        <f t="shared" si="16"/>
        <v>59595.00640949099</v>
      </c>
      <c r="AF11">
        <f t="shared" si="17"/>
        <v>4146.4481149041667</v>
      </c>
      <c r="AG11">
        <f t="shared" si="18"/>
        <v>5572.4339469198085</v>
      </c>
      <c r="AH11">
        <f t="shared" si="19"/>
        <v>53634.56884183675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0.49224161041270542</v>
      </c>
      <c r="V12">
        <f t="shared" si="8"/>
        <v>14716.307758389588</v>
      </c>
      <c r="W12">
        <f t="shared" si="9"/>
        <v>20317.907758389589</v>
      </c>
      <c r="X12">
        <f t="shared" si="1"/>
        <v>165405.10775838958</v>
      </c>
      <c r="Y12">
        <f t="shared" si="10"/>
        <v>13240.307758389588</v>
      </c>
      <c r="Z12">
        <f t="shared" si="11"/>
        <v>18280.307758389587</v>
      </c>
      <c r="AA12">
        <f t="shared" si="12"/>
        <v>148859.50775838958</v>
      </c>
      <c r="AB12">
        <f t="shared" si="13"/>
        <v>0.38554328942953148</v>
      </c>
      <c r="AC12">
        <f t="shared" si="14"/>
        <v>5673.7737014268569</v>
      </c>
      <c r="AD12">
        <f t="shared" si="15"/>
        <v>7833.4329914953205</v>
      </c>
      <c r="AE12">
        <f t="shared" si="16"/>
        <v>63770.829333615635</v>
      </c>
      <c r="AF12">
        <f t="shared" si="17"/>
        <v>5104.7118062288682</v>
      </c>
      <c r="AG12">
        <f t="shared" si="18"/>
        <v>7047.8499849537066</v>
      </c>
      <c r="AH12">
        <f t="shared" si="19"/>
        <v>57391.784284030378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0.49224161041270542</v>
      </c>
      <c r="V13">
        <f t="shared" si="8"/>
        <v>19806.707758389588</v>
      </c>
      <c r="W13">
        <f t="shared" si="9"/>
        <v>27985.907758389589</v>
      </c>
      <c r="X13">
        <f t="shared" si="1"/>
        <v>170733.10775838958</v>
      </c>
      <c r="Y13">
        <f t="shared" si="10"/>
        <v>17819.507758389587</v>
      </c>
      <c r="Z13">
        <f t="shared" si="11"/>
        <v>25185.107758389589</v>
      </c>
      <c r="AA13">
        <f t="shared" si="12"/>
        <v>153654.70775838959</v>
      </c>
      <c r="AB13">
        <f t="shared" si="13"/>
        <v>0.3504938994813922</v>
      </c>
      <c r="AC13">
        <f t="shared" si="14"/>
        <v>6942.1302381263113</v>
      </c>
      <c r="AD13">
        <f t="shared" si="15"/>
        <v>9808.8899407645149</v>
      </c>
      <c r="AE13">
        <f t="shared" si="16"/>
        <v>59840.9127088147</v>
      </c>
      <c r="AF13">
        <f t="shared" si="17"/>
        <v>6245.6287610768886</v>
      </c>
      <c r="AG13">
        <f t="shared" si="18"/>
        <v>8827.2266270970322</v>
      </c>
      <c r="AH13">
        <f t="shared" si="19"/>
        <v>53855.037695911691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0.49224161041270542</v>
      </c>
      <c r="V14">
        <f t="shared" si="8"/>
        <v>26437.907758389589</v>
      </c>
      <c r="W14">
        <f t="shared" si="9"/>
        <v>38022.707758389595</v>
      </c>
      <c r="X14">
        <f t="shared" si="1"/>
        <v>170977.90775838957</v>
      </c>
      <c r="Y14">
        <f t="shared" si="10"/>
        <v>23788.307758389587</v>
      </c>
      <c r="Z14">
        <f t="shared" si="11"/>
        <v>34213.907758389592</v>
      </c>
      <c r="AA14">
        <f t="shared" si="12"/>
        <v>153877.90775838957</v>
      </c>
      <c r="AB14">
        <f t="shared" si="13"/>
        <v>0.31863081771035656</v>
      </c>
      <c r="AC14">
        <f t="shared" si="14"/>
        <v>8423.9321676066538</v>
      </c>
      <c r="AD14">
        <f t="shared" si="15"/>
        <v>12115.206464617595</v>
      </c>
      <c r="AE14">
        <f t="shared" si="16"/>
        <v>54478.830559461589</v>
      </c>
      <c r="AF14">
        <f t="shared" si="17"/>
        <v>7579.687953001293</v>
      </c>
      <c r="AG14">
        <f t="shared" si="18"/>
        <v>10901.605406122388</v>
      </c>
      <c r="AH14">
        <f t="shared" si="19"/>
        <v>49030.243576614492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0.49224161041270542</v>
      </c>
      <c r="V15">
        <f t="shared" si="8"/>
        <v>34912.307758389594</v>
      </c>
      <c r="W15">
        <f t="shared" si="9"/>
        <v>50701.907758389592</v>
      </c>
      <c r="X15">
        <f t="shared" si="1"/>
        <v>171021.10775838958</v>
      </c>
      <c r="Y15">
        <f t="shared" si="10"/>
        <v>31420.307758389587</v>
      </c>
      <c r="Z15">
        <f t="shared" si="11"/>
        <v>45625.907758389592</v>
      </c>
      <c r="AA15">
        <f t="shared" si="12"/>
        <v>153913.90775838957</v>
      </c>
      <c r="AB15">
        <f t="shared" si="13"/>
        <v>0.28966437973668779</v>
      </c>
      <c r="AC15">
        <f t="shared" si="14"/>
        <v>10112.851972010274</v>
      </c>
      <c r="AD15">
        <f t="shared" si="15"/>
        <v>14686.536662300679</v>
      </c>
      <c r="AE15">
        <f t="shared" si="16"/>
        <v>49538.723100715164</v>
      </c>
      <c r="AF15">
        <f t="shared" si="17"/>
        <v>9101.3439579697588</v>
      </c>
      <c r="AG15">
        <f t="shared" si="18"/>
        <v>13216.200270757252</v>
      </c>
      <c r="AH15">
        <f t="shared" si="19"/>
        <v>44583.376623683696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0.49224161041270542</v>
      </c>
      <c r="V16">
        <f t="shared" si="8"/>
        <v>45438.707758389595</v>
      </c>
      <c r="W16">
        <f t="shared" si="9"/>
        <v>65994.707758389588</v>
      </c>
      <c r="X16">
        <f t="shared" si="1"/>
        <v>171042.70775838959</v>
      </c>
      <c r="Y16">
        <f t="shared" si="10"/>
        <v>40888.307758389594</v>
      </c>
      <c r="Z16">
        <f t="shared" si="11"/>
        <v>59392.307758389594</v>
      </c>
      <c r="AA16">
        <f t="shared" si="12"/>
        <v>153935.50775838958</v>
      </c>
      <c r="AB16">
        <f t="shared" si="13"/>
        <v>0.26333125430607973</v>
      </c>
      <c r="AC16">
        <f t="shared" si="14"/>
        <v>11965.431908064129</v>
      </c>
      <c r="AD16">
        <f t="shared" si="15"/>
        <v>17378.469171579902</v>
      </c>
      <c r="AE16">
        <f t="shared" si="16"/>
        <v>45040.890773924963</v>
      </c>
      <c r="AF16">
        <f t="shared" si="17"/>
        <v>10767.169368469744</v>
      </c>
      <c r="AG16">
        <f t="shared" si="18"/>
        <v>15639.850898149441</v>
      </c>
      <c r="AH16">
        <f t="shared" si="19"/>
        <v>40536.030340259997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0.49224161041270542</v>
      </c>
      <c r="V17">
        <f t="shared" si="8"/>
        <v>58089.107758389589</v>
      </c>
      <c r="W17">
        <f t="shared" si="9"/>
        <v>83375.507758389591</v>
      </c>
      <c r="X17">
        <f t="shared" si="1"/>
        <v>171057.10775838958</v>
      </c>
      <c r="Y17">
        <f t="shared" si="10"/>
        <v>52278.707758389595</v>
      </c>
      <c r="Z17">
        <f t="shared" si="11"/>
        <v>75037.9077583896</v>
      </c>
      <c r="AA17">
        <f t="shared" si="12"/>
        <v>153949.90775838957</v>
      </c>
      <c r="AB17">
        <f t="shared" si="13"/>
        <v>0.23939204936916339</v>
      </c>
      <c r="AC17">
        <f t="shared" si="14"/>
        <v>13906.070552307052</v>
      </c>
      <c r="AD17">
        <f t="shared" si="15"/>
        <v>19959.433669475467</v>
      </c>
      <c r="AE17">
        <f t="shared" si="16"/>
        <v>40949.711585442703</v>
      </c>
      <c r="AF17">
        <f t="shared" si="17"/>
        <v>12515.106988652467</v>
      </c>
      <c r="AG17">
        <f t="shared" si="18"/>
        <v>17963.478518655131</v>
      </c>
      <c r="AH17">
        <f t="shared" si="19"/>
        <v>36854.383918474545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0.49224161041270542</v>
      </c>
      <c r="V18">
        <f t="shared" si="8"/>
        <v>72625.9077583896</v>
      </c>
      <c r="W18">
        <f t="shared" si="9"/>
        <v>101706.70775838959</v>
      </c>
      <c r="X18">
        <f t="shared" si="1"/>
        <v>171064.30775838959</v>
      </c>
      <c r="Y18">
        <f t="shared" si="10"/>
        <v>65361.107758389589</v>
      </c>
      <c r="Z18">
        <f t="shared" si="11"/>
        <v>91533.107758389597</v>
      </c>
      <c r="AA18">
        <f t="shared" si="12"/>
        <v>153957.10775838958</v>
      </c>
      <c r="AB18">
        <f t="shared" si="13"/>
        <v>0.21762913579014853</v>
      </c>
      <c r="AC18">
        <f t="shared" si="14"/>
        <v>15805.513541433373</v>
      </c>
      <c r="AD18">
        <f t="shared" si="15"/>
        <v>22134.342913519522</v>
      </c>
      <c r="AE18">
        <f t="shared" si="16"/>
        <v>37228.577461998328</v>
      </c>
      <c r="AF18">
        <f t="shared" si="17"/>
        <v>14224.481395745099</v>
      </c>
      <c r="AG18">
        <f t="shared" si="18"/>
        <v>19920.271137644868</v>
      </c>
      <c r="AH18">
        <f t="shared" si="19"/>
        <v>33505.552310209096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0.49224161041270542</v>
      </c>
      <c r="V19">
        <f t="shared" si="8"/>
        <v>88465.9077583896</v>
      </c>
      <c r="W19">
        <f t="shared" si="9"/>
        <v>119389.9077583896</v>
      </c>
      <c r="X19">
        <f t="shared" si="1"/>
        <v>171064.30775838959</v>
      </c>
      <c r="Y19">
        <f t="shared" si="10"/>
        <v>79617.107758389597</v>
      </c>
      <c r="Z19">
        <f t="shared" si="11"/>
        <v>107445.1077583896</v>
      </c>
      <c r="AA19">
        <f t="shared" si="12"/>
        <v>153957.10775838958</v>
      </c>
      <c r="AB19">
        <f t="shared" si="13"/>
        <v>0.19784466890013502</v>
      </c>
      <c r="AC19">
        <f t="shared" si="14"/>
        <v>17502.508229408475</v>
      </c>
      <c r="AD19">
        <f t="shared" si="15"/>
        <v>23620.656770476253</v>
      </c>
      <c r="AE19">
        <f t="shared" si="16"/>
        <v>33844.161329089387</v>
      </c>
      <c r="AF19">
        <f t="shared" si="17"/>
        <v>15751.820323244961</v>
      </c>
      <c r="AG19">
        <f t="shared" si="18"/>
        <v>21257.441769397919</v>
      </c>
      <c r="AH19">
        <f t="shared" si="19"/>
        <v>30459.593009280998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0.49224161041270542</v>
      </c>
      <c r="V20">
        <f t="shared" si="8"/>
        <v>104651.50775838959</v>
      </c>
      <c r="W20">
        <f t="shared" si="9"/>
        <v>134855.50775838958</v>
      </c>
      <c r="X20">
        <f t="shared" si="1"/>
        <v>171071.50775838958</v>
      </c>
      <c r="Y20">
        <f t="shared" si="10"/>
        <v>94182.707758389588</v>
      </c>
      <c r="Z20">
        <f t="shared" si="11"/>
        <v>121369.9077583896</v>
      </c>
      <c r="AA20">
        <f t="shared" si="12"/>
        <v>153964.30775838959</v>
      </c>
      <c r="AB20">
        <f t="shared" si="13"/>
        <v>0.17985878990921364</v>
      </c>
      <c r="AC20">
        <f t="shared" si="14"/>
        <v>18822.493547598635</v>
      </c>
      <c r="AD20">
        <f t="shared" si="15"/>
        <v>24254.94843801652</v>
      </c>
      <c r="AE20">
        <f t="shared" si="16"/>
        <v>30768.714373368603</v>
      </c>
      <c r="AF20">
        <f t="shared" si="17"/>
        <v>16939.587847797058</v>
      </c>
      <c r="AG20">
        <f t="shared" si="18"/>
        <v>21829.444740816834</v>
      </c>
      <c r="AH20">
        <f t="shared" si="19"/>
        <v>27691.834082633704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0.49224161041270542</v>
      </c>
      <c r="V21">
        <f t="shared" si="8"/>
        <v>120052.30775838959</v>
      </c>
      <c r="W21">
        <f t="shared" si="9"/>
        <v>147102.70775838959</v>
      </c>
      <c r="X21">
        <f t="shared" si="1"/>
        <v>171071.50775838958</v>
      </c>
      <c r="Y21">
        <f t="shared" si="10"/>
        <v>108042.70775838959</v>
      </c>
      <c r="Z21">
        <f t="shared" si="11"/>
        <v>132385.90775838957</v>
      </c>
      <c r="AA21">
        <f t="shared" si="12"/>
        <v>153964.30775838959</v>
      </c>
      <c r="AB21">
        <f t="shared" si="13"/>
        <v>0.16350799082655781</v>
      </c>
      <c r="AC21">
        <f t="shared" si="14"/>
        <v>19629.511635665862</v>
      </c>
      <c r="AD21">
        <f t="shared" si="15"/>
        <v>24052.468190720581</v>
      </c>
      <c r="AE21">
        <f t="shared" si="16"/>
        <v>27971.558521244177</v>
      </c>
      <c r="AF21">
        <f t="shared" si="17"/>
        <v>17665.846069035233</v>
      </c>
      <c r="AG21">
        <f t="shared" si="18"/>
        <v>21646.15379132429</v>
      </c>
      <c r="AH21">
        <f t="shared" si="19"/>
        <v>25174.394620576091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0.49224161041270542</v>
      </c>
      <c r="V22">
        <f t="shared" si="8"/>
        <v>133624.30775838959</v>
      </c>
      <c r="W22">
        <f t="shared" si="9"/>
        <v>155937.10775838958</v>
      </c>
      <c r="X22">
        <f t="shared" si="1"/>
        <v>171071.50775838958</v>
      </c>
      <c r="Y22">
        <f t="shared" si="10"/>
        <v>120261.1077583896</v>
      </c>
      <c r="Z22">
        <f t="shared" si="11"/>
        <v>140341.90775838957</v>
      </c>
      <c r="AA22">
        <f t="shared" si="12"/>
        <v>153964.30775838959</v>
      </c>
      <c r="AB22">
        <f t="shared" si="13"/>
        <v>0.14864362802414349</v>
      </c>
      <c r="AC22">
        <f t="shared" si="14"/>
        <v>19862.401897421732</v>
      </c>
      <c r="AD22">
        <f t="shared" si="15"/>
        <v>23179.057440798842</v>
      </c>
      <c r="AE22">
        <f t="shared" si="16"/>
        <v>25428.689564767439</v>
      </c>
      <c r="AF22">
        <f t="shared" si="17"/>
        <v>17876.047367409501</v>
      </c>
      <c r="AG22">
        <f t="shared" si="18"/>
        <v>20860.930333036718</v>
      </c>
      <c r="AH22">
        <f t="shared" si="19"/>
        <v>22885.813291432813</v>
      </c>
    </row>
    <row r="25" spans="1:34" x14ac:dyDescent="0.25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zoomScale="40" zoomScaleNormal="40" workbookViewId="0">
      <pane xSplit="1" topLeftCell="B1" activePane="topRight" state="frozen"/>
      <selection pane="topRight" activeCell="N38" sqref="N38"/>
    </sheetView>
  </sheetViews>
  <sheetFormatPr defaultRowHeight="15.75" x14ac:dyDescent="0.25"/>
  <cols>
    <col min="1" max="1" width="51" style="24" customWidth="1"/>
    <col min="2" max="2" width="21.42578125" style="24" customWidth="1"/>
    <col min="3" max="3" width="35" style="24" customWidth="1"/>
    <col min="4" max="4" width="37.42578125" style="24" customWidth="1"/>
    <col min="5" max="5" width="37.85546875" style="24" customWidth="1"/>
    <col min="6" max="6" width="39.85546875" style="24" customWidth="1"/>
    <col min="7" max="7" width="38.28515625" style="24" customWidth="1"/>
    <col min="8" max="8" width="36.85546875" style="24" customWidth="1"/>
    <col min="9" max="9" width="41.140625" style="24" customWidth="1"/>
    <col min="10" max="10" width="43.28515625" style="24" customWidth="1"/>
    <col min="11" max="11" width="42.42578125" style="24" customWidth="1"/>
    <col min="12" max="12" width="56.140625" style="24" customWidth="1"/>
    <col min="13" max="13" width="51.85546875" style="24" customWidth="1"/>
    <col min="14" max="14" width="55.28515625" style="24" customWidth="1"/>
    <col min="15" max="15" width="55.5703125" style="24" customWidth="1"/>
    <col min="16" max="16384" width="9.140625" style="24"/>
  </cols>
  <sheetData>
    <row r="1" spans="1:15" ht="54.95" customHeight="1" x14ac:dyDescent="0.3">
      <c r="A1" s="25" t="s">
        <v>23</v>
      </c>
      <c r="B1" s="26" t="s">
        <v>24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69</v>
      </c>
      <c r="H1" s="26" t="s">
        <v>70</v>
      </c>
      <c r="I1" s="26" t="s">
        <v>71</v>
      </c>
      <c r="J1" s="26" t="s">
        <v>72</v>
      </c>
      <c r="K1" s="26" t="s">
        <v>73</v>
      </c>
      <c r="L1" s="26" t="s">
        <v>74</v>
      </c>
      <c r="M1" s="26" t="s">
        <v>75</v>
      </c>
      <c r="N1" s="26" t="s">
        <v>76</v>
      </c>
      <c r="O1" s="26" t="s">
        <v>77</v>
      </c>
    </row>
    <row r="2" spans="1:15" ht="54.95" customHeight="1" x14ac:dyDescent="0.4">
      <c r="A2" s="26" t="s">
        <v>24</v>
      </c>
      <c r="B2" s="27">
        <v>0</v>
      </c>
      <c r="C2" s="28">
        <f>CAPEX!$W3</f>
        <v>257876.76484436693</v>
      </c>
      <c r="D2" s="28">
        <f>CAPEX!$W4</f>
        <v>216506.82213135384</v>
      </c>
      <c r="E2" s="28">
        <f>CAPEX!$W5</f>
        <v>146245.86534054048</v>
      </c>
      <c r="F2" s="28">
        <f>CAPEX!$W6</f>
        <v>290423.53200720716</v>
      </c>
      <c r="G2" s="28">
        <f>CAPEX!$W7</f>
        <v>327151.15546468715</v>
      </c>
      <c r="H2" s="28">
        <f>CAPEX!$W8</f>
        <v>265120.14262214472</v>
      </c>
      <c r="I2" s="28">
        <f>CAPEX!$W9</f>
        <v>216224.75546468716</v>
      </c>
      <c r="J2" s="28">
        <f>CAPEX!$W10</f>
        <v>216671.03200720716</v>
      </c>
      <c r="K2" s="28">
        <f>CAPEX!$W11</f>
        <v>215033.95413371181</v>
      </c>
      <c r="L2" s="28">
        <f>CAPEX!$W12</f>
        <v>178789.18073992687</v>
      </c>
      <c r="M2" s="28">
        <f>CAPEX!$W13</f>
        <v>238085.80071821815</v>
      </c>
      <c r="N2" s="28">
        <f>CAPEX!$W14</f>
        <v>247844.95413371181</v>
      </c>
      <c r="O2" s="28">
        <f>CAPEX!$W15</f>
        <v>196666.48111821816</v>
      </c>
    </row>
    <row r="3" spans="1:15" ht="54.95" customHeight="1" x14ac:dyDescent="0.4">
      <c r="A3" s="26" t="s">
        <v>65</v>
      </c>
      <c r="B3" s="29">
        <v>9.9999999999999997E+98</v>
      </c>
      <c r="C3" s="27">
        <v>0</v>
      </c>
      <c r="D3" s="28">
        <f>CAPEX!R4-CAPEX!R3+CAPEX!S4-CAPEX!S3+CAPEX!T4-CAPEX!T3+CAPEX!U4</f>
        <v>117183.65728698694</v>
      </c>
      <c r="E3" s="29">
        <v>1E+100</v>
      </c>
      <c r="F3" s="29">
        <v>1E+100</v>
      </c>
      <c r="G3" s="28">
        <f>CAPEX!R7-CAPEX!R3+CAPEX!S7-CAPEX!S3+CAPEX!T7-CAPEX!T3+CAPEX!U7</f>
        <v>227827.99062032028</v>
      </c>
      <c r="H3" s="28">
        <f>H2-C2</f>
        <v>7243.3777777777868</v>
      </c>
      <c r="I3" s="28">
        <f>D3+(I2-D2)</f>
        <v>116901.59062032026</v>
      </c>
      <c r="J3" s="29">
        <v>9.9999999999999997E+98</v>
      </c>
      <c r="K3" s="29">
        <v>9.9999999999999997E+98</v>
      </c>
      <c r="L3" s="29">
        <v>9.9999999999999997E+98</v>
      </c>
      <c r="M3" s="29">
        <v>9.9999999999999997E+98</v>
      </c>
      <c r="N3" s="29">
        <v>9.9999999999999997E+98</v>
      </c>
      <c r="O3" s="29">
        <v>9.9999999999999997E+98</v>
      </c>
    </row>
    <row r="4" spans="1:15" ht="54.95" customHeight="1" x14ac:dyDescent="0.4">
      <c r="A4" s="26" t="s">
        <v>66</v>
      </c>
      <c r="B4" s="29">
        <v>9.9999999999999997E+98</v>
      </c>
      <c r="C4" s="29">
        <v>9.9999999999999997E+98</v>
      </c>
      <c r="D4" s="27">
        <v>0</v>
      </c>
      <c r="E4" s="29">
        <v>1E+100</v>
      </c>
      <c r="F4" s="29">
        <v>1E+100</v>
      </c>
      <c r="G4" s="28">
        <f>G2-D2</f>
        <v>110644.33333333331</v>
      </c>
      <c r="H4" s="29">
        <v>9.9999999999999997E+98</v>
      </c>
      <c r="I4" s="28">
        <f>I2-D2</f>
        <v>-282.06666666668025</v>
      </c>
      <c r="J4" s="29">
        <v>9.9999999999999997E+98</v>
      </c>
      <c r="K4" s="29">
        <v>9.9999999999999997E+98</v>
      </c>
      <c r="L4" s="29">
        <v>9.9999999999999997E+98</v>
      </c>
      <c r="M4" s="29">
        <v>9.9999999999999997E+98</v>
      </c>
      <c r="N4" s="29">
        <v>9.9999999999999997E+98</v>
      </c>
      <c r="O4" s="29">
        <v>9.9999999999999997E+98</v>
      </c>
    </row>
    <row r="5" spans="1:15" ht="54.95" customHeight="1" x14ac:dyDescent="0.4">
      <c r="A5" s="26" t="s">
        <v>67</v>
      </c>
      <c r="B5" s="29">
        <v>9.9999999999999997E+98</v>
      </c>
      <c r="C5" s="29">
        <v>9.9999999999999997E+98</v>
      </c>
      <c r="D5" s="29">
        <v>9.9999999999999997E+98</v>
      </c>
      <c r="E5" s="27">
        <v>0</v>
      </c>
      <c r="F5" s="28">
        <f>F2-E2</f>
        <v>144177.66666666669</v>
      </c>
      <c r="G5" s="29">
        <v>9.9999999999999997E+98</v>
      </c>
      <c r="H5" s="29">
        <v>9.9999999999999997E+98</v>
      </c>
      <c r="I5" s="29">
        <v>9.9999999999999997E+98</v>
      </c>
      <c r="J5" s="28">
        <f>J2-E2</f>
        <v>70425.166666666686</v>
      </c>
      <c r="K5" s="29">
        <v>9.9999999999999997E+98</v>
      </c>
      <c r="L5" s="29">
        <v>9.9999999999999997E+98</v>
      </c>
      <c r="M5" s="29">
        <v>9.9999999999999997E+98</v>
      </c>
      <c r="N5" s="29">
        <v>9.9999999999999997E+98</v>
      </c>
      <c r="O5" s="29">
        <v>9.9999999999999997E+98</v>
      </c>
    </row>
    <row r="6" spans="1:15" ht="54.95" customHeight="1" x14ac:dyDescent="0.4">
      <c r="A6" s="26" t="s">
        <v>68</v>
      </c>
      <c r="B6" s="29">
        <v>9.9999999999999997E+98</v>
      </c>
      <c r="C6" s="29">
        <v>9.9999999999999997E+98</v>
      </c>
      <c r="D6" s="29">
        <v>9.9999999999999997E+98</v>
      </c>
      <c r="E6" s="29">
        <v>9.9999999999999997E+98</v>
      </c>
      <c r="F6" s="27">
        <v>0</v>
      </c>
      <c r="G6" s="29">
        <v>9.9999999999999997E+98</v>
      </c>
      <c r="H6" s="29">
        <v>9.9999999999999997E+98</v>
      </c>
      <c r="I6" s="29">
        <v>9.9999999999999997E+98</v>
      </c>
      <c r="J6" s="29">
        <v>9.9999999999999997E+98</v>
      </c>
      <c r="K6" s="29">
        <v>9.9999999999999997E+98</v>
      </c>
      <c r="L6" s="29">
        <v>9.9999999999999997E+98</v>
      </c>
      <c r="M6" s="29">
        <v>9.9999999999999997E+98</v>
      </c>
      <c r="N6" s="29">
        <v>9.9999999999999997E+98</v>
      </c>
      <c r="O6" s="29">
        <v>9.9999999999999997E+98</v>
      </c>
    </row>
    <row r="7" spans="1:15" ht="54.95" customHeight="1" x14ac:dyDescent="0.4">
      <c r="A7" s="26" t="s">
        <v>69</v>
      </c>
      <c r="B7" s="29">
        <v>9.9999999999999997E+98</v>
      </c>
      <c r="C7" s="29">
        <v>9.9999999999999997E+98</v>
      </c>
      <c r="D7" s="29">
        <v>9.9999999999999997E+98</v>
      </c>
      <c r="E7" s="29">
        <v>9.9999999999999997E+98</v>
      </c>
      <c r="F7" s="29">
        <v>9.9999999999999997E+98</v>
      </c>
      <c r="G7" s="27">
        <v>0</v>
      </c>
      <c r="H7" s="29">
        <v>9.9999999999999997E+98</v>
      </c>
      <c r="I7" s="29">
        <v>9.9999999999999997E+98</v>
      </c>
      <c r="J7" s="29">
        <v>9.9999999999999997E+98</v>
      </c>
      <c r="K7" s="29">
        <v>9.9999999999999997E+98</v>
      </c>
      <c r="L7" s="29">
        <v>9.9999999999999997E+98</v>
      </c>
      <c r="M7" s="29">
        <v>9.9999999999999997E+98</v>
      </c>
      <c r="N7" s="29">
        <v>9.9999999999999997E+98</v>
      </c>
      <c r="O7" s="29">
        <v>9.9999999999999997E+98</v>
      </c>
    </row>
    <row r="8" spans="1:15" ht="54.95" customHeight="1" x14ac:dyDescent="0.4">
      <c r="A8" s="26" t="s">
        <v>70</v>
      </c>
      <c r="B8" s="29">
        <v>9.9999999999999997E+98</v>
      </c>
      <c r="C8" s="29">
        <v>9.9999999999999997E+98</v>
      </c>
      <c r="D8" s="29">
        <v>9.9999999999999997E+98</v>
      </c>
      <c r="E8" s="29">
        <v>9.9999999999999997E+98</v>
      </c>
      <c r="F8" s="29">
        <v>9.9999999999999997E+98</v>
      </c>
      <c r="G8" s="28">
        <f>CAPEX!R7-CAPEX!R8+CAPEX!S7-CAPEX!S8+CAPEX!T7-CAPEX!T8+CAPEX!U7</f>
        <v>225082.2128425425</v>
      </c>
      <c r="H8" s="27">
        <v>0</v>
      </c>
      <c r="I8" s="28">
        <f>CAPEX!R9-CAPEX!R8+CAPEX!S9-CAPEX!S8+CAPEX!T9-CAPEX!T8+CAPEX!U9</f>
        <v>114155.81284254248</v>
      </c>
      <c r="J8" s="29">
        <v>9.9999999999999997E+98</v>
      </c>
      <c r="K8" s="29">
        <v>9.9999999999999997E+98</v>
      </c>
      <c r="L8" s="29">
        <v>9.9999999999999997E+98</v>
      </c>
      <c r="M8" s="29">
        <v>9.9999999999999997E+98</v>
      </c>
      <c r="N8" s="29">
        <v>9.9999999999999997E+98</v>
      </c>
      <c r="O8" s="29">
        <v>9.9999999999999997E+98</v>
      </c>
    </row>
    <row r="9" spans="1:15" ht="54.95" customHeight="1" x14ac:dyDescent="0.4">
      <c r="A9" s="26" t="s">
        <v>71</v>
      </c>
      <c r="B9" s="29">
        <v>9.9999999999999997E+98</v>
      </c>
      <c r="C9" s="29">
        <v>9.9999999999999997E+98</v>
      </c>
      <c r="D9" s="29">
        <v>9.9999999999999997E+98</v>
      </c>
      <c r="E9" s="29">
        <v>9.9999999999999997E+98</v>
      </c>
      <c r="F9" s="29">
        <v>9.9999999999999997E+98</v>
      </c>
      <c r="G9" s="28">
        <f>G2-I2</f>
        <v>110926.39999999999</v>
      </c>
      <c r="H9" s="29">
        <v>9.9999999999999997E+98</v>
      </c>
      <c r="I9" s="27">
        <v>0</v>
      </c>
      <c r="J9" s="29">
        <v>9.9999999999999997E+98</v>
      </c>
      <c r="K9" s="29">
        <v>9.9999999999999997E+98</v>
      </c>
      <c r="L9" s="29">
        <v>9.9999999999999997E+98</v>
      </c>
      <c r="M9" s="29">
        <v>9.9999999999999997E+98</v>
      </c>
      <c r="N9" s="29">
        <v>9.9999999999999997E+98</v>
      </c>
      <c r="O9" s="29">
        <v>9.9999999999999997E+98</v>
      </c>
    </row>
    <row r="10" spans="1:15" ht="54.95" customHeight="1" x14ac:dyDescent="0.4">
      <c r="A10" s="26" t="s">
        <v>72</v>
      </c>
      <c r="B10" s="29">
        <v>9.9999999999999997E+98</v>
      </c>
      <c r="C10" s="29">
        <v>9.9999999999999997E+98</v>
      </c>
      <c r="D10" s="29">
        <v>9.9999999999999997E+98</v>
      </c>
      <c r="E10" s="29">
        <v>9.9999999999999997E+98</v>
      </c>
      <c r="F10" s="28">
        <f>F2-J2</f>
        <v>73752.5</v>
      </c>
      <c r="G10" s="29">
        <v>9.9999999999999997E+98</v>
      </c>
      <c r="H10" s="29">
        <v>9.9999999999999997E+98</v>
      </c>
      <c r="I10" s="29">
        <v>9.9999999999999997E+98</v>
      </c>
      <c r="J10" s="27">
        <v>0</v>
      </c>
      <c r="K10" s="29">
        <v>9.9999999999999997E+98</v>
      </c>
      <c r="L10" s="29">
        <v>9.9999999999999997E+98</v>
      </c>
      <c r="M10" s="29">
        <v>9.9999999999999997E+98</v>
      </c>
      <c r="N10" s="29">
        <v>9.9999999999999997E+98</v>
      </c>
      <c r="O10" s="29">
        <v>9.9999999999999997E+98</v>
      </c>
    </row>
    <row r="11" spans="1:15" ht="54.95" customHeight="1" x14ac:dyDescent="0.4">
      <c r="A11" s="26" t="s">
        <v>73</v>
      </c>
      <c r="B11" s="29">
        <v>9.9999999999999997E+98</v>
      </c>
      <c r="C11" s="29">
        <v>9.9999999999999997E+98</v>
      </c>
      <c r="D11" s="29">
        <v>9.9999999999999997E+98</v>
      </c>
      <c r="E11" s="29">
        <v>9.9999999999999997E+98</v>
      </c>
      <c r="F11" s="29">
        <v>9.9999999999999997E+98</v>
      </c>
      <c r="G11" s="29">
        <v>9.9999999999999997E+98</v>
      </c>
      <c r="H11" s="29">
        <v>9.9999999999999997E+98</v>
      </c>
      <c r="I11" s="29">
        <v>9.9999999999999997E+98</v>
      </c>
      <c r="J11" s="29">
        <v>9.9999999999999997E+98</v>
      </c>
      <c r="K11" s="27">
        <v>0</v>
      </c>
      <c r="L11" s="28">
        <f>CAPEX!R12-CAPEX!R11+CAPEX!S12-CAPEX!S11+CAPEX!T12-CAPEX!T11+CAPEX!U12</f>
        <v>59900.226606215045</v>
      </c>
      <c r="M11" s="28">
        <f>CAPEX!R13-CAPEX!R11+CAPEX!S13+CAPEX!T13-CAPEX!T11+CAPEX!U13</f>
        <v>119209.44081287664</v>
      </c>
      <c r="N11" s="28">
        <f>CAPEX!T14-CAPEX!T11+CAPEX!U14-CAPEX!U11</f>
        <v>32811</v>
      </c>
      <c r="O11" s="28">
        <f>IF(L11+(O2-L2)&gt;0,L11+(O2-L2),0)</f>
        <v>77777.52698450633</v>
      </c>
    </row>
    <row r="12" spans="1:15" ht="54.95" customHeight="1" x14ac:dyDescent="0.4">
      <c r="A12" s="26" t="s">
        <v>74</v>
      </c>
      <c r="B12" s="29">
        <v>9.9999999999999997E+98</v>
      </c>
      <c r="C12" s="29">
        <v>9.9999999999999997E+98</v>
      </c>
      <c r="D12" s="29">
        <v>9.9999999999999997E+98</v>
      </c>
      <c r="E12" s="29">
        <v>9.9999999999999997E+98</v>
      </c>
      <c r="F12" s="29">
        <v>9.9999999999999997E+98</v>
      </c>
      <c r="G12" s="29">
        <v>9.9999999999999997E+98</v>
      </c>
      <c r="H12" s="29">
        <v>9.9999999999999997E+98</v>
      </c>
      <c r="I12" s="29">
        <v>9.9999999999999997E+98</v>
      </c>
      <c r="J12" s="29">
        <v>9.9999999999999997E+98</v>
      </c>
      <c r="K12" s="29">
        <v>9.9999999999999997E+98</v>
      </c>
      <c r="L12" s="27">
        <v>0</v>
      </c>
      <c r="M12" s="28">
        <f>M2-L2</f>
        <v>59296.619978291274</v>
      </c>
      <c r="N12" s="29">
        <v>9.9999999999999997E+98</v>
      </c>
      <c r="O12" s="28">
        <f>O2-L2</f>
        <v>17877.300378291286</v>
      </c>
    </row>
    <row r="13" spans="1:15" ht="54.95" customHeight="1" x14ac:dyDescent="0.4">
      <c r="A13" s="26" t="s">
        <v>75</v>
      </c>
      <c r="B13" s="29">
        <v>9.9999999999999997E+98</v>
      </c>
      <c r="C13" s="29">
        <v>9.9999999999999997E+98</v>
      </c>
      <c r="D13" s="29">
        <v>9.9999999999999997E+98</v>
      </c>
      <c r="E13" s="29">
        <v>9.9999999999999997E+98</v>
      </c>
      <c r="F13" s="29">
        <v>9.9999999999999997E+98</v>
      </c>
      <c r="G13" s="29">
        <v>9.9999999999999997E+98</v>
      </c>
      <c r="H13" s="29">
        <v>9.9999999999999997E+98</v>
      </c>
      <c r="I13" s="29">
        <v>9.9999999999999997E+98</v>
      </c>
      <c r="J13" s="29">
        <v>9.9999999999999997E+98</v>
      </c>
      <c r="K13" s="29">
        <v>9.9999999999999997E+98</v>
      </c>
      <c r="L13" s="29">
        <v>9.9999999999999997E+98</v>
      </c>
      <c r="M13" s="27">
        <v>0</v>
      </c>
      <c r="N13" s="29">
        <v>9.9999999999999997E+98</v>
      </c>
      <c r="O13" s="29">
        <v>9.9999999999999997E+98</v>
      </c>
    </row>
    <row r="14" spans="1:15" ht="54.95" customHeight="1" x14ac:dyDescent="0.4">
      <c r="A14" s="26" t="s">
        <v>76</v>
      </c>
      <c r="B14" s="29">
        <v>9.9999999999999997E+98</v>
      </c>
      <c r="C14" s="29">
        <v>9.9999999999999997E+98</v>
      </c>
      <c r="D14" s="29">
        <v>9.9999999999999997E+98</v>
      </c>
      <c r="E14" s="29">
        <v>9.9999999999999997E+98</v>
      </c>
      <c r="F14" s="29">
        <v>9.9999999999999997E+98</v>
      </c>
      <c r="G14" s="29">
        <v>9.9999999999999997E+98</v>
      </c>
      <c r="H14" s="29">
        <v>9.9999999999999997E+98</v>
      </c>
      <c r="I14" s="29">
        <v>9.9999999999999997E+98</v>
      </c>
      <c r="J14" s="29">
        <v>9.9999999999999997E+98</v>
      </c>
      <c r="K14" s="29">
        <v>9.9999999999999997E+98</v>
      </c>
      <c r="L14" s="29">
        <v>9.9999999999999997E+98</v>
      </c>
      <c r="M14" s="28">
        <f>CAPEX!R13-CAPEX!R14+CAPEX!S13+CAPEX!T13+CAPEX!U13-CAPEX!U13</f>
        <v>14824.440812876637</v>
      </c>
      <c r="N14" s="27">
        <v>0</v>
      </c>
      <c r="O14" s="29">
        <v>9.9999999999999997E+98</v>
      </c>
    </row>
    <row r="15" spans="1:15" ht="54.95" customHeight="1" x14ac:dyDescent="0.4">
      <c r="A15" s="26" t="s">
        <v>77</v>
      </c>
      <c r="B15" s="29">
        <v>9.9999999999999997E+98</v>
      </c>
      <c r="C15" s="29">
        <v>9.9999999999999997E+98</v>
      </c>
      <c r="D15" s="29">
        <v>9.9999999999999997E+98</v>
      </c>
      <c r="E15" s="29">
        <v>9.9999999999999997E+98</v>
      </c>
      <c r="F15" s="29">
        <v>9.9999999999999997E+98</v>
      </c>
      <c r="G15" s="29">
        <v>9.9999999999999997E+98</v>
      </c>
      <c r="H15" s="29">
        <v>9.9999999999999997E+98</v>
      </c>
      <c r="I15" s="29">
        <v>9.9999999999999997E+98</v>
      </c>
      <c r="J15" s="29">
        <v>9.9999999999999997E+98</v>
      </c>
      <c r="K15" s="29">
        <v>9.9999999999999997E+98</v>
      </c>
      <c r="L15" s="29">
        <v>9.9999999999999997E+98</v>
      </c>
      <c r="M15" s="28">
        <f>M2-O2</f>
        <v>41419.319599999988</v>
      </c>
      <c r="N15" s="29">
        <v>9.9999999999999997E+98</v>
      </c>
      <c r="O15" s="27">
        <v>0</v>
      </c>
    </row>
    <row r="35" ht="45" customHeight="1" x14ac:dyDescent="0.25"/>
  </sheetData>
  <pageMargins left="0.98425196850393704" right="0.98425196850393704" top="0.98425196850393704" bottom="0.98425196850393704" header="0.51181102362204722" footer="0.51181102362204722"/>
  <pageSetup paperSize="9" scale="19" fitToHeight="4" orientation="landscape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X26" sqref="X26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CAPEX</vt:lpstr>
      <vt:lpstr>OPEX</vt:lpstr>
      <vt:lpstr>Revenue</vt:lpstr>
      <vt:lpstr>MIG_MATRIX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2018-09-13T15:16:13Z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