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ee\LRZ Sync+Share\PycharmProjects\mt_branch_new_code\tumlknexpectimax\tumlknexpectimax\excel_data\"/>
    </mc:Choice>
  </mc:AlternateContent>
  <xr:revisionPtr revIDLastSave="0" documentId="10_ncr:100000_{AF96C3F4-F4C0-477D-BA37-E708F19E2E60}" xr6:coauthVersionLast="31" xr6:coauthVersionMax="31" xr10:uidLastSave="{00000000-0000-0000-0000-000000000000}"/>
  <bookViews>
    <workbookView xWindow="480" yWindow="770" windowWidth="27800" windowHeight="13460" firstSheet="12" activeTab="14" xr2:uid="{00000000-000D-0000-FFFF-FFFF00000000}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Sheet1" sheetId="17" r:id="rId15"/>
    <sheet name="OPEX" sheetId="16" r:id="rId16"/>
  </sheets>
  <calcPr calcId="179017"/>
  <pivotCaches>
    <pivotCache cacheId="0" r:id="rId17"/>
    <pivotCache cacheId="3" r:id="rId18"/>
  </pivotCaches>
</workbook>
</file>

<file path=xl/calcChain.xml><?xml version="1.0" encoding="utf-8"?>
<calcChain xmlns="http://schemas.openxmlformats.org/spreadsheetml/2006/main">
  <c r="L9" i="12" l="1"/>
  <c r="L4" i="15"/>
  <c r="M4" i="15" s="1"/>
  <c r="Z10" i="14" l="1"/>
  <c r="Z9" i="14"/>
  <c r="Z8" i="14"/>
  <c r="Z7" i="14"/>
  <c r="Z6" i="14"/>
  <c r="Z5" i="14"/>
  <c r="Z4" i="14"/>
  <c r="Z3" i="14"/>
  <c r="Z2" i="14"/>
  <c r="Z10" i="13"/>
  <c r="Z9" i="13"/>
  <c r="Z8" i="13"/>
  <c r="Z7" i="13"/>
  <c r="Z6" i="13"/>
  <c r="Z5" i="13"/>
  <c r="Z4" i="13"/>
  <c r="Z3" i="13"/>
  <c r="Z2" i="13"/>
  <c r="Z10" i="12"/>
  <c r="Z9" i="12"/>
  <c r="Z8" i="12"/>
  <c r="Z7" i="12"/>
  <c r="Z6" i="12"/>
  <c r="Z5" i="12"/>
  <c r="Z4" i="12"/>
  <c r="Z3" i="12"/>
  <c r="Z2" i="12"/>
  <c r="Z10" i="11"/>
  <c r="Z9" i="11"/>
  <c r="Z8" i="11"/>
  <c r="Z7" i="11"/>
  <c r="Z6" i="11"/>
  <c r="Z5" i="11"/>
  <c r="Z4" i="11"/>
  <c r="Z3" i="11"/>
  <c r="Z2" i="11"/>
  <c r="V3" i="2"/>
  <c r="V4" i="2"/>
  <c r="V5" i="2"/>
  <c r="V6" i="2"/>
  <c r="V7" i="2"/>
  <c r="V8" i="2"/>
  <c r="V9" i="2"/>
  <c r="V10" i="2"/>
  <c r="N8" i="15" l="1"/>
  <c r="N9" i="15"/>
  <c r="N8" i="12"/>
  <c r="N9" i="12"/>
  <c r="N9" i="10"/>
  <c r="N10" i="10"/>
  <c r="N9" i="9"/>
  <c r="N10" i="9"/>
  <c r="N9" i="5"/>
  <c r="N10" i="5"/>
  <c r="N9" i="3"/>
  <c r="N10" i="3"/>
  <c r="G6" i="2"/>
  <c r="G7" i="2"/>
  <c r="G8" i="2"/>
  <c r="G9" i="2"/>
  <c r="G3" i="2"/>
  <c r="G4" i="2"/>
  <c r="G5" i="2"/>
  <c r="F2" i="10" l="1"/>
  <c r="V3" i="7"/>
  <c r="V4" i="7"/>
  <c r="V5" i="7"/>
  <c r="V6" i="7"/>
  <c r="V7" i="7"/>
  <c r="V8" i="7"/>
  <c r="V9" i="7"/>
  <c r="V10" i="7"/>
  <c r="V2" i="7"/>
  <c r="N8" i="7"/>
  <c r="D8" i="6"/>
  <c r="D5" i="6"/>
  <c r="F5" i="6" s="1"/>
  <c r="D4" i="6"/>
  <c r="F4" i="6" s="1"/>
  <c r="D2" i="6"/>
  <c r="F2" i="6" s="1"/>
  <c r="D3" i="6"/>
  <c r="F3" i="6" s="1"/>
  <c r="F6" i="6"/>
  <c r="F7" i="6"/>
  <c r="F8" i="6"/>
  <c r="F9" i="6"/>
  <c r="F10" i="6"/>
  <c r="L3" i="5"/>
  <c r="L4" i="5"/>
  <c r="L10" i="5"/>
  <c r="V3" i="3"/>
  <c r="V4" i="3"/>
  <c r="V5" i="3"/>
  <c r="V6" i="3"/>
  <c r="V7" i="3"/>
  <c r="V8" i="3"/>
  <c r="V9" i="3"/>
  <c r="V10" i="3"/>
  <c r="V2" i="3"/>
  <c r="N8" i="3"/>
  <c r="N10" i="2"/>
  <c r="N2" i="2"/>
  <c r="C9" i="2"/>
  <c r="N3" i="15" l="1"/>
  <c r="N4" i="15"/>
  <c r="N5" i="15"/>
  <c r="N6" i="15"/>
  <c r="N7" i="15"/>
  <c r="N3" i="14"/>
  <c r="N4" i="14"/>
  <c r="N5" i="14"/>
  <c r="N6" i="14"/>
  <c r="N7" i="14"/>
  <c r="N8" i="14"/>
  <c r="N9" i="14"/>
  <c r="N10" i="14"/>
  <c r="N3" i="13"/>
  <c r="N4" i="13"/>
  <c r="N5" i="13"/>
  <c r="N6" i="13"/>
  <c r="N7" i="13"/>
  <c r="N8" i="13"/>
  <c r="N9" i="13"/>
  <c r="N3" i="12"/>
  <c r="N4" i="12"/>
  <c r="N5" i="12"/>
  <c r="N6" i="12"/>
  <c r="N7" i="12"/>
  <c r="N3" i="11"/>
  <c r="N4" i="11"/>
  <c r="N5" i="11"/>
  <c r="N6" i="11"/>
  <c r="N7" i="11"/>
  <c r="N8" i="11"/>
  <c r="N9" i="11"/>
  <c r="N10" i="11"/>
  <c r="N3" i="10"/>
  <c r="N4" i="10"/>
  <c r="N5" i="10"/>
  <c r="N6" i="10"/>
  <c r="N7" i="10"/>
  <c r="N8" i="10"/>
  <c r="N3" i="9"/>
  <c r="N4" i="9"/>
  <c r="N5" i="9"/>
  <c r="N6" i="9"/>
  <c r="N7" i="9"/>
  <c r="N8" i="9"/>
  <c r="N3" i="8"/>
  <c r="N4" i="8"/>
  <c r="N5" i="8"/>
  <c r="N6" i="8"/>
  <c r="N7" i="8"/>
  <c r="N8" i="8"/>
  <c r="N9" i="8"/>
  <c r="N10" i="8"/>
  <c r="N3" i="7"/>
  <c r="N4" i="7"/>
  <c r="N5" i="7"/>
  <c r="N6" i="7"/>
  <c r="N7" i="7"/>
  <c r="N9" i="7"/>
  <c r="N10" i="7"/>
  <c r="N3" i="6"/>
  <c r="N4" i="6"/>
  <c r="N5" i="6"/>
  <c r="N6" i="6"/>
  <c r="N7" i="6"/>
  <c r="N8" i="6"/>
  <c r="N3" i="5"/>
  <c r="N4" i="5"/>
  <c r="N5" i="5"/>
  <c r="N6" i="5"/>
  <c r="N7" i="5"/>
  <c r="N8" i="5"/>
  <c r="N3" i="3"/>
  <c r="N4" i="3"/>
  <c r="N5" i="3"/>
  <c r="N6" i="3"/>
  <c r="N7" i="3"/>
  <c r="N3" i="2"/>
  <c r="N4" i="2"/>
  <c r="N5" i="2"/>
  <c r="N6" i="2"/>
  <c r="N7" i="2"/>
  <c r="N8" i="2"/>
  <c r="N9" i="2"/>
  <c r="I10" i="9"/>
  <c r="I10" i="10"/>
  <c r="Z10" i="10" l="1"/>
  <c r="Z9" i="10"/>
  <c r="Z8" i="10"/>
  <c r="Z7" i="10"/>
  <c r="Z6" i="10"/>
  <c r="Z5" i="10"/>
  <c r="Z4" i="10"/>
  <c r="Z3" i="10"/>
  <c r="Z2" i="10"/>
  <c r="N2" i="15"/>
  <c r="N2" i="14"/>
  <c r="N2" i="13"/>
  <c r="N2" i="12"/>
  <c r="N2" i="11"/>
  <c r="N2" i="10"/>
  <c r="N2" i="9"/>
  <c r="N2" i="8"/>
  <c r="N2" i="7"/>
  <c r="N2" i="6"/>
  <c r="N2" i="5"/>
  <c r="N2" i="3"/>
  <c r="Z10" i="9" l="1"/>
  <c r="Z9" i="9"/>
  <c r="Z8" i="9"/>
  <c r="Z7" i="9"/>
  <c r="Z6" i="9"/>
  <c r="Z5" i="9"/>
  <c r="Z4" i="9"/>
  <c r="Z3" i="9"/>
  <c r="Z2" i="9"/>
  <c r="O17" i="8"/>
  <c r="O16" i="8"/>
  <c r="O15" i="8"/>
  <c r="Z10" i="8"/>
  <c r="Z9" i="8"/>
  <c r="Z8" i="8"/>
  <c r="Z7" i="8"/>
  <c r="Z6" i="8"/>
  <c r="Z5" i="8"/>
  <c r="Z4" i="8"/>
  <c r="Z3" i="8"/>
  <c r="Z2" i="8"/>
  <c r="O16" i="2"/>
  <c r="O17" i="2"/>
  <c r="O15" i="2"/>
  <c r="Z3" i="3"/>
  <c r="Z4" i="3"/>
  <c r="Z5" i="3"/>
  <c r="Z6" i="3"/>
  <c r="Z7" i="3"/>
  <c r="Z8" i="3"/>
  <c r="Z9" i="3"/>
  <c r="Z10" i="3"/>
  <c r="Z2" i="3"/>
  <c r="Z3" i="2"/>
  <c r="Z4" i="2"/>
  <c r="Z5" i="2"/>
  <c r="Z6" i="2"/>
  <c r="Z7" i="2"/>
  <c r="Z8" i="2"/>
  <c r="Z9" i="2"/>
  <c r="Z10" i="2"/>
  <c r="Z2" i="2"/>
  <c r="E2" i="2" l="1"/>
  <c r="L4" i="7"/>
  <c r="M4" i="7" s="1"/>
  <c r="L4" i="6"/>
  <c r="M4" i="6" s="1"/>
  <c r="O4" i="6" s="1"/>
  <c r="L6" i="6"/>
  <c r="M6" i="6" s="1"/>
  <c r="O6" i="6" s="1"/>
  <c r="L3" i="6"/>
  <c r="M3" i="6" s="1"/>
  <c r="O3" i="6" s="1"/>
  <c r="H18" i="15"/>
  <c r="I18" i="15" s="1"/>
  <c r="B18" i="15"/>
  <c r="C18" i="15" s="1"/>
  <c r="J18" i="15" s="1"/>
  <c r="I17" i="15"/>
  <c r="H17" i="15"/>
  <c r="B17" i="15"/>
  <c r="C17" i="15" s="1"/>
  <c r="H16" i="15"/>
  <c r="I16" i="15" s="1"/>
  <c r="B16" i="15"/>
  <c r="C16" i="15" s="1"/>
  <c r="J16" i="15" s="1"/>
  <c r="S9" i="15"/>
  <c r="T9" i="15" s="1"/>
  <c r="R9" i="15"/>
  <c r="W9" i="15" s="1"/>
  <c r="L9" i="15"/>
  <c r="M9" i="15" s="1"/>
  <c r="O9" i="15" s="1"/>
  <c r="I9" i="15"/>
  <c r="F9" i="15"/>
  <c r="H9" i="15" s="1"/>
  <c r="S8" i="15"/>
  <c r="T8" i="15" s="1"/>
  <c r="R8" i="15"/>
  <c r="L8" i="15"/>
  <c r="M8" i="15" s="1"/>
  <c r="O8" i="15" s="1"/>
  <c r="I8" i="15"/>
  <c r="F8" i="15"/>
  <c r="H8" i="15" s="1"/>
  <c r="S7" i="15"/>
  <c r="T7" i="15" s="1"/>
  <c r="R7" i="15"/>
  <c r="M7" i="15"/>
  <c r="O7" i="15" s="1"/>
  <c r="I7" i="15"/>
  <c r="F7" i="15"/>
  <c r="H7" i="15" s="1"/>
  <c r="S6" i="15"/>
  <c r="T6" i="15" s="1"/>
  <c r="R6" i="15"/>
  <c r="W6" i="15" s="1"/>
  <c r="M6" i="15"/>
  <c r="O6" i="15" s="1"/>
  <c r="I6" i="15"/>
  <c r="F6" i="15"/>
  <c r="H6" i="15" s="1"/>
  <c r="C6" i="15"/>
  <c r="S5" i="15"/>
  <c r="T5" i="15" s="1"/>
  <c r="R5" i="15"/>
  <c r="M5" i="15"/>
  <c r="O5" i="15" s="1"/>
  <c r="F5" i="15"/>
  <c r="H5" i="15" s="1"/>
  <c r="S4" i="15"/>
  <c r="T4" i="15" s="1"/>
  <c r="R4" i="15"/>
  <c r="W4" i="15" s="1"/>
  <c r="O4" i="15"/>
  <c r="F4" i="15"/>
  <c r="H4" i="15" s="1"/>
  <c r="C4" i="15"/>
  <c r="S3" i="15"/>
  <c r="T3" i="15" s="1"/>
  <c r="R3" i="15"/>
  <c r="L3" i="15"/>
  <c r="M3" i="15" s="1"/>
  <c r="O3" i="15" s="1"/>
  <c r="I3" i="15"/>
  <c r="F3" i="15"/>
  <c r="H3" i="15" s="1"/>
  <c r="S2" i="15"/>
  <c r="T2" i="15" s="1"/>
  <c r="R2" i="15"/>
  <c r="L2" i="15"/>
  <c r="M2" i="15" s="1"/>
  <c r="I2" i="15"/>
  <c r="F2" i="15"/>
  <c r="H2" i="15" s="1"/>
  <c r="D9" i="14"/>
  <c r="F9" i="14" s="1"/>
  <c r="H9" i="14" s="1"/>
  <c r="D8" i="14"/>
  <c r="L8" i="14" s="1"/>
  <c r="M8" i="14" s="1"/>
  <c r="O8" i="14" s="1"/>
  <c r="H19" i="14"/>
  <c r="I19" i="14" s="1"/>
  <c r="C19" i="14"/>
  <c r="J19" i="14" s="1"/>
  <c r="B19" i="14"/>
  <c r="H18" i="14"/>
  <c r="I18" i="14" s="1"/>
  <c r="B18" i="14"/>
  <c r="C18" i="14" s="1"/>
  <c r="H17" i="14"/>
  <c r="I17" i="14" s="1"/>
  <c r="B17" i="14"/>
  <c r="C17" i="14" s="1"/>
  <c r="S10" i="14"/>
  <c r="T10" i="14" s="1"/>
  <c r="R10" i="14"/>
  <c r="M10" i="14"/>
  <c r="O10" i="14" s="1"/>
  <c r="F10" i="14"/>
  <c r="H10" i="14" s="1"/>
  <c r="S9" i="14"/>
  <c r="T9" i="14" s="1"/>
  <c r="I9" i="14"/>
  <c r="S8" i="14"/>
  <c r="T8" i="14" s="1"/>
  <c r="R8" i="14"/>
  <c r="W8" i="14" s="1"/>
  <c r="I8" i="14"/>
  <c r="F8" i="14"/>
  <c r="H8" i="14" s="1"/>
  <c r="S7" i="14"/>
  <c r="T7" i="14" s="1"/>
  <c r="R7" i="14"/>
  <c r="L7" i="14"/>
  <c r="M7" i="14" s="1"/>
  <c r="O7" i="14" s="1"/>
  <c r="I7" i="14"/>
  <c r="F7" i="14"/>
  <c r="H7" i="14" s="1"/>
  <c r="S6" i="14"/>
  <c r="T6" i="14" s="1"/>
  <c r="R6" i="14"/>
  <c r="M6" i="14"/>
  <c r="O6" i="14" s="1"/>
  <c r="I6" i="14"/>
  <c r="F6" i="14"/>
  <c r="H6" i="14" s="1"/>
  <c r="S5" i="14"/>
  <c r="T5" i="14" s="1"/>
  <c r="R5" i="14"/>
  <c r="M5" i="14"/>
  <c r="O5" i="14" s="1"/>
  <c r="I5" i="14"/>
  <c r="F5" i="14"/>
  <c r="H5" i="14" s="1"/>
  <c r="S4" i="14"/>
  <c r="T4" i="14" s="1"/>
  <c r="R4" i="14"/>
  <c r="L4" i="14"/>
  <c r="M4" i="14" s="1"/>
  <c r="O4" i="14" s="1"/>
  <c r="F4" i="14"/>
  <c r="H4" i="14" s="1"/>
  <c r="S3" i="14"/>
  <c r="T3" i="14" s="1"/>
  <c r="R3" i="14"/>
  <c r="L3" i="14"/>
  <c r="M3" i="14" s="1"/>
  <c r="O3" i="14" s="1"/>
  <c r="I3" i="14"/>
  <c r="F3" i="14"/>
  <c r="H3" i="14" s="1"/>
  <c r="S2" i="14"/>
  <c r="T2" i="14" s="1"/>
  <c r="R2" i="14"/>
  <c r="L2" i="14"/>
  <c r="M2" i="14" s="1"/>
  <c r="O2" i="14" s="1"/>
  <c r="I2" i="14"/>
  <c r="F2" i="14"/>
  <c r="H2" i="14" s="1"/>
  <c r="H18" i="13"/>
  <c r="I18" i="13" s="1"/>
  <c r="B18" i="13"/>
  <c r="C18" i="13" s="1"/>
  <c r="H17" i="13"/>
  <c r="I17" i="13" s="1"/>
  <c r="B17" i="13"/>
  <c r="C17" i="13" s="1"/>
  <c r="J17" i="13" s="1"/>
  <c r="H16" i="13"/>
  <c r="I16" i="13" s="1"/>
  <c r="C16" i="13"/>
  <c r="B16" i="13"/>
  <c r="S9" i="13"/>
  <c r="T9" i="13" s="1"/>
  <c r="R9" i="13"/>
  <c r="I9" i="13"/>
  <c r="F9" i="13"/>
  <c r="H9" i="13" s="1"/>
  <c r="S8" i="13"/>
  <c r="T8" i="13" s="1"/>
  <c r="R8" i="13"/>
  <c r="M8" i="13"/>
  <c r="O8" i="13" s="1"/>
  <c r="I8" i="13"/>
  <c r="F8" i="13"/>
  <c r="H8" i="13" s="1"/>
  <c r="S7" i="13"/>
  <c r="T7" i="13" s="1"/>
  <c r="R7" i="13"/>
  <c r="M7" i="13"/>
  <c r="O7" i="13" s="1"/>
  <c r="I7" i="13"/>
  <c r="F7" i="13"/>
  <c r="H7" i="13" s="1"/>
  <c r="S6" i="13"/>
  <c r="T6" i="13" s="1"/>
  <c r="R6" i="13"/>
  <c r="M6" i="13"/>
  <c r="O6" i="13" s="1"/>
  <c r="I6" i="13"/>
  <c r="F6" i="13"/>
  <c r="H6" i="13" s="1"/>
  <c r="S5" i="13"/>
  <c r="T5" i="13" s="1"/>
  <c r="R5" i="13"/>
  <c r="M5" i="13"/>
  <c r="O5" i="13" s="1"/>
  <c r="F5" i="13"/>
  <c r="H5" i="13" s="1"/>
  <c r="S4" i="13"/>
  <c r="T4" i="13" s="1"/>
  <c r="R4" i="13"/>
  <c r="L4" i="13"/>
  <c r="M4" i="13" s="1"/>
  <c r="O4" i="13" s="1"/>
  <c r="F4" i="13"/>
  <c r="H4" i="13" s="1"/>
  <c r="S3" i="13"/>
  <c r="T3" i="13" s="1"/>
  <c r="R3" i="13"/>
  <c r="L3" i="13"/>
  <c r="M3" i="13" s="1"/>
  <c r="O3" i="13" s="1"/>
  <c r="I3" i="13"/>
  <c r="F3" i="13"/>
  <c r="H3" i="13" s="1"/>
  <c r="S2" i="13"/>
  <c r="T2" i="13" s="1"/>
  <c r="R2" i="13"/>
  <c r="L2" i="13"/>
  <c r="M2" i="13" s="1"/>
  <c r="O2" i="13" s="1"/>
  <c r="I2" i="13"/>
  <c r="F2" i="13"/>
  <c r="H2" i="13" s="1"/>
  <c r="B18" i="12"/>
  <c r="C18" i="12" s="1"/>
  <c r="J18" i="12" s="1"/>
  <c r="H18" i="12"/>
  <c r="I18" i="12" s="1"/>
  <c r="H17" i="12"/>
  <c r="I17" i="12" s="1"/>
  <c r="B17" i="12"/>
  <c r="C17" i="12" s="1"/>
  <c r="H16" i="12"/>
  <c r="I16" i="12" s="1"/>
  <c r="B16" i="12"/>
  <c r="C16" i="12" s="1"/>
  <c r="R9" i="11"/>
  <c r="R9" i="12"/>
  <c r="R3" i="12"/>
  <c r="W3" i="12" s="1"/>
  <c r="R4" i="12"/>
  <c r="R5" i="12"/>
  <c r="R6" i="12"/>
  <c r="W6" i="12" s="1"/>
  <c r="R7" i="12"/>
  <c r="R8" i="12"/>
  <c r="R2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M5" i="12"/>
  <c r="O5" i="12" s="1"/>
  <c r="M6" i="12"/>
  <c r="O6" i="12" s="1"/>
  <c r="M7" i="12"/>
  <c r="O7" i="12" s="1"/>
  <c r="M2" i="12"/>
  <c r="O2" i="12" s="1"/>
  <c r="L8" i="12"/>
  <c r="M8" i="12" s="1"/>
  <c r="O8" i="12" s="1"/>
  <c r="L4" i="12"/>
  <c r="M4" i="12" s="1"/>
  <c r="O4" i="12" s="1"/>
  <c r="L3" i="12"/>
  <c r="M3" i="12" s="1"/>
  <c r="O3" i="12" s="1"/>
  <c r="L2" i="12"/>
  <c r="I9" i="12"/>
  <c r="I8" i="12"/>
  <c r="I7" i="12"/>
  <c r="I6" i="12"/>
  <c r="I3" i="12"/>
  <c r="I2" i="12"/>
  <c r="F3" i="12"/>
  <c r="H3" i="12" s="1"/>
  <c r="F4" i="12"/>
  <c r="H4" i="12" s="1"/>
  <c r="F5" i="12"/>
  <c r="H5" i="12" s="1"/>
  <c r="F6" i="12"/>
  <c r="H6" i="12" s="1"/>
  <c r="F7" i="12"/>
  <c r="H7" i="12" s="1"/>
  <c r="F8" i="12"/>
  <c r="H8" i="12" s="1"/>
  <c r="F9" i="12"/>
  <c r="H9" i="12" s="1"/>
  <c r="F2" i="12"/>
  <c r="H2" i="12" s="1"/>
  <c r="C6" i="12"/>
  <c r="C4" i="12"/>
  <c r="I18" i="11"/>
  <c r="H18" i="11"/>
  <c r="H19" i="11"/>
  <c r="I19" i="11" s="1"/>
  <c r="H17" i="11"/>
  <c r="I17" i="11" s="1"/>
  <c r="C19" i="11"/>
  <c r="B19" i="11"/>
  <c r="B18" i="11"/>
  <c r="C18" i="11" s="1"/>
  <c r="J18" i="11" s="1"/>
  <c r="B17" i="11"/>
  <c r="C17" i="11" s="1"/>
  <c r="J17" i="11" s="1"/>
  <c r="S3" i="11"/>
  <c r="T3" i="11" s="1"/>
  <c r="S4" i="11"/>
  <c r="T4" i="11" s="1"/>
  <c r="S5" i="11"/>
  <c r="T5" i="11" s="1"/>
  <c r="S6" i="11"/>
  <c r="T6" i="11" s="1"/>
  <c r="S7" i="11"/>
  <c r="T7" i="11" s="1"/>
  <c r="S8" i="11"/>
  <c r="T8" i="11" s="1"/>
  <c r="S9" i="11"/>
  <c r="T9" i="11" s="1"/>
  <c r="S10" i="11"/>
  <c r="T10" i="11" s="1"/>
  <c r="S2" i="11"/>
  <c r="T2" i="11" s="1"/>
  <c r="R3" i="11"/>
  <c r="R4" i="11"/>
  <c r="R5" i="11"/>
  <c r="R6" i="11"/>
  <c r="R7" i="11"/>
  <c r="R8" i="11"/>
  <c r="R10" i="11"/>
  <c r="R2" i="11"/>
  <c r="M4" i="11"/>
  <c r="O4" i="11" s="1"/>
  <c r="M5" i="11"/>
  <c r="O5" i="11" s="1"/>
  <c r="M6" i="11"/>
  <c r="O6" i="11" s="1"/>
  <c r="M10" i="11"/>
  <c r="O10" i="11" s="1"/>
  <c r="L9" i="11"/>
  <c r="M9" i="11" s="1"/>
  <c r="O9" i="11" s="1"/>
  <c r="L8" i="11"/>
  <c r="M8" i="11" s="1"/>
  <c r="O8" i="11" s="1"/>
  <c r="L7" i="11"/>
  <c r="M7" i="11" s="1"/>
  <c r="O7" i="11" s="1"/>
  <c r="L4" i="11"/>
  <c r="L3" i="11"/>
  <c r="M3" i="11" s="1"/>
  <c r="O3" i="11" s="1"/>
  <c r="L2" i="11"/>
  <c r="M2" i="11" s="1"/>
  <c r="O2" i="11" s="1"/>
  <c r="I9" i="11"/>
  <c r="I8" i="11"/>
  <c r="I7" i="11"/>
  <c r="I6" i="11"/>
  <c r="I5" i="11"/>
  <c r="I3" i="11"/>
  <c r="I2" i="11"/>
  <c r="F3" i="11"/>
  <c r="H3" i="11" s="1"/>
  <c r="F4" i="11"/>
  <c r="H4" i="11" s="1"/>
  <c r="F5" i="11"/>
  <c r="H5" i="11" s="1"/>
  <c r="F6" i="11"/>
  <c r="H6" i="11" s="1"/>
  <c r="F7" i="11"/>
  <c r="H7" i="11" s="1"/>
  <c r="F8" i="11"/>
  <c r="H8" i="11" s="1"/>
  <c r="F9" i="11"/>
  <c r="H9" i="11" s="1"/>
  <c r="F10" i="11"/>
  <c r="H10" i="11" s="1"/>
  <c r="F2" i="11"/>
  <c r="H2" i="11" s="1"/>
  <c r="D5" i="10"/>
  <c r="F5" i="10" s="1"/>
  <c r="H5" i="10" s="1"/>
  <c r="D4" i="10"/>
  <c r="F4" i="10" s="1"/>
  <c r="H4" i="10" s="1"/>
  <c r="D3" i="10"/>
  <c r="C8" i="10"/>
  <c r="C6" i="10"/>
  <c r="H19" i="10"/>
  <c r="I19" i="10" s="1"/>
  <c r="B19" i="10"/>
  <c r="C19" i="10" s="1"/>
  <c r="H18" i="10"/>
  <c r="I18" i="10" s="1"/>
  <c r="B18" i="10"/>
  <c r="C18" i="10" s="1"/>
  <c r="J18" i="10" s="1"/>
  <c r="S10" i="10"/>
  <c r="T10" i="10" s="1"/>
  <c r="R10" i="10"/>
  <c r="L10" i="10"/>
  <c r="M10" i="10" s="1"/>
  <c r="O10" i="10" s="1"/>
  <c r="F10" i="10"/>
  <c r="H10" i="10" s="1"/>
  <c r="S9" i="10"/>
  <c r="T9" i="10" s="1"/>
  <c r="R9" i="10"/>
  <c r="L9" i="10"/>
  <c r="M9" i="10" s="1"/>
  <c r="O9" i="10" s="1"/>
  <c r="I9" i="10"/>
  <c r="F9" i="10"/>
  <c r="H9" i="10" s="1"/>
  <c r="S8" i="10"/>
  <c r="T8" i="10" s="1"/>
  <c r="R8" i="10"/>
  <c r="M8" i="10"/>
  <c r="O8" i="10" s="1"/>
  <c r="I8" i="10"/>
  <c r="F8" i="10"/>
  <c r="H8" i="10" s="1"/>
  <c r="S7" i="10"/>
  <c r="T7" i="10" s="1"/>
  <c r="R7" i="10"/>
  <c r="M7" i="10"/>
  <c r="O7" i="10" s="1"/>
  <c r="F7" i="10"/>
  <c r="H7" i="10" s="1"/>
  <c r="S6" i="10"/>
  <c r="T6" i="10" s="1"/>
  <c r="R6" i="10"/>
  <c r="L6" i="10"/>
  <c r="M6" i="10" s="1"/>
  <c r="O6" i="10" s="1"/>
  <c r="F6" i="10"/>
  <c r="H6" i="10" s="1"/>
  <c r="S5" i="10"/>
  <c r="T5" i="10" s="1"/>
  <c r="R5" i="10"/>
  <c r="M5" i="10"/>
  <c r="O5" i="10" s="1"/>
  <c r="S4" i="10"/>
  <c r="T4" i="10" s="1"/>
  <c r="R4" i="10"/>
  <c r="L4" i="10"/>
  <c r="M4" i="10" s="1"/>
  <c r="O4" i="10" s="1"/>
  <c r="S3" i="10"/>
  <c r="T3" i="10" s="1"/>
  <c r="R3" i="10"/>
  <c r="L3" i="10"/>
  <c r="M3" i="10" s="1"/>
  <c r="O3" i="10" s="1"/>
  <c r="I3" i="10"/>
  <c r="F3" i="10"/>
  <c r="H3" i="10" s="1"/>
  <c r="S2" i="10"/>
  <c r="T2" i="10" s="1"/>
  <c r="R2" i="10"/>
  <c r="L2" i="10"/>
  <c r="M2" i="10" s="1"/>
  <c r="O2" i="10" s="1"/>
  <c r="H2" i="10"/>
  <c r="D7" i="9"/>
  <c r="R7" i="9" s="1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B15" i="9"/>
  <c r="B20" i="9" s="1"/>
  <c r="S10" i="9"/>
  <c r="T10" i="9" s="1"/>
  <c r="R10" i="9"/>
  <c r="L10" i="9"/>
  <c r="M10" i="9" s="1"/>
  <c r="O10" i="9" s="1"/>
  <c r="F10" i="9"/>
  <c r="H10" i="9" s="1"/>
  <c r="S9" i="9"/>
  <c r="T9" i="9" s="1"/>
  <c r="R9" i="9"/>
  <c r="L9" i="9"/>
  <c r="M9" i="9" s="1"/>
  <c r="O9" i="9" s="1"/>
  <c r="I9" i="9"/>
  <c r="F9" i="9"/>
  <c r="H9" i="9" s="1"/>
  <c r="S8" i="9"/>
  <c r="T8" i="9" s="1"/>
  <c r="R8" i="9"/>
  <c r="L8" i="9"/>
  <c r="M8" i="9" s="1"/>
  <c r="O8" i="9" s="1"/>
  <c r="I8" i="9"/>
  <c r="F8" i="9"/>
  <c r="H8" i="9" s="1"/>
  <c r="S7" i="9"/>
  <c r="T7" i="9" s="1"/>
  <c r="S6" i="9"/>
  <c r="T6" i="9" s="1"/>
  <c r="I6" i="9"/>
  <c r="S5" i="9"/>
  <c r="T5" i="9" s="1"/>
  <c r="R5" i="9"/>
  <c r="L5" i="9"/>
  <c r="M5" i="9" s="1"/>
  <c r="O5" i="9" s="1"/>
  <c r="F5" i="9"/>
  <c r="H5" i="9" s="1"/>
  <c r="S4" i="9"/>
  <c r="T4" i="9" s="1"/>
  <c r="R4" i="9"/>
  <c r="L4" i="9"/>
  <c r="M4" i="9" s="1"/>
  <c r="O4" i="9" s="1"/>
  <c r="F4" i="9"/>
  <c r="H4" i="9" s="1"/>
  <c r="S3" i="9"/>
  <c r="T3" i="9" s="1"/>
  <c r="L3" i="9"/>
  <c r="M3" i="9" s="1"/>
  <c r="O3" i="9" s="1"/>
  <c r="F3" i="9"/>
  <c r="H3" i="9" s="1"/>
  <c r="S2" i="9"/>
  <c r="T2" i="9" s="1"/>
  <c r="F2" i="9"/>
  <c r="H2" i="9" s="1"/>
  <c r="D8" i="8"/>
  <c r="R8" i="8" s="1"/>
  <c r="D10" i="8"/>
  <c r="I10" i="8" s="1"/>
  <c r="D7" i="8"/>
  <c r="L7" i="8" s="1"/>
  <c r="M7" i="8" s="1"/>
  <c r="D6" i="8"/>
  <c r="R6" i="8" s="1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B15" i="8"/>
  <c r="S10" i="8"/>
  <c r="T10" i="8" s="1"/>
  <c r="R10" i="8"/>
  <c r="S9" i="8"/>
  <c r="T9" i="8" s="1"/>
  <c r="R9" i="8"/>
  <c r="L9" i="8"/>
  <c r="M9" i="8" s="1"/>
  <c r="O9" i="8" s="1"/>
  <c r="H9" i="8"/>
  <c r="S8" i="8"/>
  <c r="T8" i="8" s="1"/>
  <c r="S7" i="8"/>
  <c r="T7" i="8" s="1"/>
  <c r="S6" i="8"/>
  <c r="T6" i="8" s="1"/>
  <c r="M6" i="8"/>
  <c r="O6" i="8" s="1"/>
  <c r="S5" i="8"/>
  <c r="T5" i="8" s="1"/>
  <c r="R5" i="8"/>
  <c r="M5" i="8"/>
  <c r="O5" i="8" s="1"/>
  <c r="F5" i="8"/>
  <c r="H5" i="8" s="1"/>
  <c r="S4" i="8"/>
  <c r="T4" i="8" s="1"/>
  <c r="R4" i="8"/>
  <c r="L4" i="8"/>
  <c r="M4" i="8" s="1"/>
  <c r="O4" i="8" s="1"/>
  <c r="F4" i="8"/>
  <c r="H4" i="8" s="1"/>
  <c r="S3" i="8"/>
  <c r="T3" i="8" s="1"/>
  <c r="S2" i="8"/>
  <c r="T2" i="8" s="1"/>
  <c r="R2" i="8"/>
  <c r="L2" i="8"/>
  <c r="M2" i="8" s="1"/>
  <c r="O2" i="8" s="1"/>
  <c r="G2" i="8"/>
  <c r="F2" i="8"/>
  <c r="L7" i="7"/>
  <c r="M7" i="7" s="1"/>
  <c r="B17" i="6"/>
  <c r="B17" i="7"/>
  <c r="B22" i="7" s="1"/>
  <c r="L5" i="7"/>
  <c r="M5" i="7" s="1"/>
  <c r="O5" i="7" s="1"/>
  <c r="M6" i="7"/>
  <c r="M9" i="7"/>
  <c r="M10" i="7"/>
  <c r="D8" i="7"/>
  <c r="R8" i="7" s="1"/>
  <c r="D7" i="7"/>
  <c r="F7" i="7" s="1"/>
  <c r="H7" i="7" s="1"/>
  <c r="D6" i="7"/>
  <c r="R6" i="7" s="1"/>
  <c r="D3" i="7"/>
  <c r="L3" i="7" s="1"/>
  <c r="M3" i="7" s="1"/>
  <c r="O3" i="7" s="1"/>
  <c r="D2" i="7"/>
  <c r="F2" i="7" s="1"/>
  <c r="H2" i="7" s="1"/>
  <c r="I4" i="6"/>
  <c r="I5" i="6"/>
  <c r="I6" i="6"/>
  <c r="I7" i="6"/>
  <c r="I8" i="6"/>
  <c r="I9" i="6"/>
  <c r="I10" i="6"/>
  <c r="I3" i="6"/>
  <c r="T2" i="6"/>
  <c r="S3" i="6"/>
  <c r="T3" i="6" s="1"/>
  <c r="S4" i="6"/>
  <c r="T4" i="6" s="1"/>
  <c r="S5" i="6"/>
  <c r="T5" i="6" s="1"/>
  <c r="S6" i="6"/>
  <c r="T6" i="6" s="1"/>
  <c r="S7" i="6"/>
  <c r="T7" i="6" s="1"/>
  <c r="W7" i="6" s="1"/>
  <c r="S8" i="6"/>
  <c r="T8" i="6" s="1"/>
  <c r="S9" i="6"/>
  <c r="T9" i="6" s="1"/>
  <c r="S10" i="6"/>
  <c r="T10" i="6" s="1"/>
  <c r="R3" i="6"/>
  <c r="R4" i="6"/>
  <c r="R5" i="6"/>
  <c r="R6" i="6"/>
  <c r="R7" i="6"/>
  <c r="R8" i="6"/>
  <c r="R9" i="6"/>
  <c r="R10" i="6"/>
  <c r="S2" i="6"/>
  <c r="R2" i="6"/>
  <c r="M5" i="6"/>
  <c r="O5" i="6" s="1"/>
  <c r="M7" i="6"/>
  <c r="O7" i="6" s="1"/>
  <c r="M8" i="6"/>
  <c r="O8" i="6" s="1"/>
  <c r="G22" i="7"/>
  <c r="H22" i="7" s="1"/>
  <c r="G21" i="7"/>
  <c r="H21" i="7" s="1"/>
  <c r="G20" i="7"/>
  <c r="H20" i="7" s="1"/>
  <c r="B16" i="7"/>
  <c r="B21" i="7" s="1"/>
  <c r="B15" i="7"/>
  <c r="B20" i="7" s="1"/>
  <c r="S10" i="7"/>
  <c r="T10" i="7" s="1"/>
  <c r="R10" i="7"/>
  <c r="I10" i="7"/>
  <c r="F10" i="7"/>
  <c r="H10" i="7" s="1"/>
  <c r="S9" i="7"/>
  <c r="T9" i="7" s="1"/>
  <c r="R9" i="7"/>
  <c r="I9" i="7"/>
  <c r="F9" i="7"/>
  <c r="H9" i="7" s="1"/>
  <c r="S8" i="7"/>
  <c r="T8" i="7" s="1"/>
  <c r="S7" i="7"/>
  <c r="T7" i="7" s="1"/>
  <c r="R7" i="7"/>
  <c r="S6" i="7"/>
  <c r="T6" i="7" s="1"/>
  <c r="S5" i="7"/>
  <c r="T5" i="7" s="1"/>
  <c r="R5" i="7"/>
  <c r="F5" i="7"/>
  <c r="H5" i="7" s="1"/>
  <c r="S4" i="7"/>
  <c r="T4" i="7" s="1"/>
  <c r="R4" i="7"/>
  <c r="F4" i="7"/>
  <c r="H4" i="7" s="1"/>
  <c r="S3" i="7"/>
  <c r="T3" i="7" s="1"/>
  <c r="S2" i="7"/>
  <c r="T2" i="7" s="1"/>
  <c r="R2" i="7"/>
  <c r="B19" i="5"/>
  <c r="C19" i="5" s="1"/>
  <c r="C17" i="6"/>
  <c r="J17" i="6" s="1"/>
  <c r="H17" i="6"/>
  <c r="I17" i="6" s="1"/>
  <c r="H16" i="6"/>
  <c r="I16" i="6" s="1"/>
  <c r="C16" i="6"/>
  <c r="J16" i="6" s="1"/>
  <c r="B16" i="6"/>
  <c r="H3" i="6"/>
  <c r="H4" i="6"/>
  <c r="H5" i="6"/>
  <c r="H6" i="6"/>
  <c r="H7" i="6"/>
  <c r="H8" i="6"/>
  <c r="H9" i="6"/>
  <c r="H10" i="6"/>
  <c r="H2" i="6"/>
  <c r="L10" i="6"/>
  <c r="M10" i="6" s="1"/>
  <c r="O10" i="6" s="1"/>
  <c r="L9" i="6"/>
  <c r="M9" i="6" s="1"/>
  <c r="O9" i="6" s="1"/>
  <c r="L2" i="6"/>
  <c r="M2" i="6" s="1"/>
  <c r="O2" i="6" s="1"/>
  <c r="H19" i="5"/>
  <c r="I19" i="5" s="1"/>
  <c r="H18" i="5"/>
  <c r="I18" i="5" s="1"/>
  <c r="B18" i="5"/>
  <c r="C18" i="5" s="1"/>
  <c r="J18" i="5" s="1"/>
  <c r="S3" i="5"/>
  <c r="T3" i="5" s="1"/>
  <c r="S4" i="5"/>
  <c r="T4" i="5" s="1"/>
  <c r="S5" i="5"/>
  <c r="T5" i="5" s="1"/>
  <c r="S6" i="5"/>
  <c r="T6" i="5" s="1"/>
  <c r="W6" i="5" s="1"/>
  <c r="S7" i="5"/>
  <c r="T7" i="5" s="1"/>
  <c r="S8" i="5"/>
  <c r="T8" i="5" s="1"/>
  <c r="W8" i="5" s="1"/>
  <c r="S9" i="5"/>
  <c r="T9" i="5" s="1"/>
  <c r="S10" i="5"/>
  <c r="T10" i="5" s="1"/>
  <c r="S2" i="5"/>
  <c r="T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M3" i="5"/>
  <c r="O3" i="5" s="1"/>
  <c r="M5" i="5"/>
  <c r="O5" i="5" s="1"/>
  <c r="M7" i="5"/>
  <c r="O7" i="5" s="1"/>
  <c r="M8" i="5"/>
  <c r="O8" i="5" s="1"/>
  <c r="M10" i="5"/>
  <c r="O10" i="5" s="1"/>
  <c r="L9" i="5"/>
  <c r="M9" i="5" s="1"/>
  <c r="O9" i="5" s="1"/>
  <c r="L6" i="5"/>
  <c r="M6" i="5" s="1"/>
  <c r="O6" i="5" s="1"/>
  <c r="M4" i="5"/>
  <c r="O4" i="5" s="1"/>
  <c r="L2" i="5"/>
  <c r="M2" i="5" s="1"/>
  <c r="O2" i="5" s="1"/>
  <c r="I10" i="5"/>
  <c r="I9" i="5"/>
  <c r="I9" i="3"/>
  <c r="I8" i="5"/>
  <c r="I3" i="5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2" i="5"/>
  <c r="H2" i="5" s="1"/>
  <c r="C8" i="5"/>
  <c r="C6" i="5"/>
  <c r="L9" i="14" l="1"/>
  <c r="M9" i="14" s="1"/>
  <c r="O9" i="14" s="1"/>
  <c r="R9" i="14"/>
  <c r="W3" i="15"/>
  <c r="W8" i="15"/>
  <c r="L6" i="9"/>
  <c r="M6" i="9" s="1"/>
  <c r="O6" i="9" s="1"/>
  <c r="W2" i="13"/>
  <c r="W4" i="5"/>
  <c r="F3" i="7"/>
  <c r="H3" i="7" s="1"/>
  <c r="F7" i="9"/>
  <c r="H7" i="9" s="1"/>
  <c r="W4" i="12"/>
  <c r="W6" i="13"/>
  <c r="W5" i="15"/>
  <c r="R6" i="9"/>
  <c r="R3" i="7"/>
  <c r="F6" i="7"/>
  <c r="H6" i="7" s="1"/>
  <c r="L7" i="9"/>
  <c r="M7" i="9" s="1"/>
  <c r="O7" i="9" s="1"/>
  <c r="O11" i="9" s="1"/>
  <c r="J16" i="13"/>
  <c r="W2" i="15"/>
  <c r="W10" i="5"/>
  <c r="I20" i="9"/>
  <c r="J19" i="11"/>
  <c r="I21" i="9"/>
  <c r="W7" i="15"/>
  <c r="W10" i="15" s="1"/>
  <c r="M33" i="15" s="1"/>
  <c r="M22" i="15" s="1"/>
  <c r="AB2" i="11"/>
  <c r="AA2" i="11"/>
  <c r="AB10" i="11"/>
  <c r="AA10" i="11"/>
  <c r="AB5" i="11"/>
  <c r="AA5" i="11"/>
  <c r="AB4" i="11"/>
  <c r="AA4" i="11"/>
  <c r="AB8" i="11"/>
  <c r="AA8" i="11"/>
  <c r="AA7" i="11"/>
  <c r="AB7" i="11"/>
  <c r="AA3" i="11"/>
  <c r="AB3" i="11"/>
  <c r="AA6" i="11"/>
  <c r="AB6" i="11"/>
  <c r="AB9" i="11"/>
  <c r="AA9" i="11"/>
  <c r="W5" i="12"/>
  <c r="W2" i="12"/>
  <c r="W7" i="12"/>
  <c r="W8" i="11"/>
  <c r="W7" i="11"/>
  <c r="W8" i="12"/>
  <c r="J20" i="11"/>
  <c r="O19" i="5"/>
  <c r="N19" i="5"/>
  <c r="J18" i="6"/>
  <c r="AB6" i="7"/>
  <c r="AA6" i="7"/>
  <c r="N18" i="5"/>
  <c r="O18" i="5"/>
  <c r="AB7" i="5"/>
  <c r="AA7" i="5"/>
  <c r="P16" i="8"/>
  <c r="Q16" i="8"/>
  <c r="O19" i="10"/>
  <c r="N19" i="10"/>
  <c r="W2" i="11"/>
  <c r="AB10" i="5"/>
  <c r="AA10" i="5"/>
  <c r="AB6" i="5"/>
  <c r="AA6" i="5"/>
  <c r="AB2" i="7"/>
  <c r="AA2" i="7"/>
  <c r="AB3" i="7"/>
  <c r="AA3" i="7"/>
  <c r="AB4" i="7"/>
  <c r="AA4" i="7"/>
  <c r="AB5" i="7"/>
  <c r="AA5" i="7"/>
  <c r="I6" i="7"/>
  <c r="AB9" i="7"/>
  <c r="AA9" i="7"/>
  <c r="M21" i="7"/>
  <c r="N21" i="7"/>
  <c r="H6" i="8"/>
  <c r="P15" i="8"/>
  <c r="Q15" i="8"/>
  <c r="W9" i="9"/>
  <c r="N22" i="9"/>
  <c r="M22" i="9"/>
  <c r="W10" i="11"/>
  <c r="W5" i="11"/>
  <c r="M9" i="12"/>
  <c r="O9" i="12" s="1"/>
  <c r="O10" i="12" s="1"/>
  <c r="P32" i="12" s="1"/>
  <c r="W3" i="14"/>
  <c r="J17" i="14"/>
  <c r="AB2" i="5"/>
  <c r="AA2" i="5"/>
  <c r="J19" i="5"/>
  <c r="J20" i="5" s="1"/>
  <c r="AB5" i="5"/>
  <c r="AA5" i="5"/>
  <c r="AB7" i="7"/>
  <c r="AA7" i="7"/>
  <c r="AA10" i="7"/>
  <c r="AB10" i="7"/>
  <c r="M22" i="7"/>
  <c r="N22" i="7"/>
  <c r="W10" i="6"/>
  <c r="AB8" i="7"/>
  <c r="AA8" i="7"/>
  <c r="L10" i="8"/>
  <c r="M10" i="8" s="1"/>
  <c r="O10" i="8" s="1"/>
  <c r="O18" i="10"/>
  <c r="N18" i="10"/>
  <c r="W4" i="11"/>
  <c r="W9" i="12"/>
  <c r="W9" i="11"/>
  <c r="W7" i="13"/>
  <c r="J17" i="15"/>
  <c r="J19" i="15" s="1"/>
  <c r="AB3" i="5"/>
  <c r="AA3" i="5"/>
  <c r="O17" i="6"/>
  <c r="N17" i="6"/>
  <c r="M20" i="7"/>
  <c r="N20" i="7"/>
  <c r="N21" i="9"/>
  <c r="M21" i="9"/>
  <c r="W6" i="11"/>
  <c r="J18" i="14"/>
  <c r="AB8" i="5"/>
  <c r="AA8" i="5"/>
  <c r="AB4" i="5"/>
  <c r="AA4" i="5"/>
  <c r="W2" i="5"/>
  <c r="W7" i="5"/>
  <c r="W3" i="5"/>
  <c r="N16" i="6"/>
  <c r="O16" i="6"/>
  <c r="L2" i="7"/>
  <c r="F10" i="8"/>
  <c r="H10" i="8" s="1"/>
  <c r="P17" i="8"/>
  <c r="Q17" i="8"/>
  <c r="N20" i="9"/>
  <c r="M20" i="9"/>
  <c r="J19" i="10"/>
  <c r="J20" i="10" s="1"/>
  <c r="W3" i="11"/>
  <c r="J16" i="12"/>
  <c r="W5" i="13"/>
  <c r="J18" i="13"/>
  <c r="J19" i="13" s="1"/>
  <c r="W5" i="14"/>
  <c r="W10" i="14"/>
  <c r="O11" i="11"/>
  <c r="O11" i="5"/>
  <c r="AB9" i="5"/>
  <c r="AA9" i="5"/>
  <c r="W9" i="5"/>
  <c r="W7" i="10"/>
  <c r="W5" i="10"/>
  <c r="AA8" i="10"/>
  <c r="AB8" i="10"/>
  <c r="W3" i="10"/>
  <c r="W8" i="10"/>
  <c r="AA5" i="10"/>
  <c r="AB5" i="10"/>
  <c r="AB7" i="10"/>
  <c r="AA7" i="10"/>
  <c r="AB4" i="10"/>
  <c r="AA4" i="10"/>
  <c r="AA3" i="10"/>
  <c r="AB3" i="10"/>
  <c r="AA2" i="10"/>
  <c r="AB2" i="10"/>
  <c r="AB6" i="10"/>
  <c r="AA6" i="10"/>
  <c r="AB9" i="10"/>
  <c r="AA9" i="10"/>
  <c r="AB10" i="10"/>
  <c r="AA10" i="10"/>
  <c r="W6" i="10"/>
  <c r="W4" i="10"/>
  <c r="H10" i="13"/>
  <c r="P30" i="13" s="1"/>
  <c r="W4" i="6"/>
  <c r="W8" i="6"/>
  <c r="AB7" i="6"/>
  <c r="AA7" i="6"/>
  <c r="AB8" i="6"/>
  <c r="AA8" i="6"/>
  <c r="AB6" i="6"/>
  <c r="AA6" i="6"/>
  <c r="W6" i="6"/>
  <c r="AB2" i="6"/>
  <c r="AA2" i="6"/>
  <c r="AB3" i="6"/>
  <c r="AA3" i="6"/>
  <c r="AA10" i="6"/>
  <c r="AB10" i="6"/>
  <c r="AB5" i="6"/>
  <c r="AA5" i="6"/>
  <c r="AA4" i="6"/>
  <c r="AB4" i="6"/>
  <c r="AA9" i="6"/>
  <c r="AB9" i="6"/>
  <c r="W9" i="6"/>
  <c r="AA10" i="9"/>
  <c r="AB10" i="9"/>
  <c r="AB4" i="9"/>
  <c r="AA4" i="9"/>
  <c r="AB9" i="9"/>
  <c r="AA9" i="9"/>
  <c r="AB7" i="9"/>
  <c r="AA7" i="9"/>
  <c r="AA3" i="9"/>
  <c r="AB3" i="9"/>
  <c r="AB6" i="9"/>
  <c r="AA6" i="9"/>
  <c r="AB5" i="9"/>
  <c r="AA5" i="9"/>
  <c r="AB8" i="9"/>
  <c r="AA8" i="9"/>
  <c r="W6" i="9"/>
  <c r="W5" i="9"/>
  <c r="AB9" i="8"/>
  <c r="AA9" i="8"/>
  <c r="AB6" i="8"/>
  <c r="AA6" i="8"/>
  <c r="AB3" i="8"/>
  <c r="AA3" i="8"/>
  <c r="AB4" i="8"/>
  <c r="AA4" i="8"/>
  <c r="AB10" i="8"/>
  <c r="AA10" i="8"/>
  <c r="AB5" i="8"/>
  <c r="AA5" i="8"/>
  <c r="AB8" i="8"/>
  <c r="AA8" i="8"/>
  <c r="AB2" i="8"/>
  <c r="AA2" i="8"/>
  <c r="W5" i="8"/>
  <c r="O4" i="7"/>
  <c r="I8" i="7"/>
  <c r="O7" i="7"/>
  <c r="O10" i="7"/>
  <c r="O9" i="7"/>
  <c r="O6" i="7"/>
  <c r="W5" i="6"/>
  <c r="W2" i="6"/>
  <c r="W3" i="6"/>
  <c r="H11" i="5"/>
  <c r="W5" i="5"/>
  <c r="H10" i="12"/>
  <c r="P31" i="12" s="1"/>
  <c r="P19" i="12" s="1"/>
  <c r="H11" i="6"/>
  <c r="L3" i="8"/>
  <c r="M3" i="8" s="1"/>
  <c r="O3" i="8" s="1"/>
  <c r="L16" i="8"/>
  <c r="O7" i="8"/>
  <c r="W3" i="8"/>
  <c r="F3" i="8"/>
  <c r="H3" i="8" s="1"/>
  <c r="H8" i="8"/>
  <c r="L15" i="8"/>
  <c r="L17" i="8"/>
  <c r="O11" i="6"/>
  <c r="H10" i="15"/>
  <c r="M31" i="15" s="1"/>
  <c r="M20" i="15" s="1"/>
  <c r="O2" i="15"/>
  <c r="O10" i="15" s="1"/>
  <c r="M32" i="15" s="1"/>
  <c r="H11" i="11"/>
  <c r="W2" i="14"/>
  <c r="W4" i="14"/>
  <c r="W9" i="14"/>
  <c r="W7" i="14"/>
  <c r="W6" i="14"/>
  <c r="O11" i="14"/>
  <c r="N30" i="14" s="1"/>
  <c r="N19" i="14" s="1"/>
  <c r="H11" i="14"/>
  <c r="N29" i="14" s="1"/>
  <c r="W9" i="13"/>
  <c r="W4" i="13"/>
  <c r="W8" i="13"/>
  <c r="W3" i="13"/>
  <c r="L9" i="13"/>
  <c r="M9" i="13" s="1"/>
  <c r="O9" i="13" s="1"/>
  <c r="O10" i="13" s="1"/>
  <c r="P31" i="13" s="1"/>
  <c r="P20" i="13" s="1"/>
  <c r="J17" i="12"/>
  <c r="H11" i="10"/>
  <c r="W2" i="10"/>
  <c r="W10" i="10"/>
  <c r="W9" i="10"/>
  <c r="O11" i="10"/>
  <c r="H11" i="9"/>
  <c r="I2" i="9"/>
  <c r="R2" i="9"/>
  <c r="W3" i="9"/>
  <c r="W4" i="9"/>
  <c r="W7" i="9"/>
  <c r="W8" i="9"/>
  <c r="W10" i="9"/>
  <c r="L8" i="8"/>
  <c r="M8" i="8" s="1"/>
  <c r="O8" i="8" s="1"/>
  <c r="W10" i="8"/>
  <c r="W8" i="8"/>
  <c r="H2" i="8"/>
  <c r="H7" i="8"/>
  <c r="R7" i="8"/>
  <c r="W9" i="8"/>
  <c r="W2" i="8"/>
  <c r="W4" i="8"/>
  <c r="W6" i="8"/>
  <c r="I2" i="7"/>
  <c r="M8" i="7"/>
  <c r="O8" i="7" s="1"/>
  <c r="M2" i="7"/>
  <c r="O2" i="7" s="1"/>
  <c r="F8" i="7"/>
  <c r="H8" i="7" s="1"/>
  <c r="W10" i="7"/>
  <c r="W4" i="7"/>
  <c r="W2" i="7"/>
  <c r="W6" i="7"/>
  <c r="W7" i="7"/>
  <c r="W8" i="7"/>
  <c r="W3" i="7"/>
  <c r="W5" i="7"/>
  <c r="W9" i="7"/>
  <c r="N47" i="9" l="1"/>
  <c r="N33" i="9" s="1"/>
  <c r="M47" i="9"/>
  <c r="M33" i="9" s="1"/>
  <c r="O47" i="9"/>
  <c r="O33" i="9" s="1"/>
  <c r="O46" i="9"/>
  <c r="O32" i="9" s="1"/>
  <c r="N46" i="9"/>
  <c r="N32" i="9" s="1"/>
  <c r="M46" i="9"/>
  <c r="P32" i="6"/>
  <c r="P22" i="6" s="1"/>
  <c r="O32" i="6"/>
  <c r="O22" i="6" s="1"/>
  <c r="N32" i="6"/>
  <c r="N22" i="6" s="1"/>
  <c r="N45" i="10"/>
  <c r="M45" i="10"/>
  <c r="M34" i="10" s="1"/>
  <c r="O45" i="10"/>
  <c r="O34" i="10" s="1"/>
  <c r="P46" i="5"/>
  <c r="P36" i="5" s="1"/>
  <c r="O46" i="5"/>
  <c r="O36" i="5" s="1"/>
  <c r="P19" i="13"/>
  <c r="AB11" i="5"/>
  <c r="W11" i="5"/>
  <c r="N46" i="5" s="1"/>
  <c r="N36" i="5" s="1"/>
  <c r="N45" i="5"/>
  <c r="P45" i="5"/>
  <c r="P35" i="5" s="1"/>
  <c r="O45" i="5"/>
  <c r="W10" i="12"/>
  <c r="P33" i="12" s="1"/>
  <c r="P21" i="12" s="1"/>
  <c r="O44" i="5"/>
  <c r="N44" i="5"/>
  <c r="P44" i="5"/>
  <c r="J20" i="14"/>
  <c r="H11" i="7"/>
  <c r="N18" i="14"/>
  <c r="O44" i="10"/>
  <c r="N44" i="10"/>
  <c r="M44" i="10"/>
  <c r="P42" i="11"/>
  <c r="P21" i="11" s="1"/>
  <c r="Q42" i="11"/>
  <c r="Q21" i="11" s="1"/>
  <c r="AA11" i="11"/>
  <c r="P43" i="11"/>
  <c r="P22" i="11" s="1"/>
  <c r="M14" i="16" s="1"/>
  <c r="Q43" i="11"/>
  <c r="Q22" i="11" s="1"/>
  <c r="AB11" i="11"/>
  <c r="M35" i="15"/>
  <c r="M24" i="15" s="1"/>
  <c r="M21" i="15"/>
  <c r="Q29" i="16" s="1"/>
  <c r="M34" i="15"/>
  <c r="M23" i="15" s="1"/>
  <c r="P20" i="12"/>
  <c r="N14" i="16" s="1"/>
  <c r="P35" i="12"/>
  <c r="P23" i="12" s="1"/>
  <c r="P34" i="12"/>
  <c r="P22" i="12" s="1"/>
  <c r="P31" i="6"/>
  <c r="P21" i="6" s="1"/>
  <c r="N31" i="6"/>
  <c r="O31" i="6"/>
  <c r="O21" i="6" s="1"/>
  <c r="H13" i="16" s="1"/>
  <c r="AB11" i="7"/>
  <c r="J19" i="12"/>
  <c r="M16" i="12" s="1"/>
  <c r="R20" i="7"/>
  <c r="S20" i="7"/>
  <c r="P13" i="16"/>
  <c r="P28" i="16"/>
  <c r="Q28" i="16"/>
  <c r="Q13" i="16"/>
  <c r="AA11" i="5"/>
  <c r="AA11" i="7"/>
  <c r="R22" i="7"/>
  <c r="S22" i="7"/>
  <c r="K13" i="16"/>
  <c r="Q15" i="16"/>
  <c r="L20" i="8"/>
  <c r="O13" i="16"/>
  <c r="O28" i="16"/>
  <c r="W11" i="11"/>
  <c r="S21" i="7"/>
  <c r="R21" i="7"/>
  <c r="P29" i="16"/>
  <c r="P14" i="16"/>
  <c r="O14" i="16"/>
  <c r="O29" i="16"/>
  <c r="M29" i="16"/>
  <c r="O11" i="7"/>
  <c r="Q30" i="16"/>
  <c r="N15" i="16"/>
  <c r="N30" i="16"/>
  <c r="G30" i="16"/>
  <c r="M14" i="5"/>
  <c r="L29" i="16"/>
  <c r="AB11" i="10"/>
  <c r="AA11" i="10"/>
  <c r="K29" i="16"/>
  <c r="K14" i="16"/>
  <c r="W10" i="13"/>
  <c r="P32" i="13" s="1"/>
  <c r="P21" i="13" s="1"/>
  <c r="AA11" i="6"/>
  <c r="H14" i="16"/>
  <c r="W11" i="6"/>
  <c r="AB11" i="6"/>
  <c r="W2" i="9"/>
  <c r="AB2" i="9"/>
  <c r="AB11" i="9" s="1"/>
  <c r="AA2" i="9"/>
  <c r="AA11" i="9" s="1"/>
  <c r="O11" i="8"/>
  <c r="W7" i="8"/>
  <c r="AB7" i="8"/>
  <c r="AB11" i="8" s="1"/>
  <c r="AA7" i="8"/>
  <c r="AA11" i="8" s="1"/>
  <c r="M16" i="15"/>
  <c r="H29" i="16"/>
  <c r="W11" i="14"/>
  <c r="N31" i="14" s="1"/>
  <c r="N32" i="14" s="1"/>
  <c r="N21" i="14" s="1"/>
  <c r="W11" i="10"/>
  <c r="O46" i="10" s="1"/>
  <c r="O35" i="10" s="1"/>
  <c r="W11" i="9"/>
  <c r="M48" i="9" s="1"/>
  <c r="M34" i="9" s="1"/>
  <c r="H11" i="8"/>
  <c r="W11" i="7"/>
  <c r="N33" i="14" l="1"/>
  <c r="N22" i="14" s="1"/>
  <c r="N20" i="14"/>
  <c r="O46" i="7"/>
  <c r="O36" i="7" s="1"/>
  <c r="N46" i="7"/>
  <c r="N36" i="7" s="1"/>
  <c r="I13" i="16" s="1"/>
  <c r="M46" i="7"/>
  <c r="M36" i="7" s="1"/>
  <c r="I28" i="16" s="1"/>
  <c r="O48" i="5"/>
  <c r="O38" i="5" s="1"/>
  <c r="O35" i="5"/>
  <c r="G14" i="16" s="1"/>
  <c r="P33" i="13"/>
  <c r="P22" i="13" s="1"/>
  <c r="M50" i="9"/>
  <c r="M36" i="9" s="1"/>
  <c r="M32" i="9"/>
  <c r="K28" i="16" s="1"/>
  <c r="M49" i="9"/>
  <c r="M35" i="9" s="1"/>
  <c r="M33" i="10"/>
  <c r="L28" i="16" s="1"/>
  <c r="N47" i="5"/>
  <c r="N37" i="5" s="1"/>
  <c r="N34" i="5"/>
  <c r="G28" i="16" s="1"/>
  <c r="P48" i="5"/>
  <c r="P38" i="5" s="1"/>
  <c r="P34" i="5"/>
  <c r="P47" i="5"/>
  <c r="P37" i="5" s="1"/>
  <c r="P39" i="8"/>
  <c r="R39" i="8"/>
  <c r="Q39" i="8"/>
  <c r="N47" i="7"/>
  <c r="N37" i="7" s="1"/>
  <c r="O47" i="7"/>
  <c r="O37" i="7" s="1"/>
  <c r="M47" i="7"/>
  <c r="M37" i="7" s="1"/>
  <c r="N33" i="10"/>
  <c r="L13" i="16" s="1"/>
  <c r="O47" i="5"/>
  <c r="O37" i="5" s="1"/>
  <c r="O34" i="5"/>
  <c r="G13" i="16" s="1"/>
  <c r="N48" i="5"/>
  <c r="N38" i="5" s="1"/>
  <c r="N35" i="5"/>
  <c r="G29" i="16" s="1"/>
  <c r="R40" i="8"/>
  <c r="Q40" i="8"/>
  <c r="P40" i="8"/>
  <c r="P25" i="8" s="1"/>
  <c r="O48" i="10"/>
  <c r="O37" i="10" s="1"/>
  <c r="O33" i="10"/>
  <c r="O47" i="10"/>
  <c r="O36" i="10" s="1"/>
  <c r="N34" i="10"/>
  <c r="L14" i="16" s="1"/>
  <c r="M15" i="10"/>
  <c r="M46" i="10"/>
  <c r="M35" i="10" s="1"/>
  <c r="G15" i="16"/>
  <c r="N46" i="10"/>
  <c r="N35" i="10" s="1"/>
  <c r="P34" i="13"/>
  <c r="P23" i="13" s="1"/>
  <c r="N29" i="16"/>
  <c r="P44" i="11"/>
  <c r="P23" i="11" s="1"/>
  <c r="M30" i="16" s="1"/>
  <c r="Q44" i="11"/>
  <c r="P46" i="11"/>
  <c r="P25" i="11" s="1"/>
  <c r="Q14" i="16"/>
  <c r="M48" i="7"/>
  <c r="N33" i="6"/>
  <c r="N23" i="6" s="1"/>
  <c r="H30" i="16" s="1"/>
  <c r="N21" i="6"/>
  <c r="H28" i="16" s="1"/>
  <c r="M16" i="13"/>
  <c r="P16" i="11"/>
  <c r="W11" i="8"/>
  <c r="Q14" i="6"/>
  <c r="M28" i="16"/>
  <c r="M13" i="16"/>
  <c r="M25" i="15"/>
  <c r="N13" i="16"/>
  <c r="N28" i="16"/>
  <c r="O16" i="16"/>
  <c r="O30" i="16"/>
  <c r="O15" i="16"/>
  <c r="I29" i="16"/>
  <c r="I14" i="16"/>
  <c r="G17" i="16"/>
  <c r="G16" i="16"/>
  <c r="Q31" i="16"/>
  <c r="Q16" i="16"/>
  <c r="Q17" i="16"/>
  <c r="P16" i="14"/>
  <c r="G32" i="16"/>
  <c r="G31" i="16"/>
  <c r="J29" i="16"/>
  <c r="K29" i="8"/>
  <c r="P24" i="8" l="1"/>
  <c r="J28" i="16" s="1"/>
  <c r="M47" i="10"/>
  <c r="M36" i="10" s="1"/>
  <c r="P41" i="8"/>
  <c r="P26" i="8" s="1"/>
  <c r="J30" i="16" s="1"/>
  <c r="Q25" i="8"/>
  <c r="J14" i="16" s="1"/>
  <c r="R25" i="8"/>
  <c r="R24" i="8"/>
  <c r="N47" i="10"/>
  <c r="N36" i="10" s="1"/>
  <c r="Q46" i="11"/>
  <c r="Q25" i="11" s="1"/>
  <c r="Q23" i="11"/>
  <c r="Q41" i="8"/>
  <c r="Q26" i="8" s="1"/>
  <c r="J15" i="16" s="1"/>
  <c r="N35" i="6"/>
  <c r="N25" i="6" s="1"/>
  <c r="H32" i="16" s="1"/>
  <c r="N48" i="10"/>
  <c r="N37" i="10" s="1"/>
  <c r="Q24" i="8"/>
  <c r="J13" i="16" s="1"/>
  <c r="M48" i="10"/>
  <c r="M37" i="10" s="1"/>
  <c r="R41" i="8"/>
  <c r="R26" i="8" s="1"/>
  <c r="M15" i="16"/>
  <c r="P45" i="11"/>
  <c r="P24" i="11" s="1"/>
  <c r="M31" i="16" s="1"/>
  <c r="Q45" i="11"/>
  <c r="Q24" i="11" s="1"/>
  <c r="Q32" i="16"/>
  <c r="J53" i="16" s="1"/>
  <c r="K53" i="16" s="1"/>
  <c r="M38" i="7"/>
  <c r="M50" i="7"/>
  <c r="M40" i="7" s="1"/>
  <c r="M49" i="7"/>
  <c r="M39" i="7" s="1"/>
  <c r="N34" i="6"/>
  <c r="N24" i="6" s="1"/>
  <c r="H31" i="16" s="1"/>
  <c r="J44" i="16" s="1"/>
  <c r="K44" i="16" s="1"/>
  <c r="Q18" i="16"/>
  <c r="O31" i="16"/>
  <c r="O38" i="10"/>
  <c r="N43" i="16"/>
  <c r="G33" i="16"/>
  <c r="P39" i="5"/>
  <c r="O39" i="5"/>
  <c r="G18" i="16"/>
  <c r="P24" i="13"/>
  <c r="O32" i="16"/>
  <c r="O17" i="16"/>
  <c r="N51" i="16" s="1"/>
  <c r="J43" i="16"/>
  <c r="K43" i="16" s="1"/>
  <c r="Q33" i="16"/>
  <c r="N53" i="16"/>
  <c r="P15" i="16"/>
  <c r="P30" i="16"/>
  <c r="N16" i="16"/>
  <c r="N31" i="16"/>
  <c r="N32" i="16"/>
  <c r="N17" i="16"/>
  <c r="M17" i="16"/>
  <c r="M32" i="16"/>
  <c r="L32" i="16"/>
  <c r="L30" i="16"/>
  <c r="L15" i="16"/>
  <c r="N39" i="5"/>
  <c r="L17" i="16"/>
  <c r="L16" i="16"/>
  <c r="P24" i="12"/>
  <c r="R29" i="8" l="1"/>
  <c r="Q26" i="11"/>
  <c r="Q43" i="8"/>
  <c r="Q28" i="8" s="1"/>
  <c r="J17" i="16" s="1"/>
  <c r="Q42" i="8"/>
  <c r="Q27" i="8" s="1"/>
  <c r="J16" i="16" s="1"/>
  <c r="R42" i="8"/>
  <c r="R27" i="8" s="1"/>
  <c r="P42" i="8"/>
  <c r="P27" i="8" s="1"/>
  <c r="J31" i="16" s="1"/>
  <c r="J33" i="16" s="1"/>
  <c r="R43" i="8"/>
  <c r="R28" i="8" s="1"/>
  <c r="P43" i="8"/>
  <c r="P28" i="8" s="1"/>
  <c r="J32" i="16" s="1"/>
  <c r="P26" i="11"/>
  <c r="M16" i="16"/>
  <c r="H33" i="16"/>
  <c r="N26" i="6"/>
  <c r="O33" i="6" s="1"/>
  <c r="O23" i="6" s="1"/>
  <c r="H15" i="16" s="1"/>
  <c r="N46" i="16"/>
  <c r="N38" i="10"/>
  <c r="O18" i="16"/>
  <c r="J51" i="16"/>
  <c r="K51" i="16" s="1"/>
  <c r="O33" i="16"/>
  <c r="N23" i="14"/>
  <c r="P16" i="16"/>
  <c r="P31" i="16"/>
  <c r="P32" i="16"/>
  <c r="P17" i="16"/>
  <c r="J50" i="16"/>
  <c r="K50" i="16" s="1"/>
  <c r="N33" i="16"/>
  <c r="N18" i="16"/>
  <c r="N50" i="16"/>
  <c r="M18" i="16"/>
  <c r="N49" i="16"/>
  <c r="J49" i="16"/>
  <c r="K49" i="16" s="1"/>
  <c r="M33" i="16"/>
  <c r="N48" i="16"/>
  <c r="L18" i="16"/>
  <c r="M38" i="10"/>
  <c r="L31" i="16"/>
  <c r="J48" i="16" s="1"/>
  <c r="K48" i="16" s="1"/>
  <c r="J18" i="16"/>
  <c r="P29" i="8"/>
  <c r="Q29" i="8"/>
  <c r="G21" i="3"/>
  <c r="H21" i="3" s="1"/>
  <c r="G22" i="3"/>
  <c r="H22" i="3" s="1"/>
  <c r="G20" i="3"/>
  <c r="H20" i="3" s="1"/>
  <c r="J46" i="16" l="1"/>
  <c r="K46" i="16" s="1"/>
  <c r="O34" i="6"/>
  <c r="O24" i="6" s="1"/>
  <c r="O35" i="6"/>
  <c r="O25" i="6" s="1"/>
  <c r="H17" i="16" s="1"/>
  <c r="H16" i="16"/>
  <c r="N52" i="16"/>
  <c r="P33" i="16"/>
  <c r="J52" i="16"/>
  <c r="K52" i="16" s="1"/>
  <c r="P18" i="16"/>
  <c r="L33" i="16"/>
  <c r="I20" i="7"/>
  <c r="I23" i="9"/>
  <c r="I22" i="7"/>
  <c r="I21" i="7"/>
  <c r="B17" i="3"/>
  <c r="B22" i="3" s="1"/>
  <c r="I22" i="3" s="1"/>
  <c r="B16" i="3"/>
  <c r="B21" i="3" s="1"/>
  <c r="I21" i="3" s="1"/>
  <c r="B15" i="3"/>
  <c r="B20" i="3" s="1"/>
  <c r="I20" i="3" s="1"/>
  <c r="B17" i="2"/>
  <c r="B16" i="2"/>
  <c r="B15" i="2"/>
  <c r="L10" i="3"/>
  <c r="M10" i="3" s="1"/>
  <c r="L9" i="3"/>
  <c r="M9" i="3" s="1"/>
  <c r="L8" i="3"/>
  <c r="M8" i="3" s="1"/>
  <c r="O8" i="3" s="1"/>
  <c r="L7" i="3"/>
  <c r="M7" i="3" s="1"/>
  <c r="O7" i="3" s="1"/>
  <c r="L6" i="3"/>
  <c r="M6" i="3" s="1"/>
  <c r="L5" i="3"/>
  <c r="M5" i="3" s="1"/>
  <c r="O5" i="3" s="1"/>
  <c r="L3" i="3"/>
  <c r="M3" i="3" s="1"/>
  <c r="L2" i="3"/>
  <c r="M2" i="3" s="1"/>
  <c r="O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2" i="3"/>
  <c r="T2" i="3" s="1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I16" i="2"/>
  <c r="K16" i="2" s="1"/>
  <c r="I17" i="2"/>
  <c r="K17" i="2" s="1"/>
  <c r="I15" i="2"/>
  <c r="K15" i="2" s="1"/>
  <c r="H16" i="2"/>
  <c r="H17" i="2"/>
  <c r="J17" i="2" s="1"/>
  <c r="H15" i="2"/>
  <c r="J15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N21" i="3"/>
  <c r="H2" i="2"/>
  <c r="L16" i="2"/>
  <c r="L17" i="2"/>
  <c r="N44" i="16"/>
  <c r="H18" i="16"/>
  <c r="O26" i="6"/>
  <c r="P33" i="6" s="1"/>
  <c r="P35" i="6" s="1"/>
  <c r="P25" i="6" s="1"/>
  <c r="AA8" i="2"/>
  <c r="AB8" i="2"/>
  <c r="AB2" i="2"/>
  <c r="AA2" i="2"/>
  <c r="AA7" i="2"/>
  <c r="AB7" i="2"/>
  <c r="AB3" i="2"/>
  <c r="AA3" i="2"/>
  <c r="P15" i="2"/>
  <c r="Q15" i="2"/>
  <c r="AB2" i="3"/>
  <c r="AA2" i="3"/>
  <c r="W7" i="3"/>
  <c r="AA7" i="3"/>
  <c r="AB7" i="3"/>
  <c r="AB3" i="3"/>
  <c r="AA3" i="3"/>
  <c r="N22" i="3"/>
  <c r="AA10" i="2"/>
  <c r="AB10" i="2"/>
  <c r="P17" i="2"/>
  <c r="Q17" i="2"/>
  <c r="AA10" i="3"/>
  <c r="AB10" i="3"/>
  <c r="AB6" i="3"/>
  <c r="AA6" i="3"/>
  <c r="M22" i="3"/>
  <c r="AA6" i="2"/>
  <c r="AB6" i="2"/>
  <c r="AA9" i="2"/>
  <c r="AB9" i="2"/>
  <c r="AB5" i="2"/>
  <c r="AA5" i="2"/>
  <c r="W9" i="3"/>
  <c r="AA9" i="3"/>
  <c r="AB9" i="3"/>
  <c r="AA5" i="3"/>
  <c r="AB5" i="3"/>
  <c r="L20" i="2"/>
  <c r="M20" i="3"/>
  <c r="M21" i="3"/>
  <c r="AB4" i="2"/>
  <c r="AA4" i="2"/>
  <c r="P16" i="2"/>
  <c r="Q16" i="2"/>
  <c r="W8" i="3"/>
  <c r="AA8" i="3"/>
  <c r="AB8" i="3"/>
  <c r="AB4" i="3"/>
  <c r="AA4" i="3"/>
  <c r="N20" i="3"/>
  <c r="W10" i="3"/>
  <c r="K30" i="16"/>
  <c r="G31" i="9"/>
  <c r="W5" i="3"/>
  <c r="I23" i="3"/>
  <c r="I23" i="7"/>
  <c r="O3" i="3"/>
  <c r="W4" i="3"/>
  <c r="O8" i="2"/>
  <c r="H11" i="2"/>
  <c r="W2" i="3"/>
  <c r="W3" i="3"/>
  <c r="O9" i="3"/>
  <c r="H11" i="3"/>
  <c r="W6" i="3"/>
  <c r="O6" i="3"/>
  <c r="O10" i="3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W11" i="2" l="1"/>
  <c r="I41" i="2" s="1"/>
  <c r="I28" i="2" s="1"/>
  <c r="O11" i="2"/>
  <c r="P41" i="3"/>
  <c r="O41" i="3"/>
  <c r="N41" i="3"/>
  <c r="N48" i="7"/>
  <c r="O48" i="7"/>
  <c r="K39" i="2"/>
  <c r="I39" i="2"/>
  <c r="J39" i="2"/>
  <c r="P23" i="6"/>
  <c r="P34" i="6"/>
  <c r="P24" i="6" s="1"/>
  <c r="AB11" i="2"/>
  <c r="AA11" i="2"/>
  <c r="AA11" i="3"/>
  <c r="AB11" i="3"/>
  <c r="I30" i="16"/>
  <c r="M15" i="7"/>
  <c r="K32" i="16"/>
  <c r="O11" i="3"/>
  <c r="W11" i="3"/>
  <c r="N43" i="3" s="1"/>
  <c r="N28" i="3" s="1"/>
  <c r="P26" i="3" l="1"/>
  <c r="P43" i="3"/>
  <c r="P28" i="3" s="1"/>
  <c r="O43" i="3"/>
  <c r="O28" i="3" s="1"/>
  <c r="F15" i="16" s="1"/>
  <c r="O38" i="7"/>
  <c r="O50" i="7"/>
  <c r="O40" i="7" s="1"/>
  <c r="O49" i="7"/>
  <c r="O39" i="7" s="1"/>
  <c r="K40" i="2"/>
  <c r="K27" i="2" s="1"/>
  <c r="J40" i="2"/>
  <c r="J27" i="2" s="1"/>
  <c r="I40" i="2"/>
  <c r="I27" i="2" s="1"/>
  <c r="O42" i="3"/>
  <c r="O27" i="3" s="1"/>
  <c r="N42" i="3"/>
  <c r="N27" i="3" s="1"/>
  <c r="P42" i="3"/>
  <c r="P27" i="3" s="1"/>
  <c r="N38" i="7"/>
  <c r="N49" i="7"/>
  <c r="N39" i="7" s="1"/>
  <c r="I16" i="16" s="1"/>
  <c r="N50" i="7"/>
  <c r="N40" i="7" s="1"/>
  <c r="K41" i="2"/>
  <c r="K28" i="2" s="1"/>
  <c r="N26" i="3"/>
  <c r="F28" i="16" s="1"/>
  <c r="N44" i="3"/>
  <c r="N29" i="3" s="1"/>
  <c r="J41" i="2"/>
  <c r="J28" i="2" s="1"/>
  <c r="E15" i="16" s="1"/>
  <c r="O45" i="3"/>
  <c r="O30" i="3" s="1"/>
  <c r="O26" i="3"/>
  <c r="F13" i="16" s="1"/>
  <c r="I26" i="2"/>
  <c r="E28" i="16" s="1"/>
  <c r="I43" i="2"/>
  <c r="I30" i="2" s="1"/>
  <c r="J26" i="2"/>
  <c r="E13" i="16" s="1"/>
  <c r="J43" i="2"/>
  <c r="J30" i="2" s="1"/>
  <c r="J42" i="2"/>
  <c r="J29" i="2" s="1"/>
  <c r="K26" i="2"/>
  <c r="K31" i="16"/>
  <c r="K33" i="16" s="1"/>
  <c r="N48" i="9"/>
  <c r="N34" i="9" s="1"/>
  <c r="K15" i="16" s="1"/>
  <c r="P26" i="6"/>
  <c r="I15" i="16"/>
  <c r="I17" i="16"/>
  <c r="F30" i="16"/>
  <c r="F29" i="16"/>
  <c r="F14" i="16"/>
  <c r="E29" i="16"/>
  <c r="E14" i="16"/>
  <c r="M37" i="9"/>
  <c r="I31" i="16"/>
  <c r="I32" i="16"/>
  <c r="M18" i="3"/>
  <c r="Q28" i="2"/>
  <c r="P45" i="3" l="1"/>
  <c r="P30" i="3" s="1"/>
  <c r="N45" i="3"/>
  <c r="N30" i="3" s="1"/>
  <c r="K42" i="2"/>
  <c r="K29" i="2" s="1"/>
  <c r="I42" i="2"/>
  <c r="I29" i="2" s="1"/>
  <c r="E31" i="16" s="1"/>
  <c r="K43" i="2"/>
  <c r="K30" i="2" s="1"/>
  <c r="O44" i="3"/>
  <c r="O29" i="3" s="1"/>
  <c r="P44" i="3"/>
  <c r="P29" i="3" s="1"/>
  <c r="J47" i="16"/>
  <c r="K47" i="16" s="1"/>
  <c r="N49" i="9"/>
  <c r="N35" i="9" s="1"/>
  <c r="K16" i="16" s="1"/>
  <c r="N50" i="9"/>
  <c r="N36" i="9" s="1"/>
  <c r="K17" i="16" s="1"/>
  <c r="O41" i="7"/>
  <c r="N45" i="16"/>
  <c r="I18" i="16"/>
  <c r="N41" i="7"/>
  <c r="J45" i="16"/>
  <c r="K45" i="16" s="1"/>
  <c r="I33" i="16"/>
  <c r="E30" i="16"/>
  <c r="F17" i="16"/>
  <c r="E17" i="16"/>
  <c r="E16" i="16"/>
  <c r="M41" i="7"/>
  <c r="F31" i="16"/>
  <c r="F32" i="16"/>
  <c r="N47" i="16" l="1"/>
  <c r="K18" i="16"/>
  <c r="O48" i="9"/>
  <c r="N37" i="9"/>
  <c r="F33" i="16"/>
  <c r="E18" i="16"/>
  <c r="J42" i="16"/>
  <c r="K42" i="16" s="1"/>
  <c r="O31" i="3"/>
  <c r="F16" i="16"/>
  <c r="N42" i="16" s="1"/>
  <c r="I31" i="2"/>
  <c r="E32" i="16"/>
  <c r="E33" i="16" s="1"/>
  <c r="J31" i="2"/>
  <c r="N41" i="16"/>
  <c r="P31" i="3"/>
  <c r="K31" i="2"/>
  <c r="N31" i="3"/>
  <c r="O34" i="9" l="1"/>
  <c r="O50" i="9"/>
  <c r="O36" i="9" s="1"/>
  <c r="O49" i="9"/>
  <c r="O35" i="9" s="1"/>
  <c r="J41" i="16"/>
  <c r="K41" i="16" s="1"/>
  <c r="F18" i="16"/>
  <c r="O37" i="9" l="1"/>
</calcChain>
</file>

<file path=xl/sharedStrings.xml><?xml version="1.0" encoding="utf-8"?>
<sst xmlns="http://schemas.openxmlformats.org/spreadsheetml/2006/main" count="1146" uniqueCount="141">
  <si>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</si>
  <si>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</si>
  <si>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</si>
  <si>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</si>
  <si>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</si>
  <si>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</si>
  <si>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</si>
  <si>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</si>
  <si>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</si>
  <si>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</si>
  <si>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</si>
  <si>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</si>
  <si>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</si>
  <si>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</si>
  <si>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</si>
  <si>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</si>
  <si>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</si>
  <si>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</si>
  <si>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</si>
  <si>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</si>
  <si>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</si>
  <si>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</si>
  <si>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</si>
  <si>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</si>
  <si>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</si>
  <si>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</si>
  <si>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</si>
  <si>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</si>
  <si>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</si>
  <si>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</si>
  <si>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</si>
  <si>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</si>
  <si>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Business</t>
  </si>
  <si>
    <t>FM Penalty ITS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</si>
  <si>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</si>
  <si>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</si>
  <si>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</si>
  <si>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</si>
  <si>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</si>
  <si>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</si>
  <si>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</si>
  <si>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</si>
  <si>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</si>
  <si>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</si>
  <si>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</si>
  <si>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</si>
  <si>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</si>
  <si>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</si>
  <si>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</si>
  <si>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</si>
  <si>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</si>
  <si>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</si>
  <si>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</si>
  <si>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</si>
  <si>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</si>
  <si>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</si>
  <si>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</si>
  <si>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</si>
  <si>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</si>
  <si>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</si>
  <si>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</si>
  <si>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</si>
  <si>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</si>
  <si>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</si>
  <si>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</si>
  <si>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</si>
  <si>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</si>
  <si>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</si>
  <si>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</si>
  <si>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</si>
  <si>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</si>
  <si>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</si>
  <si>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</si>
  <si>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</si>
  <si>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</si>
  <si>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</si>
  <si>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</si>
  <si>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</si>
  <si>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</si>
  <si>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</si>
  <si>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1:4 Power Splitter</t>
  </si>
  <si>
    <t>1:6 Mini DSLAM+Cabinet</t>
  </si>
  <si>
    <t>NIL</t>
  </si>
  <si>
    <t>EDFA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</si>
  <si>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</si>
  <si>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</si>
  <si>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</si>
  <si>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</si>
  <si>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</si>
  <si>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</si>
  <si>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</si>
  <si>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</si>
  <si>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</si>
  <si>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</si>
  <si>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</si>
  <si>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</si>
  <si>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</si>
  <si>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</si>
  <si>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</si>
  <si>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</si>
  <si>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</si>
  <si>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</si>
  <si>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</si>
  <si>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</si>
  <si>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</si>
  <si>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</si>
  <si>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</si>
  <si>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</si>
  <si>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</si>
  <si>
    <t>SLA CU per hour</t>
  </si>
  <si>
    <t>Residential</t>
  </si>
  <si>
    <t>Business</t>
  </si>
  <si>
    <t>ITS</t>
  </si>
  <si>
    <t>Percentage of Business Users</t>
  </si>
  <si>
    <t>Percentage of ITS and business users</t>
  </si>
  <si>
    <t>Percentage of business users</t>
  </si>
  <si>
    <t>Percentage of ITS users</t>
  </si>
  <si>
    <t>FM Fiber penalty business</t>
  </si>
  <si>
    <t>FM Fiber penalty business its</t>
  </si>
  <si>
    <t>Business ITS</t>
  </si>
  <si>
    <t>Component_business</t>
  </si>
  <si>
    <t>Residential Cost</t>
  </si>
  <si>
    <t>Business Cost</t>
  </si>
  <si>
    <t>ITS cost</t>
  </si>
  <si>
    <t>RESIDENTIAL_T</t>
  </si>
  <si>
    <t>BUSINESS_T</t>
  </si>
  <si>
    <t>1:4 PS+Cabinet</t>
  </si>
  <si>
    <t>FTTB_UDWDM_50</t>
  </si>
  <si>
    <t>FTTH_UDWDM_100</t>
  </si>
  <si>
    <t>FTTB_UDWDM_100</t>
  </si>
  <si>
    <t>Fault Maintenance per home connected</t>
  </si>
  <si>
    <t>100</t>
  </si>
  <si>
    <t>0.07</t>
  </si>
  <si>
    <t>Total Subscribers</t>
  </si>
  <si>
    <t>Rent for all homes connected</t>
  </si>
  <si>
    <t>Energy for all home connected</t>
  </si>
  <si>
    <t>Total Sub</t>
  </si>
  <si>
    <t>Total Buildings</t>
  </si>
  <si>
    <t>Cost ITS</t>
  </si>
  <si>
    <t>Sum of FTTC_GPON_25</t>
  </si>
  <si>
    <t>Sum of FTTB_XGPON_50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</si>
</sst>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5" fillId="0" borderId="0" xfId="0" applyFont="1"/>
    <xf numFmtId="0" fontId="0" fillId="5" borderId="11" xfId="0" applyFont="1" applyFill="1" applyBorder="1"/>
    <xf numFmtId="0" fontId="0" fillId="5" borderId="2" xfId="0" applyFont="1" applyFill="1" applyBorder="1"/>
    <xf numFmtId="0" fontId="0" fillId="0" borderId="11" xfId="0" applyFont="1" applyBorder="1"/>
    <xf numFmtId="0" fontId="0" fillId="0" borderId="2" xfId="0" applyFont="1" applyBorder="1"/>
    <xf numFmtId="0" fontId="7" fillId="0" borderId="0" xfId="4"/>
    <xf numFmtId="0" fontId="8" fillId="6" borderId="0" xfId="0" applyFont="1" applyFill="1"/>
    <xf numFmtId="0" fontId="9" fillId="5" borderId="8" xfId="0" applyFont="1" applyFill="1" applyBorder="1"/>
    <xf numFmtId="0" fontId="10" fillId="5" borderId="8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10" fillId="0" borderId="8" xfId="0" applyFont="1" applyBorder="1"/>
    <xf numFmtId="0" fontId="4" fillId="4" borderId="4" xfId="0" applyFont="1" applyFill="1" applyBorder="1"/>
    <xf numFmtId="0" fontId="4" fillId="4" borderId="11" xfId="0" applyFont="1" applyFill="1" applyBorder="1"/>
  </cellXfs>
  <cellStyles count="5">
    <cellStyle name="Good" xfId="1" builtinId="26"/>
    <cellStyle name="Hyperlink" xfId="4" builtinId="8"/>
    <cellStyle name="Input" xfId="2" builtinId="20"/>
    <cellStyle name="Normal" xfId="0" builtinId="0"/>
    <cellStyle name="Standard 2" xfId="3" xr:uid="{00000000-0005-0000-0000-000004000000}"/>
  </cellStyles>
  <dxfs count="198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62496"/>
        <c:axId val="62508992"/>
      </c:barChart>
      <c:catAx>
        <c:axId val="403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508992"/>
        <c:crosses val="autoZero"/>
        <c:auto val="1"/>
        <c:lblAlgn val="ctr"/>
        <c:lblOffset val="100"/>
        <c:noMultiLvlLbl val="0"/>
      </c:catAx>
      <c:valAx>
        <c:axId val="625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 Year OPEX for PON Technologies(Munich Residential)</a:t>
            </a:r>
          </a:p>
        </c:rich>
      </c:tx>
      <c:layout>
        <c:manualLayout>
          <c:xMode val="edge"/>
          <c:yMode val="edge"/>
          <c:x val="0.20860856289704055"/>
          <c:y val="2.7046153797100802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0.30500991046408316</c:v>
                </c:pt>
                <c:pt idx="1">
                  <c:v>0.12200396418563325</c:v>
                </c:pt>
                <c:pt idx="2">
                  <c:v>0.13939170254938146</c:v>
                </c:pt>
                <c:pt idx="3">
                  <c:v>0.27878340509876293</c:v>
                </c:pt>
                <c:pt idx="4">
                  <c:v>0.28095687239423145</c:v>
                </c:pt>
                <c:pt idx="5">
                  <c:v>0.28887157405508856</c:v>
                </c:pt>
                <c:pt idx="6">
                  <c:v>0.24755792495386508</c:v>
                </c:pt>
                <c:pt idx="7">
                  <c:v>0.37485065955847169</c:v>
                </c:pt>
                <c:pt idx="8">
                  <c:v>0.47351513908823728</c:v>
                </c:pt>
                <c:pt idx="9">
                  <c:v>0.15913403048322056</c:v>
                </c:pt>
                <c:pt idx="10">
                  <c:v>0.32141958854487046</c:v>
                </c:pt>
                <c:pt idx="11">
                  <c:v>0.65775408379468259</c:v>
                </c:pt>
                <c:pt idx="12">
                  <c:v>0.32141958854487046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6.5597437769120359E-2</c:v>
                </c:pt>
                <c:pt idx="1">
                  <c:v>0.26098944433053106</c:v>
                </c:pt>
                <c:pt idx="2">
                  <c:v>0.27317297518966577</c:v>
                </c:pt>
                <c:pt idx="3">
                  <c:v>5.5152974369489439E-2</c:v>
                </c:pt>
                <c:pt idx="4">
                  <c:v>4.1872692228829202E-2</c:v>
                </c:pt>
                <c:pt idx="5">
                  <c:v>0.18693906458888662</c:v>
                </c:pt>
                <c:pt idx="6">
                  <c:v>0.26819394709862621</c:v>
                </c:pt>
                <c:pt idx="7">
                  <c:v>0.25180734057822435</c:v>
                </c:pt>
                <c:pt idx="8">
                  <c:v>0.12022323149477136</c:v>
                </c:pt>
                <c:pt idx="9">
                  <c:v>0.25263358622103754</c:v>
                </c:pt>
                <c:pt idx="10">
                  <c:v>2.8738978880459301E-2</c:v>
                </c:pt>
                <c:pt idx="11">
                  <c:v>0.15386130818125898</c:v>
                </c:pt>
                <c:pt idx="12">
                  <c:v>0.25604633996309206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6.8894089635283484E-2</c:v>
                </c:pt>
                <c:pt idx="1">
                  <c:v>0.13388728775245062</c:v>
                </c:pt>
                <c:pt idx="2">
                  <c:v>0.1072132633996309</c:v>
                </c:pt>
                <c:pt idx="3">
                  <c:v>7.8644922206274337E-2</c:v>
                </c:pt>
                <c:pt idx="4">
                  <c:v>7.9152560344474057E-2</c:v>
                </c:pt>
                <c:pt idx="5">
                  <c:v>0.12679911041534522</c:v>
                </c:pt>
                <c:pt idx="6">
                  <c:v>0.1051911978265327</c:v>
                </c:pt>
                <c:pt idx="7">
                  <c:v>0.10493392409267993</c:v>
                </c:pt>
                <c:pt idx="8">
                  <c:v>0.14860351798236623</c:v>
                </c:pt>
                <c:pt idx="9">
                  <c:v>0.14057891552183716</c:v>
                </c:pt>
                <c:pt idx="10">
                  <c:v>0.28578615378306338</c:v>
                </c:pt>
                <c:pt idx="11">
                  <c:v>6.2678575353701055E-2</c:v>
                </c:pt>
                <c:pt idx="12">
                  <c:v>0.10627966270248103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2.1975071893424351E-2</c:v>
                </c:pt>
                <c:pt idx="1">
                  <c:v>2.5844034813430752E-2</c:v>
                </c:pt>
                <c:pt idx="2">
                  <c:v>2.5988897056933909E-2</c:v>
                </c:pt>
                <c:pt idx="3">
                  <c:v>2.0629065083726337E-2</c:v>
                </c:pt>
                <c:pt idx="4">
                  <c:v>2.0099106248376734E-2</c:v>
                </c:pt>
                <c:pt idx="5">
                  <c:v>3.013048745296602E-2</c:v>
                </c:pt>
                <c:pt idx="6">
                  <c:v>3.1047153493951204E-2</c:v>
                </c:pt>
                <c:pt idx="7">
                  <c:v>3.6579596211468807E-2</c:v>
                </c:pt>
                <c:pt idx="8">
                  <c:v>3.7117094428268743E-2</c:v>
                </c:pt>
                <c:pt idx="9">
                  <c:v>2.7617326611304761E-2</c:v>
                </c:pt>
                <c:pt idx="10">
                  <c:v>3.1797236060419662E-2</c:v>
                </c:pt>
                <c:pt idx="11">
                  <c:v>4.3714698366482133E-2</c:v>
                </c:pt>
                <c:pt idx="12">
                  <c:v>3.4187279560522171E-2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3.0765100650794092E-2</c:v>
                </c:pt>
                <c:pt idx="1">
                  <c:v>3.618164873880305E-2</c:v>
                </c:pt>
                <c:pt idx="2">
                  <c:v>3.638445587970747E-2</c:v>
                </c:pt>
                <c:pt idx="3">
                  <c:v>2.8880691117216868E-2</c:v>
                </c:pt>
                <c:pt idx="4">
                  <c:v>2.813874874772743E-2</c:v>
                </c:pt>
                <c:pt idx="5">
                  <c:v>4.2182682434152435E-2</c:v>
                </c:pt>
                <c:pt idx="6">
                  <c:v>4.3466014891531686E-2</c:v>
                </c:pt>
                <c:pt idx="7">
                  <c:v>5.1211434696056331E-2</c:v>
                </c:pt>
                <c:pt idx="8">
                  <c:v>5.1963932199576256E-2</c:v>
                </c:pt>
                <c:pt idx="9">
                  <c:v>3.8664257255826666E-2</c:v>
                </c:pt>
                <c:pt idx="10">
                  <c:v>4.4516130484587524E-2</c:v>
                </c:pt>
                <c:pt idx="11">
                  <c:v>6.1200577713074987E-2</c:v>
                </c:pt>
                <c:pt idx="12">
                  <c:v>4.7862191384731051E-2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770560"/>
        <c:axId val="89557248"/>
      </c:barChart>
      <c:catAx>
        <c:axId val="1687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 algn="ctr" rtl="0">
              <a:defRPr lang="de-DE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57248"/>
        <c:crosses val="autoZero"/>
        <c:auto val="1"/>
        <c:lblAlgn val="ctr"/>
        <c:lblOffset val="100"/>
        <c:noMultiLvlLbl val="0"/>
      </c:catAx>
      <c:valAx>
        <c:axId val="895572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 algn="ctr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68770560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 algn="ctr" rtl="0">
            <a:defRPr lang="de-DE"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de-DE" sz="1800">
                <a:latin typeface="Times New Roman" panose="02020603050405020304" pitchFamily="18" charset="0"/>
                <a:cs typeface="Times New Roman" panose="02020603050405020304" pitchFamily="18" charset="0"/>
              </a:rPr>
              <a:t>Per year Per subscriber</a:t>
            </a:r>
            <a:r>
              <a:rPr lang="de-DE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de-DE" sz="1800">
                <a:latin typeface="Times New Roman" panose="02020603050405020304" pitchFamily="18" charset="0"/>
                <a:cs typeface="Times New Roman" panose="02020603050405020304" pitchFamily="18" charset="0"/>
              </a:rPr>
              <a:t>OPEX of PON Technologies (Munich) </a:t>
            </a:r>
          </a:p>
        </c:rich>
      </c:tx>
      <c:layout>
        <c:manualLayout>
          <c:xMode val="edge"/>
          <c:yMode val="edge"/>
          <c:x val="0.23488398707560004"/>
          <c:y val="2.3078938560462357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OPEX!$D$13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OPEX!$E$13:$Q$13</c:f>
              <c:numCache>
                <c:formatCode>General</c:formatCode>
                <c:ptCount val="13"/>
                <c:pt idx="0">
                  <c:v>0.30500991046408316</c:v>
                </c:pt>
                <c:pt idx="1">
                  <c:v>0.12200396418563325</c:v>
                </c:pt>
                <c:pt idx="2">
                  <c:v>0.13939170254938146</c:v>
                </c:pt>
                <c:pt idx="3">
                  <c:v>0.27878340509876293</c:v>
                </c:pt>
                <c:pt idx="4">
                  <c:v>0.28095687239423145</c:v>
                </c:pt>
                <c:pt idx="5">
                  <c:v>0.28887157405508856</c:v>
                </c:pt>
                <c:pt idx="6">
                  <c:v>0.24755792495386508</c:v>
                </c:pt>
                <c:pt idx="7">
                  <c:v>0.37485065955847169</c:v>
                </c:pt>
                <c:pt idx="8">
                  <c:v>0.47351513908823728</c:v>
                </c:pt>
                <c:pt idx="9">
                  <c:v>0.15913403048322056</c:v>
                </c:pt>
                <c:pt idx="10">
                  <c:v>0.32141958854487046</c:v>
                </c:pt>
                <c:pt idx="11">
                  <c:v>0.65775408379468259</c:v>
                </c:pt>
                <c:pt idx="12">
                  <c:v>0.32141958854487046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D-4263-8BFF-370E42FC513B}"/>
            </c:ext>
          </c:extLst>
        </c:ser>
        <c:ser>
          <c:idx val="1"/>
          <c:order val="1"/>
          <c:tx>
            <c:strRef>
              <c:f>OPEX!$D$14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OPEX!$E$14:$Q$14</c:f>
              <c:numCache>
                <c:formatCode>General</c:formatCode>
                <c:ptCount val="13"/>
                <c:pt idx="0">
                  <c:v>6.5597437769120359E-2</c:v>
                </c:pt>
                <c:pt idx="1">
                  <c:v>0.26098944433053106</c:v>
                </c:pt>
                <c:pt idx="2">
                  <c:v>0.27317297518966577</c:v>
                </c:pt>
                <c:pt idx="3">
                  <c:v>5.5152974369489439E-2</c:v>
                </c:pt>
                <c:pt idx="4">
                  <c:v>4.1872692228829202E-2</c:v>
                </c:pt>
                <c:pt idx="5">
                  <c:v>0.18693906458888662</c:v>
                </c:pt>
                <c:pt idx="6">
                  <c:v>0.26819394709862621</c:v>
                </c:pt>
                <c:pt idx="7">
                  <c:v>0.25180734057822435</c:v>
                </c:pt>
                <c:pt idx="8">
                  <c:v>0.12022323149477136</c:v>
                </c:pt>
                <c:pt idx="9">
                  <c:v>0.25263358622103754</c:v>
                </c:pt>
                <c:pt idx="10">
                  <c:v>2.8738978880459301E-2</c:v>
                </c:pt>
                <c:pt idx="11">
                  <c:v>0.15386130818125898</c:v>
                </c:pt>
                <c:pt idx="12">
                  <c:v>0.25604633996309206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D-4263-8BFF-370E42FC513B}"/>
            </c:ext>
          </c:extLst>
        </c:ser>
        <c:ser>
          <c:idx val="2"/>
          <c:order val="2"/>
          <c:tx>
            <c:strRef>
              <c:f>OPEX!$D$15</c:f>
              <c:strCache>
                <c:ptCount val="1"/>
                <c:pt idx="0">
                  <c:v>Fault Maintenance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OPEX!$E$15:$Q$15</c:f>
              <c:numCache>
                <c:formatCode>General</c:formatCode>
                <c:ptCount val="13"/>
                <c:pt idx="0">
                  <c:v>0.14970404198617082</c:v>
                </c:pt>
                <c:pt idx="1">
                  <c:v>0.28414495741494811</c:v>
                </c:pt>
                <c:pt idx="2">
                  <c:v>0.28770637372350283</c:v>
                </c:pt>
                <c:pt idx="3">
                  <c:v>0.20980644640474297</c:v>
                </c:pt>
                <c:pt idx="4">
                  <c:v>0.20955200535889004</c:v>
                </c:pt>
                <c:pt idx="5">
                  <c:v>0.29649697842757378</c:v>
                </c:pt>
                <c:pt idx="6">
                  <c:v>0.27902539685388639</c:v>
                </c:pt>
                <c:pt idx="7">
                  <c:v>0.26339134361689953</c:v>
                </c:pt>
                <c:pt idx="8">
                  <c:v>0.14860351798236623</c:v>
                </c:pt>
                <c:pt idx="9">
                  <c:v>0.14057891552183716</c:v>
                </c:pt>
                <c:pt idx="10">
                  <c:v>0.28578615378306338</c:v>
                </c:pt>
                <c:pt idx="11">
                  <c:v>6.2678575353701055E-2</c:v>
                </c:pt>
                <c:pt idx="12">
                  <c:v>0.10627966270248103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D-4263-8BFF-370E42FC513B}"/>
            </c:ext>
          </c:extLst>
        </c:ser>
        <c:ser>
          <c:idx val="3"/>
          <c:order val="3"/>
          <c:tx>
            <c:strRef>
              <c:f>OPEX!$D$16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OPEX!$E$16:$Q$16</c:f>
              <c:numCache>
                <c:formatCode>General</c:formatCode>
                <c:ptCount val="13"/>
                <c:pt idx="0">
                  <c:v>2.6015569510968718E-2</c:v>
                </c:pt>
                <c:pt idx="1">
                  <c:v>3.335691829655562E-2</c:v>
                </c:pt>
                <c:pt idx="2">
                  <c:v>3.50135525731275E-2</c:v>
                </c:pt>
                <c:pt idx="3">
                  <c:v>2.7187141293649769E-2</c:v>
                </c:pt>
                <c:pt idx="4">
                  <c:v>2.6619078499097535E-2</c:v>
                </c:pt>
                <c:pt idx="5">
                  <c:v>3.861538085357745E-2</c:v>
                </c:pt>
                <c:pt idx="6">
                  <c:v>3.9738863445318885E-2</c:v>
                </c:pt>
                <c:pt idx="7">
                  <c:v>4.4502467187679778E-2</c:v>
                </c:pt>
                <c:pt idx="8">
                  <c:v>3.7117094428268743E-2</c:v>
                </c:pt>
                <c:pt idx="9">
                  <c:v>2.7617326611304761E-2</c:v>
                </c:pt>
                <c:pt idx="10">
                  <c:v>3.1797236060419662E-2</c:v>
                </c:pt>
                <c:pt idx="11">
                  <c:v>4.3714698366482133E-2</c:v>
                </c:pt>
                <c:pt idx="12">
                  <c:v>3.4187279560522171E-2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D-4263-8BFF-370E42FC513B}"/>
            </c:ext>
          </c:extLst>
        </c:ser>
        <c:ser>
          <c:idx val="4"/>
          <c:order val="4"/>
          <c:tx>
            <c:strRef>
              <c:f>OPEX!$D$17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OPEX!$E$17:$Q$17</c:f>
              <c:numCache>
                <c:formatCode>General</c:formatCode>
                <c:ptCount val="13"/>
                <c:pt idx="0">
                  <c:v>3.6421797315356212E-2</c:v>
                </c:pt>
                <c:pt idx="1">
                  <c:v>4.6699685615177872E-2</c:v>
                </c:pt>
                <c:pt idx="2">
                  <c:v>4.9018973602378509E-2</c:v>
                </c:pt>
                <c:pt idx="3">
                  <c:v>3.8061997811109673E-2</c:v>
                </c:pt>
                <c:pt idx="4">
                  <c:v>3.7266709898736552E-2</c:v>
                </c:pt>
                <c:pt idx="5">
                  <c:v>5.4061533195008428E-2</c:v>
                </c:pt>
                <c:pt idx="6">
                  <c:v>5.5634408823446446E-2</c:v>
                </c:pt>
                <c:pt idx="7">
                  <c:v>6.2303454062751701E-2</c:v>
                </c:pt>
                <c:pt idx="8">
                  <c:v>5.1963932199576256E-2</c:v>
                </c:pt>
                <c:pt idx="9">
                  <c:v>3.8664257255826666E-2</c:v>
                </c:pt>
                <c:pt idx="10">
                  <c:v>4.4516130484587524E-2</c:v>
                </c:pt>
                <c:pt idx="11">
                  <c:v>6.1200577713074987E-2</c:v>
                </c:pt>
                <c:pt idx="12">
                  <c:v>4.7862191384731051E-2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D-4263-8BFF-370E42FC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60032"/>
        <c:axId val="89559552"/>
      </c:barChart>
      <c:catAx>
        <c:axId val="17246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559552"/>
        <c:crosses val="autoZero"/>
        <c:auto val="1"/>
        <c:lblAlgn val="ctr"/>
        <c:lblOffset val="100"/>
        <c:noMultiLvlLbl val="0"/>
      </c:catAx>
      <c:valAx>
        <c:axId val="8955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de-DE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2460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371474</xdr:colOff>
      <xdr:row>101</xdr:row>
      <xdr:rowOff>57150</xdr:rowOff>
    </xdr:from>
    <xdr:to>
      <xdr:col>27</xdr:col>
      <xdr:colOff>466725</xdr:colOff>
      <xdr:row>137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7</xdr:row>
      <xdr:rowOff>123825</xdr:rowOff>
    </xdr:from>
    <xdr:to>
      <xdr:col>12</xdr:col>
      <xdr:colOff>47625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9020175" y="1457325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BUSINESS OPEX</a:t>
          </a:r>
        </a:p>
      </xdr:txBody>
    </xdr:sp>
    <xdr:clientData/>
  </xdr:twoCellAnchor>
  <xdr:twoCellAnchor>
    <xdr:from>
      <xdr:col>8</xdr:col>
      <xdr:colOff>885825</xdr:colOff>
      <xdr:row>22</xdr:row>
      <xdr:rowOff>133350</xdr:rowOff>
    </xdr:from>
    <xdr:to>
      <xdr:col>12</xdr:col>
      <xdr:colOff>152400</xdr:colOff>
      <xdr:row>25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9124950" y="4324350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RESIDENTIAL OPEX</a:t>
          </a:r>
        </a:p>
      </xdr:txBody>
    </xdr:sp>
    <xdr:clientData/>
  </xdr:twoCellAnchor>
  <xdr:twoCellAnchor>
    <xdr:from>
      <xdr:col>0</xdr:col>
      <xdr:colOff>171452</xdr:colOff>
      <xdr:row>57</xdr:row>
      <xdr:rowOff>161924</xdr:rowOff>
    </xdr:from>
    <xdr:to>
      <xdr:col>8</xdr:col>
      <xdr:colOff>895351</xdr:colOff>
      <xdr:row>97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, Sai Kireet" refreshedDate="43276.827178819447" createdVersion="4" refreshedVersion="4" minRefreshableVersion="3" recordCount="9" xr:uid="{00000000-000A-0000-FFFF-FFFF00000000}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eet Patri" refreshedDate="43359.680569097225" createdVersion="6" refreshedVersion="6" minRefreshableVersion="3" recordCount="5" xr:uid="{CAE22E39-1E75-40ED-B981-2327E7F12BB6}">
  <cacheSource type="worksheet">
    <worksheetSource name="Table22"/>
  </cacheSource>
  <cacheFields count="14">
    <cacheField name="Component" numFmtId="0">
      <sharedItems count="5">
        <s v="Rent"/>
        <s v="Energy"/>
        <s v="Fault Maintenance"/>
        <s v="Marketing"/>
        <s v="Operations"/>
      </sharedItems>
    </cacheField>
    <cacheField name="FTTC_GPON_25" numFmtId="0">
      <sharedItems containsSemiMixedTypes="0" containsString="0" containsNumber="1" minValue="2.1975071893424351E-2" maxValue="0.30500991046408316"/>
    </cacheField>
    <cacheField name="FTTB_XGPON_50" numFmtId="0">
      <sharedItems containsSemiMixedTypes="0" containsString="0" containsNumber="1" minValue="2.5844034813430752E-2" maxValue="0.26098944433053106"/>
    </cacheField>
    <cacheField name="FTTB_DWDM_50" numFmtId="0">
      <sharedItems containsSemiMixedTypes="0" containsString="0" containsNumber="1" minValue="2.5988897056933909E-2" maxValue="0.27317297518966577"/>
    </cacheField>
    <cacheField name="FTTH_DWDM_100" numFmtId="0">
      <sharedItems containsSemiMixedTypes="0" containsString="0" containsNumber="1" minValue="2.0629065083726337E-2" maxValue="0.27878340509876293"/>
    </cacheField>
    <cacheField name="FTTH_XGPON_100" numFmtId="0">
      <sharedItems containsSemiMixedTypes="0" containsString="0" containsNumber="1" minValue="2.0099106248376734E-2" maxValue="0.28095687239423145"/>
    </cacheField>
    <cacheField name="FTTC_GPON_100" numFmtId="0">
      <sharedItems containsSemiMixedTypes="0" containsString="0" containsNumber="1" minValue="3.013048745296602E-2" maxValue="0.28887157405508856"/>
    </cacheField>
    <cacheField name="FTTB_XGPON_100" numFmtId="0">
      <sharedItems containsSemiMixedTypes="0" containsString="0" containsNumber="1" minValue="3.1047153493951204E-2" maxValue="0.26819394709862621"/>
    </cacheField>
    <cacheField name="FTTB_DWDM_100" numFmtId="0">
      <sharedItems containsSemiMixedTypes="0" containsString="0" containsNumber="1" minValue="3.6579596211468807E-2" maxValue="0.37485065955847169"/>
    </cacheField>
    <cacheField name="FTTC_Hybridpon_25" numFmtId="0">
      <sharedItems containsSemiMixedTypes="0" containsString="0" containsNumber="1" minValue="3.7117094428268743E-2" maxValue="0.47351513908823728"/>
    </cacheField>
    <cacheField name="FTTB_Hybridpon_50" numFmtId="0">
      <sharedItems containsSemiMixedTypes="0" containsString="0" containsNumber="1" minValue="2.7617326611304761E-2" maxValue="0.25263358622103754"/>
    </cacheField>
    <cacheField name="FTTH_Hybridpon_100" numFmtId="0">
      <sharedItems containsSemiMixedTypes="0" containsString="0" containsNumber="1" minValue="2.8738978880459301E-2" maxValue="0.32141958854487046"/>
    </cacheField>
    <cacheField name="FTTC_Hybridpon_100" numFmtId="0">
      <sharedItems containsSemiMixedTypes="0" containsString="0" containsNumber="1" minValue="4.3714698366482133E-2" maxValue="0.65775408379468259"/>
    </cacheField>
    <cacheField name="FTTB_Hybridpon_100" numFmtId="0">
      <sharedItems containsSemiMixedTypes="0" containsString="0" containsNumber="1" minValue="3.4187279560522171E-2" maxValue="0.32141958854487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30500991046408316"/>
    <n v="0.12200396418563325"/>
    <n v="0.13939170254938146"/>
    <n v="0.27878340509876293"/>
    <n v="0.28095687239423145"/>
    <n v="0.28887157405508856"/>
    <n v="0.24755792495386508"/>
    <n v="0.37485065955847169"/>
    <n v="0.47351513908823728"/>
    <n v="0.15913403048322056"/>
    <n v="0.32141958854487046"/>
    <n v="0.65775408379468259"/>
    <n v="0.32141958854487046"/>
  </r>
  <r>
    <x v="1"/>
    <n v="6.5597437769120359E-2"/>
    <n v="0.26098944433053106"/>
    <n v="0.27317297518966577"/>
    <n v="5.5152974369489439E-2"/>
    <n v="4.1872692228829202E-2"/>
    <n v="0.18693906458888662"/>
    <n v="0.26819394709862621"/>
    <n v="0.25180734057822435"/>
    <n v="0.12022323149477136"/>
    <n v="0.25263358622103754"/>
    <n v="2.8738978880459301E-2"/>
    <n v="0.15386130818125898"/>
    <n v="0.25604633996309206"/>
  </r>
  <r>
    <x v="2"/>
    <n v="6.8894089635283484E-2"/>
    <n v="0.13388728775245062"/>
    <n v="0.1072132633996309"/>
    <n v="7.8644922206274337E-2"/>
    <n v="7.9152560344474057E-2"/>
    <n v="0.12679911041534522"/>
    <n v="0.1051911978265327"/>
    <n v="0.10493392409267993"/>
    <n v="0.14860351798236623"/>
    <n v="0.14057891552183716"/>
    <n v="0.28578615378306338"/>
    <n v="6.2678575353701055E-2"/>
    <n v="0.10627966270248103"/>
  </r>
  <r>
    <x v="3"/>
    <n v="2.1975071893424351E-2"/>
    <n v="2.5844034813430752E-2"/>
    <n v="2.5988897056933909E-2"/>
    <n v="2.0629065083726337E-2"/>
    <n v="2.0099106248376734E-2"/>
    <n v="3.013048745296602E-2"/>
    <n v="3.1047153493951204E-2"/>
    <n v="3.6579596211468807E-2"/>
    <n v="3.7117094428268743E-2"/>
    <n v="2.7617326611304761E-2"/>
    <n v="3.1797236060419662E-2"/>
    <n v="4.3714698366482133E-2"/>
    <n v="3.4187279560522171E-2"/>
  </r>
  <r>
    <x v="4"/>
    <n v="3.0765100650794092E-2"/>
    <n v="3.618164873880305E-2"/>
    <n v="3.638445587970747E-2"/>
    <n v="2.8880691117216868E-2"/>
    <n v="2.813874874772743E-2"/>
    <n v="4.2182682434152435E-2"/>
    <n v="4.3466014891531686E-2"/>
    <n v="5.1211434696056331E-2"/>
    <n v="5.1963932199576256E-2"/>
    <n v="3.8664257255826666E-2"/>
    <n v="4.4516130484587524E-2"/>
    <n v="6.1200577713074987E-2"/>
    <n v="4.786219138473105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E5F76-CECE-42BB-BC16-81FF6929CF2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4"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TC_GPON_25" fld="1" baseField="0" baseItem="0"/>
    <dataField name="Sum of FTTB_XGPON_5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B11" totalsRowCount="1">
  <autoFilter ref="A1:AB10" xr:uid="{00000000-0009-0000-0100-000002000000}"/>
  <tableColumns count="28">
    <tableColumn id="1" xr3:uid="{00000000-0010-0000-0000-000001000000}" name="Position of component"/>
    <tableColumn id="2" xr3:uid="{00000000-0010-0000-0000-000002000000}" name="Component Name"/>
    <tableColumn id="3" xr3:uid="{00000000-0010-0000-0000-000003000000}" name="Cost per Unit (OASE)"/>
    <tableColumn id="4" xr3:uid="{00000000-0010-0000-0000-000004000000}" name="Quantity"/>
    <tableColumn id="24" xr3:uid="{00000000-0010-0000-0000-000018000000}" name="Floor Space per component"/>
    <tableColumn id="25" xr3:uid="{00000000-0010-0000-0000-000019000000}" name="Total Floor Space">
      <calculatedColumnFormula>Table2[[#This Row],[Floor Space per component]]*Table2[[#This Row],[Quantity]]</calculatedColumnFormula>
    </tableColumn>
    <tableColumn id="26" xr3:uid="{00000000-0010-0000-0000-00001A000000}" name="Rent per sqm per year"/>
    <tableColumn id="27" xr3:uid="{00000000-0010-0000-0000-00001B000000}" name="Total Rent cost per year" totalsRowFunction="custom" totalsRowDxfId="197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xr3:uid="{00000000-0010-0000-0000-000005000000}" name="Installation Time in hours"/>
    <tableColumn id="6" xr3:uid="{00000000-0010-0000-0000-000006000000}" name="MTTR"/>
    <tableColumn id="7" xr3:uid="{00000000-0010-0000-0000-000007000000}" name="FIT"/>
    <tableColumn id="8" xr3:uid="{00000000-0010-0000-0000-000008000000}" name="Energy consumption in W"/>
    <tableColumn id="9" xr3:uid="{00000000-0010-0000-0000-000009000000}" name="Yearly Energy Consumption in kWh">
      <calculatedColumnFormula>Table2[[#This Row],[Energy consumption in W]]*24*365/1000</calculatedColumnFormula>
    </tableColumn>
    <tableColumn id="10" xr3:uid="{00000000-0010-0000-0000-00000A000000}" name="CU/kWh">
      <calculatedColumnFormula>0.3048/50</calculatedColumnFormula>
    </tableColumn>
    <tableColumn id="11" xr3:uid="{00000000-0010-0000-0000-00000B000000}" name="Energy Cost per year in CU" totalsRowFunction="custom" totalsRowDxfId="196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xr3:uid="{00000000-0010-0000-0000-00000C000000}" name="Mean dist in km from CO"/>
    <tableColumn id="13" xr3:uid="{00000000-0010-0000-0000-00000D000000}" name="Avg Travel Speed"/>
    <tableColumn id="14" xr3:uid="{00000000-0010-0000-0000-00000E000000}" name="Failures per year">
      <calculatedColumnFormula>Table2[[#This Row],[Quantity]]*(Table2[[#This Row],[FIT]]*24*365)/1000000000</calculatedColumnFormula>
    </tableColumn>
    <tableColumn id="15" xr3:uid="{00000000-0010-0000-0000-00000F000000}" name="Twice Travel Time">
      <calculatedColumnFormula>2*Table2[[#This Row],[Mean dist in km from CO]]/Table2[[#This Row],[Avg Travel Speed]]</calculatedColumnFormula>
    </tableColumn>
    <tableColumn id="16" xr3:uid="{00000000-0010-0000-0000-000010000000}" name="Total Time to Repair(h)">
      <calculatedColumnFormula>Table2[[#This Row],[MTTR]]+Table2[[#This Row],[Twice Travel Time]]</calculatedColumnFormula>
    </tableColumn>
    <tableColumn id="17" xr3:uid="{00000000-0010-0000-0000-000011000000}" name="No. Of technicians"/>
    <tableColumn id="18" xr3:uid="{00000000-0010-0000-0000-000012000000}" name="Cost per hour">
      <calculatedColumnFormula>250/50</calculatedColumnFormula>
    </tableColumn>
    <tableColumn id="19" xr3:uid="{00000000-0010-0000-0000-000013000000}" name="FM Cost" totalsRowFunction="custom" totalsRowDxfId="195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xr3:uid="{00000000-0010-0000-0000-000014000000}" name="SLA CU per hour"/>
    <tableColumn id="21" xr3:uid="{00000000-0010-0000-0000-000015000000}" name="Percentage of Business Users"/>
    <tableColumn id="22" xr3:uid="{00000000-0010-0000-0000-000016000000}" name="Percentage of ITS and business users">
      <calculatedColumnFormula>0.07+2*0.00027</calculatedColumnFormula>
    </tableColumn>
    <tableColumn id="23" xr3:uid="{00000000-0010-0000-0000-000017000000}" name="FM Penalty Business" totalsRowFunction="sum">
      <calculatedColumnFormula>Table2[[#This Row],[Percentage of Business Users]]*Table2[[#This Row],[SLA CU per hour]]*Table2[[#This Row],[Failures per year]]*Table2[[#This Row],[Total Time to Repair(h)]]</calculatedColumnFormula>
    </tableColumn>
    <tableColumn id="28" xr3:uid="{00000000-0010-0000-0000-00001C000000}" name="FM Penalty ITS" totalsRowFunction="sum">
      <calculatedColumnFormula>Table2[[#This Row],[Percentage of ITS and business users]]*Table2[[#This Row],[SLA CU per hour]]*Table2[[#This Row],[Failures per year]]*Table2[[#This Row],[Total Time to Repair(h)]]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19" displayName="Table19" ref="B1:AB11" totalsRowCount="1">
  <autoFilter ref="B1:AB10" xr:uid="{00000000-0009-0000-0100-000008000000}"/>
  <tableColumns count="27">
    <tableColumn id="1" xr3:uid="{00000000-0010-0000-0900-000001000000}" name="Component Name" dataDxfId="151" totalsRowDxfId="26"/>
    <tableColumn id="2" xr3:uid="{00000000-0010-0000-0900-000002000000}" name="Cost per Unit (OASE)" dataDxfId="150" totalsRowDxfId="25"/>
    <tableColumn id="3" xr3:uid="{00000000-0010-0000-0900-000003000000}" name="Quantity" dataDxfId="149" totalsRowDxfId="24"/>
    <tableColumn id="4" xr3:uid="{00000000-0010-0000-0900-000004000000}" name="Floor Space per component" totalsRowDxfId="23"/>
    <tableColumn id="5" xr3:uid="{00000000-0010-0000-0900-000005000000}" name="Total Floor Space" totalsRowDxfId="22">
      <calculatedColumnFormula>E2*D2</calculatedColumnFormula>
    </tableColumn>
    <tableColumn id="6" xr3:uid="{00000000-0010-0000-0900-000006000000}" name="Rent per sqm per year" totalsRowDxfId="21"/>
    <tableColumn id="7" xr3:uid="{00000000-0010-0000-0900-000007000000}" name="Total Rent cost per year" totalsRowFunction="sum" totalsRowDxfId="20">
      <calculatedColumnFormula>G2*F2</calculatedColumnFormula>
    </tableColumn>
    <tableColumn id="8" xr3:uid="{00000000-0010-0000-0900-000008000000}" name="Installation Time in hours" totalsRowDxfId="19"/>
    <tableColumn id="9" xr3:uid="{00000000-0010-0000-0900-000009000000}" name="MTTR" totalsRowDxfId="18"/>
    <tableColumn id="10" xr3:uid="{00000000-0010-0000-0900-00000A000000}" name="FIT" totalsRowDxfId="17"/>
    <tableColumn id="11" xr3:uid="{00000000-0010-0000-0900-00000B000000}" name="Energy consumption in W" totalsRowDxfId="16"/>
    <tableColumn id="12" xr3:uid="{00000000-0010-0000-0900-00000C000000}" name="Yearly Energy Consumption in kWh" totalsRowDxfId="15">
      <calculatedColumnFormula>Table19[[#This Row],[Energy consumption in W]]*24*365/1000</calculatedColumnFormula>
    </tableColumn>
    <tableColumn id="13" xr3:uid="{00000000-0010-0000-0900-00000D000000}" name="CU/kWh" totalsRowDxfId="14">
      <calculatedColumnFormula>0.15/50</calculatedColumnFormula>
    </tableColumn>
    <tableColumn id="14" xr3:uid="{00000000-0010-0000-0900-00000E000000}" name="Energy Cost per year in CU" totalsRowFunction="sum" totalsRowDxfId="13">
      <calculatedColumnFormula>Table19[[#This Row],[Yearly Energy Consumption in kWh]]*Table19[[#This Row],[CU/kWh]]</calculatedColumnFormula>
    </tableColumn>
    <tableColumn id="15" xr3:uid="{00000000-0010-0000-0900-00000F000000}" name="Mean dist in km from CO" totalsRowDxfId="12"/>
    <tableColumn id="16" xr3:uid="{00000000-0010-0000-0900-000010000000}" name="Avg Travel Speed" totalsRowDxfId="11"/>
    <tableColumn id="17" xr3:uid="{00000000-0010-0000-0900-000011000000}" name="Failures per year" totalsRowDxfId="10">
      <calculatedColumnFormula>Table19[[#This Row],[Quantity]]*Table19[[#This Row],[FIT]]*24*365/1000000000</calculatedColumnFormula>
    </tableColumn>
    <tableColumn id="18" xr3:uid="{00000000-0010-0000-0900-000012000000}" name="Twice Travel Time" totalsRowDxfId="9">
      <calculatedColumnFormula>2*Table19[[#This Row],[Mean dist in km from CO]]/Table19[[#This Row],[Avg Travel Speed]]</calculatedColumnFormula>
    </tableColumn>
    <tableColumn id="19" xr3:uid="{00000000-0010-0000-0900-000013000000}" name="Total Time to Repair(h)" totalsRowDxfId="8">
      <calculatedColumnFormula>Table19[[#This Row],[MTTR]]+Table19[[#This Row],[Twice Travel Time]]</calculatedColumnFormula>
    </tableColumn>
    <tableColumn id="20" xr3:uid="{00000000-0010-0000-0900-000014000000}" name="No. Of technicians" totalsRowDxfId="7"/>
    <tableColumn id="21" xr3:uid="{00000000-0010-0000-0900-000015000000}" name="Cost per hour" totalsRowDxfId="6"/>
    <tableColumn id="22" xr3:uid="{00000000-0010-0000-0900-000016000000}" name="FM Cost" totalsRowFunction="custom" totalsRowDxfId="5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  <tableColumn id="23" xr3:uid="{00000000-0010-0000-0900-000017000000}" name="SLA CU per hour" totalsRowDxfId="4"/>
    <tableColumn id="24" xr3:uid="{00000000-0010-0000-0900-000018000000}" name="Percentage of Business Users" totalsRowDxfId="3"/>
    <tableColumn id="25" xr3:uid="{00000000-0010-0000-0900-000019000000}" name="Percentage of ITS and business users" totalsRowDxfId="2">
      <calculatedColumnFormula>0.07+2*0.00027</calculatedColumnFormula>
    </tableColumn>
    <tableColumn id="26" xr3:uid="{00000000-0010-0000-0900-00001A000000}" name="FM Penalty Business" totalsRowFunction="sum" totalsRowDxfId="1">
      <calculatedColumnFormula>Table19[Percentage of Business Users]*Table19[SLA CU per hour]*Table19[Failures per year]*Table19[Total Time to Repair(h)]</calculatedColumnFormula>
    </tableColumn>
    <tableColumn id="27" xr3:uid="{00000000-0010-0000-0900-00001B000000}" name="FM Penalty ITS" totalsRowFunction="sum" totalsRowDxfId="0">
      <calculatedColumnFormula>Table19[[#This Row],[Percentage of ITS and business users]]*Table19[[#This Row],[SLA CU per hour]]*Table19[[#This Row],[Failures per year]]*Table19[[#This Row],[Total Time to Repair(h)]]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141617" displayName="Table141617" ref="L32:O38" totalsRowCount="1">
  <autoFilter ref="L32:O37" xr:uid="{00000000-0009-0000-0100-000010000000}"/>
  <tableColumns count="4">
    <tableColumn id="1" xr3:uid="{00000000-0010-0000-0A00-000001000000}" name="Component"/>
    <tableColumn id="2" xr3:uid="{00000000-0010-0000-0A00-000002000000}" name="Residential Cost" totalsRowFunction="custom">
      <calculatedColumnFormula>M44/$I$34</calculatedColumnFormula>
      <totalsRowFormula>SUM(Table141617[Residential Cost])</totalsRowFormula>
    </tableColumn>
    <tableColumn id="3" xr3:uid="{00000000-0010-0000-0A00-000003000000}" name="Business Cost" totalsRowFunction="sum">
      <calculatedColumnFormula>N44/$I$34</calculatedColumnFormula>
    </tableColumn>
    <tableColumn id="4" xr3:uid="{00000000-0010-0000-0A00-000004000000}" name="ITS cost" totalsRowFunction="sum">
      <calculatedColumnFormula>O44/$I$34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B000000}" name="Table9" displayName="Table9" ref="A1:AB11" totalsRowCount="1">
  <autoFilter ref="A1:AB10" xr:uid="{00000000-0009-0000-0100-000009000000}"/>
  <tableColumns count="28">
    <tableColumn id="1" xr3:uid="{00000000-0010-0000-0B00-000001000000}" name="Position of component"/>
    <tableColumn id="2" xr3:uid="{00000000-0010-0000-0B00-000002000000}" name="Component Name"/>
    <tableColumn id="3" xr3:uid="{00000000-0010-0000-0B00-000003000000}" name="Cost per Unit (OASE)"/>
    <tableColumn id="4" xr3:uid="{00000000-0010-0000-0B00-000004000000}" name="Quantity"/>
    <tableColumn id="5" xr3:uid="{00000000-0010-0000-0B00-000005000000}" name="Floor Space per component"/>
    <tableColumn id="6" xr3:uid="{00000000-0010-0000-0B00-000006000000}" name="Total Floor Space">
      <calculatedColumnFormula>Table9[[#This Row],[Floor Space per component]]*Table9[[#This Row],[Quantity]]</calculatedColumnFormula>
    </tableColumn>
    <tableColumn id="7" xr3:uid="{00000000-0010-0000-0B00-000007000000}" name="Rent per sqm per year"/>
    <tableColumn id="8" xr3:uid="{00000000-0010-0000-0B00-000008000000}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xr3:uid="{00000000-0010-0000-0B00-000009000000}" name="Installation Time in hours"/>
    <tableColumn id="10" xr3:uid="{00000000-0010-0000-0B00-00000A000000}" name="MTTR"/>
    <tableColumn id="11" xr3:uid="{00000000-0010-0000-0B00-00000B000000}" name="FIT"/>
    <tableColumn id="12" xr3:uid="{00000000-0010-0000-0B00-00000C000000}" name="Energy consumption in W"/>
    <tableColumn id="13" xr3:uid="{00000000-0010-0000-0B00-00000D000000}" name="Yearly Energy Consumption in kWh">
      <calculatedColumnFormula>Table9[[#This Row],[Energy consumption in W]]*24*365/1000</calculatedColumnFormula>
    </tableColumn>
    <tableColumn id="14" xr3:uid="{00000000-0010-0000-0B00-00000E000000}" name="CU/kWh">
      <calculatedColumnFormula>0.15/50</calculatedColumnFormula>
    </tableColumn>
    <tableColumn id="15" xr3:uid="{00000000-0010-0000-0B00-00000F000000}" name="Energy Cost per year in CU" totalsRowFunction="sum">
      <calculatedColumnFormula>Table9[[#This Row],[Yearly Energy Consumption in kWh]]*Table9[[#This Row],[CU/kWh]]</calculatedColumnFormula>
    </tableColumn>
    <tableColumn id="16" xr3:uid="{00000000-0010-0000-0B00-000010000000}" name="Mean dist in km from CO"/>
    <tableColumn id="17" xr3:uid="{00000000-0010-0000-0B00-000011000000}" name="Avg Travel Speed"/>
    <tableColumn id="18" xr3:uid="{00000000-0010-0000-0B00-000012000000}" name="Failures per year">
      <calculatedColumnFormula>Table9[[#This Row],[FIT]]*Table9[[#This Row],[Quantity]]*24*365/1000000000</calculatedColumnFormula>
    </tableColumn>
    <tableColumn id="19" xr3:uid="{00000000-0010-0000-0B00-000013000000}" name="Twice Travel Time">
      <calculatedColumnFormula>2*Table9[[#This Row],[Mean dist in km from CO]]/Table9[[#This Row],[Avg Travel Speed]]</calculatedColumnFormula>
    </tableColumn>
    <tableColumn id="20" xr3:uid="{00000000-0010-0000-0B00-000014000000}" name="Total Time to Repair(h)">
      <calculatedColumnFormula>Table9[[#This Row],[MTTR]]+Table9[[#This Row],[Twice Travel Time]]</calculatedColumnFormula>
    </tableColumn>
    <tableColumn id="21" xr3:uid="{00000000-0010-0000-0B00-000015000000}" name="No. Of technicians"/>
    <tableColumn id="22" xr3:uid="{00000000-0010-0000-0B00-000016000000}" name="Cost per hour"/>
    <tableColumn id="23" xr3:uid="{00000000-0010-0000-0B00-000017000000}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  <tableColumn id="24" xr3:uid="{00000000-0010-0000-0B00-000018000000}" name="SLA CU per hour"/>
    <tableColumn id="25" xr3:uid="{00000000-0010-0000-0B00-000019000000}" name="Percentage of Business Users"/>
    <tableColumn id="26" xr3:uid="{00000000-0010-0000-0B00-00001A000000}" name="Percentage of ITS and business users">
      <calculatedColumnFormula>0.07+2*0.00027</calculatedColumnFormula>
    </tableColumn>
    <tableColumn id="27" xr3:uid="{00000000-0010-0000-0B00-00001B000000}" name="FM Penalty Business" totalsRowFunction="sum" dataCellStyle="Hyperlink">
      <calculatedColumnFormula>Table9[Percentage of Business Users]*Table9[SLA CU per hour]*Table9[Failures per year]*Table9[Total Time to Repair(h)]</calculatedColumnFormula>
    </tableColumn>
    <tableColumn id="28" xr3:uid="{00000000-0010-0000-0B00-00001C000000}" name="FM Penalty ITS" totalsRowFunction="sum">
      <calculatedColumnFormula>Table9[[#This Row],[Percentage of ITS and business users]]*Table9[[#This Row],[SLA CU per hour]]*Table9[[#This Row],[Failures per year]]*Table9[[#This Row],[Total Time to Repair(h)]]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4161718" displayName="Table14161718" ref="O20:Q26" totalsRowCount="1">
  <autoFilter ref="O20:Q25" xr:uid="{00000000-0009-0000-0100-000011000000}"/>
  <tableColumns count="3">
    <tableColumn id="1" xr3:uid="{00000000-0010-0000-0C00-000001000000}" name="Component"/>
    <tableColumn id="2" xr3:uid="{00000000-0010-0000-0C00-000002000000}" name="Cost" totalsRowFunction="custom">
      <calculatedColumnFormula>P42/$M$39</calculatedColumnFormula>
      <totalsRowFormula>SUM(Table14161718[Cost])</totalsRowFormula>
    </tableColumn>
    <tableColumn id="3" xr3:uid="{00000000-0010-0000-0C00-000003000000}" name="Cost ITS" totalsRowFunction="sum">
      <calculatedColumnFormula>Q42/$M$39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10" displayName="Table10" ref="A1:Z10" totalsRowCount="1">
  <autoFilter ref="A1:Z9" xr:uid="{00000000-0009-0000-0100-00000A000000}"/>
  <tableColumns count="26">
    <tableColumn id="1" xr3:uid="{00000000-0010-0000-0D00-000001000000}" name="Position of component" dataDxfId="148" totalsRowDxfId="147"/>
    <tableColumn id="2" xr3:uid="{00000000-0010-0000-0D00-000002000000}" name="Component Name" dataDxfId="146" totalsRowDxfId="145"/>
    <tableColumn id="3" xr3:uid="{00000000-0010-0000-0D00-000003000000}" name="Cost per Unit (OASE)" dataDxfId="144" totalsRowDxfId="143"/>
    <tableColumn id="4" xr3:uid="{00000000-0010-0000-0D00-000004000000}" name="Quantity" dataDxfId="142" totalsRowDxfId="141"/>
    <tableColumn id="5" xr3:uid="{00000000-0010-0000-0D00-000005000000}" name="Floor Space per component" totalsRowDxfId="140"/>
    <tableColumn id="6" xr3:uid="{00000000-0010-0000-0D00-000006000000}" name="Total Floor Space" totalsRowDxfId="139">
      <calculatedColumnFormula>E2*D2</calculatedColumnFormula>
    </tableColumn>
    <tableColumn id="7" xr3:uid="{00000000-0010-0000-0D00-000007000000}" name="Rent per sqm per year" totalsRowDxfId="138"/>
    <tableColumn id="8" xr3:uid="{00000000-0010-0000-0D00-000008000000}" name="Total Rent cost per year" totalsRowFunction="custom" totalsRowDxfId="137">
      <calculatedColumnFormula>Table10[[#This Row],[Total Floor Space]]*Table10[[#This Row],[Rent per sqm per year]]</calculatedColumnFormula>
      <totalsRowFormula>SUM(Table10[Total Rent cost per year])</totalsRowFormula>
    </tableColumn>
    <tableColumn id="9" xr3:uid="{00000000-0010-0000-0D00-000009000000}" name="Installation Time in hours" totalsRowDxfId="136"/>
    <tableColumn id="10" xr3:uid="{00000000-0010-0000-0D00-00000A000000}" name="MTTR" totalsRowDxfId="135"/>
    <tableColumn id="11" xr3:uid="{00000000-0010-0000-0D00-00000B000000}" name="FIT" totalsRowDxfId="134"/>
    <tableColumn id="12" xr3:uid="{00000000-0010-0000-0D00-00000C000000}" name="Energy consumption in W" totalsRowDxfId="133"/>
    <tableColumn id="13" xr3:uid="{00000000-0010-0000-0D00-00000D000000}" name="Yearly Energy Consumption in kWh" totalsRowDxfId="132">
      <calculatedColumnFormula>Table10[[#This Row],[Energy consumption in W]]*24*365/1000</calculatedColumnFormula>
    </tableColumn>
    <tableColumn id="14" xr3:uid="{00000000-0010-0000-0D00-00000E000000}" name="CU/kWh" totalsRowDxfId="131">
      <calculatedColumnFormula>0.15/50</calculatedColumnFormula>
    </tableColumn>
    <tableColumn id="15" xr3:uid="{00000000-0010-0000-0D00-00000F000000}" name="Energy Cost per year in CU" totalsRowFunction="sum" totalsRowDxfId="130">
      <calculatedColumnFormula>Table10[[#This Row],[Yearly Energy Consumption in kWh]]*Table10[[#This Row],[CU/kWh]]</calculatedColumnFormula>
    </tableColumn>
    <tableColumn id="16" xr3:uid="{00000000-0010-0000-0D00-000010000000}" name="Mean dist in km from CO" totalsRowDxfId="129"/>
    <tableColumn id="17" xr3:uid="{00000000-0010-0000-0D00-000011000000}" name="Avg Travel Speed" totalsRowDxfId="128"/>
    <tableColumn id="18" xr3:uid="{00000000-0010-0000-0D00-000012000000}" name="Failures per year" totalsRowDxfId="127">
      <calculatedColumnFormula>Table10[[#This Row],[FIT]]*Table10[[#This Row],[Quantity]]*24*365/1000000000</calculatedColumnFormula>
    </tableColumn>
    <tableColumn id="19" xr3:uid="{00000000-0010-0000-0D00-000013000000}" name="Twice Travel Time" totalsRowDxfId="126">
      <calculatedColumnFormula>2*Table10[[#This Row],[Mean dist in km from CO]]/Table10[[#This Row],[Avg Travel Speed]]</calculatedColumnFormula>
    </tableColumn>
    <tableColumn id="20" xr3:uid="{00000000-0010-0000-0D00-000014000000}" name="Total Time to Repair(h)" totalsRowDxfId="125">
      <calculatedColumnFormula>Table10[[#This Row],[MTTR]]+Table10[[#This Row],[Twice Travel Time]]</calculatedColumnFormula>
    </tableColumn>
    <tableColumn id="21" xr3:uid="{00000000-0010-0000-0D00-000015000000}" name="No. Of technicians" totalsRowDxfId="124"/>
    <tableColumn id="22" xr3:uid="{00000000-0010-0000-0D00-000016000000}" name="Cost per hour" totalsRowDxfId="123"/>
    <tableColumn id="23" xr3:uid="{00000000-0010-0000-0D00-000017000000}" name="FM Cost" totalsRowFunction="sum" totalsRowDxfId="122">
      <calculatedColumnFormula>Table10[[#This Row],[Failures per year]]*Table10[[#This Row],[Total Time to Repair(h)]]*Table10[[#This Row],[No. Of technicians]]*Table10[[#This Row],[Cost per hour]]</calculatedColumnFormula>
    </tableColumn>
    <tableColumn id="24" xr3:uid="{00000000-0010-0000-0D00-000018000000}" name="SLA CU per hour" totalsRowLabel="100" totalsRowDxfId="121"/>
    <tableColumn id="25" xr3:uid="{00000000-0010-0000-0D00-000019000000}" name="Percentage of Business Users" totalsRowLabel="0.07" totalsRowDxfId="120"/>
    <tableColumn id="26" xr3:uid="{00000000-0010-0000-0D00-00001A000000}" name="Percentage of ITS and business users" totalsRowFunction="custom" totalsRowDxfId="119">
      <calculatedColumnFormula>0.07+2*0.00027</calculatedColumnFormula>
      <totalsRowFormula>0.07+2*0.00027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e1416171819" displayName="Table1416171819" ref="O18:P24" totalsRowCount="1">
  <autoFilter ref="O18:P23" xr:uid="{00000000-0009-0000-0100-000012000000}"/>
  <tableColumns count="2">
    <tableColumn id="1" xr3:uid="{00000000-0010-0000-0E00-000001000000}" name="Component"/>
    <tableColumn id="2" xr3:uid="{00000000-0010-0000-0E00-000002000000}" name="Cost" totalsRowFunction="custom">
      <calculatedColumnFormula>P31/$M$31</calculatedColumnFormula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1012" displayName="Table1012" ref="A1:Z10" totalsRowCount="1">
  <autoFilter ref="A1:Z9" xr:uid="{00000000-0009-0000-0100-00000B000000}"/>
  <tableColumns count="26">
    <tableColumn id="1" xr3:uid="{00000000-0010-0000-0F00-000001000000}" name="Position of component" dataDxfId="118" totalsRowDxfId="117"/>
    <tableColumn id="2" xr3:uid="{00000000-0010-0000-0F00-000002000000}" name="Component Name" dataDxfId="116" totalsRowDxfId="115"/>
    <tableColumn id="3" xr3:uid="{00000000-0010-0000-0F00-000003000000}" name="Cost per Unit (OASE)" dataDxfId="114" totalsRowDxfId="113"/>
    <tableColumn id="4" xr3:uid="{00000000-0010-0000-0F00-000004000000}" name="Quantity" dataDxfId="112" totalsRowDxfId="111"/>
    <tableColumn id="5" xr3:uid="{00000000-0010-0000-0F00-000005000000}" name="Floor Space per component" totalsRowDxfId="110"/>
    <tableColumn id="6" xr3:uid="{00000000-0010-0000-0F00-000006000000}" name="Total Floor Space" totalsRowDxfId="109">
      <calculatedColumnFormula>E2*D2</calculatedColumnFormula>
    </tableColumn>
    <tableColumn id="7" xr3:uid="{00000000-0010-0000-0F00-000007000000}" name="Rent per sqm per year" totalsRowDxfId="108"/>
    <tableColumn id="8" xr3:uid="{00000000-0010-0000-0F00-000008000000}" name="Total Rent cost per year" totalsRowFunction="custom" totalsRowDxfId="107">
      <calculatedColumnFormula>Table1012[[#This Row],[Total Floor Space]]*Table1012[[#This Row],[Rent per sqm per year]]</calculatedColumnFormula>
      <totalsRowFormula>SUM(Table1012[Total Rent cost per year])</totalsRowFormula>
    </tableColumn>
    <tableColumn id="9" xr3:uid="{00000000-0010-0000-0F00-000009000000}" name="Installation Time in hours" totalsRowDxfId="106"/>
    <tableColumn id="10" xr3:uid="{00000000-0010-0000-0F00-00000A000000}" name="MTTR" totalsRowDxfId="105"/>
    <tableColumn id="11" xr3:uid="{00000000-0010-0000-0F00-00000B000000}" name="FIT" totalsRowDxfId="104"/>
    <tableColumn id="12" xr3:uid="{00000000-0010-0000-0F00-00000C000000}" name="Energy consumption in W" totalsRowDxfId="103"/>
    <tableColumn id="13" xr3:uid="{00000000-0010-0000-0F00-00000D000000}" name="Yearly Energy Consumption in kWh" totalsRowDxfId="102">
      <calculatedColumnFormula>Table1012[[#This Row],[Energy consumption in W]]*24*365/1000</calculatedColumnFormula>
    </tableColumn>
    <tableColumn id="14" xr3:uid="{00000000-0010-0000-0F00-00000E000000}" name="CU/kWh" totalsRowDxfId="101">
      <calculatedColumnFormula>0.15/50</calculatedColumnFormula>
    </tableColumn>
    <tableColumn id="15" xr3:uid="{00000000-0010-0000-0F00-00000F000000}" name="Energy Cost per year in CU" totalsRowFunction="sum" totalsRowDxfId="100">
      <calculatedColumnFormula>Table1012[[#This Row],[Yearly Energy Consumption in kWh]]*Table1012[[#This Row],[CU/kWh]]</calculatedColumnFormula>
    </tableColumn>
    <tableColumn id="16" xr3:uid="{00000000-0010-0000-0F00-000010000000}" name="Mean dist in km from CO" totalsRowDxfId="99"/>
    <tableColumn id="17" xr3:uid="{00000000-0010-0000-0F00-000011000000}" name="Avg Travel Speed" totalsRowDxfId="98"/>
    <tableColumn id="18" xr3:uid="{00000000-0010-0000-0F00-000012000000}" name="Failures per year" totalsRowDxfId="97">
      <calculatedColumnFormula>Table1012[[#This Row],[FIT]]*Table1012[[#This Row],[Quantity]]*24*365/1000000000</calculatedColumnFormula>
    </tableColumn>
    <tableColumn id="19" xr3:uid="{00000000-0010-0000-0F00-000013000000}" name="Twice Travel Time" totalsRowDxfId="96">
      <calculatedColumnFormula>2*Table1012[[#This Row],[Mean dist in km from CO]]/Table1012[[#This Row],[Avg Travel Speed]]</calculatedColumnFormula>
    </tableColumn>
    <tableColumn id="20" xr3:uid="{00000000-0010-0000-0F00-000014000000}" name="Total Time to Repair(h)" totalsRowDxfId="95">
      <calculatedColumnFormula>Table1012[[#This Row],[MTTR]]+Table1012[[#This Row],[Twice Travel Time]]</calculatedColumnFormula>
    </tableColumn>
    <tableColumn id="21" xr3:uid="{00000000-0010-0000-0F00-000015000000}" name="No. Of technicians" totalsRowDxfId="94"/>
    <tableColumn id="22" xr3:uid="{00000000-0010-0000-0F00-000016000000}" name="Cost per hour" totalsRowDxfId="93"/>
    <tableColumn id="23" xr3:uid="{00000000-0010-0000-0F00-000017000000}" name="FM Cost" totalsRowFunction="sum" totalsRowDxfId="92">
      <calculatedColumnFormula>Table1012[[#This Row],[Failures per year]]*Table1012[[#This Row],[Total Time to Repair(h)]]*Table1012[[#This Row],[No. Of technicians]]*Table1012[[#This Row],[Cost per hour]]</calculatedColumnFormula>
    </tableColumn>
    <tableColumn id="24" xr3:uid="{00000000-0010-0000-0F00-000018000000}" name="SLA CU per hour" totalsRowLabel="100" totalsRowDxfId="91"/>
    <tableColumn id="25" xr3:uid="{00000000-0010-0000-0F00-000019000000}" name="Percentage of Business Users" totalsRowLabel="0.07" totalsRowDxfId="90"/>
    <tableColumn id="26" xr3:uid="{00000000-0010-0000-0F00-00001A000000}" name="Percentage of ITS and business users" totalsRowFunction="custom" totalsRowDxfId="89">
      <calculatedColumnFormula>0.07+2*0.00027</calculatedColumnFormula>
      <totalsRowFormula>0.07+2*0.00027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e141617181920" displayName="Table141617181920" ref="O18:P24" totalsRowCount="1">
  <autoFilter ref="O18:P23" xr:uid="{00000000-0009-0000-0100-000013000000}"/>
  <tableColumns count="2">
    <tableColumn id="1" xr3:uid="{00000000-0010-0000-1000-000001000000}" name="Component"/>
    <tableColumn id="2" xr3:uid="{00000000-0010-0000-1000-000002000000}" name="Cost" totalsRowFunction="custom">
      <calculatedColumnFormula>P30/$M$28</calculatedColumnFormula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1000000}" name="Table913" displayName="Table913" ref="A1:Z11" totalsRowCount="1">
  <autoFilter ref="A1:Z10" xr:uid="{00000000-0009-0000-0100-00000C000000}"/>
  <tableColumns count="26">
    <tableColumn id="1" xr3:uid="{00000000-0010-0000-1100-000001000000}" name="Position of component"/>
    <tableColumn id="2" xr3:uid="{00000000-0010-0000-1100-000002000000}" name="Component Name"/>
    <tableColumn id="3" xr3:uid="{00000000-0010-0000-1100-000003000000}" name="Cost per Unit (OASE)"/>
    <tableColumn id="4" xr3:uid="{00000000-0010-0000-1100-000004000000}" name="Quantity" dataDxfId="88"/>
    <tableColumn id="5" xr3:uid="{00000000-0010-0000-1100-000005000000}" name="Floor Space per component"/>
    <tableColumn id="6" xr3:uid="{00000000-0010-0000-1100-000006000000}" name="Total Floor Space">
      <calculatedColumnFormula>Table913[[#This Row],[Floor Space per component]]*Table913[[#This Row],[Quantity]]</calculatedColumnFormula>
    </tableColumn>
    <tableColumn id="7" xr3:uid="{00000000-0010-0000-1100-000007000000}" name="Rent per sqm per year"/>
    <tableColumn id="8" xr3:uid="{00000000-0010-0000-1100-000008000000}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xr3:uid="{00000000-0010-0000-1100-000009000000}" name="Installation Time in hours"/>
    <tableColumn id="10" xr3:uid="{00000000-0010-0000-1100-00000A000000}" name="MTTR"/>
    <tableColumn id="11" xr3:uid="{00000000-0010-0000-1100-00000B000000}" name="FIT"/>
    <tableColumn id="12" xr3:uid="{00000000-0010-0000-1100-00000C000000}" name="Energy consumption in W"/>
    <tableColumn id="13" xr3:uid="{00000000-0010-0000-1100-00000D000000}" name="Yearly Energy Consumption in kWh">
      <calculatedColumnFormula>Table913[[#This Row],[Energy consumption in W]]*24*365/1000</calculatedColumnFormula>
    </tableColumn>
    <tableColumn id="14" xr3:uid="{00000000-0010-0000-1100-00000E000000}" name="CU/kWh">
      <calculatedColumnFormula>0.15/50</calculatedColumnFormula>
    </tableColumn>
    <tableColumn id="15" xr3:uid="{00000000-0010-0000-1100-00000F000000}" name="Energy Cost per year in CU" totalsRowFunction="sum">
      <calculatedColumnFormula>Table913[[#This Row],[Yearly Energy Consumption in kWh]]*Table913[[#This Row],[CU/kWh]]</calculatedColumnFormula>
    </tableColumn>
    <tableColumn id="16" xr3:uid="{00000000-0010-0000-1100-000010000000}" name="Mean dist in km from CO"/>
    <tableColumn id="17" xr3:uid="{00000000-0010-0000-1100-000011000000}" name="Avg Travel Speed"/>
    <tableColumn id="18" xr3:uid="{00000000-0010-0000-1100-000012000000}" name="Failures per year">
      <calculatedColumnFormula>Table913[[#This Row],[FIT]]*Table913[[#This Row],[Quantity]]*24*365/1000000000</calculatedColumnFormula>
    </tableColumn>
    <tableColumn id="19" xr3:uid="{00000000-0010-0000-1100-000013000000}" name="Twice Travel Time">
      <calculatedColumnFormula>2*Table913[[#This Row],[Mean dist in km from CO]]/Table913[[#This Row],[Avg Travel Speed]]</calculatedColumnFormula>
    </tableColumn>
    <tableColumn id="20" xr3:uid="{00000000-0010-0000-1100-000014000000}" name="Total Time to Repair(h)">
      <calculatedColumnFormula>Table913[[#This Row],[MTTR]]+Table913[[#This Row],[Twice Travel Time]]</calculatedColumnFormula>
    </tableColumn>
    <tableColumn id="21" xr3:uid="{00000000-0010-0000-1100-000015000000}" name="No. Of technicians"/>
    <tableColumn id="22" xr3:uid="{00000000-0010-0000-1100-000016000000}" name="Cost per hour"/>
    <tableColumn id="23" xr3:uid="{00000000-0010-0000-1100-000017000000}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  <tableColumn id="24" xr3:uid="{00000000-0010-0000-1100-000018000000}" name="SLA CU per hour"/>
    <tableColumn id="25" xr3:uid="{00000000-0010-0000-1100-000019000000}" name="Percentage of Business Users"/>
    <tableColumn id="26" xr3:uid="{00000000-0010-0000-1100-00001A000000}" name="Percentage of ITS and business users">
      <calculatedColumnFormula>0.07+2*0.00027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14161718192021" displayName="Table14161718192021" ref="M17:N23" totalsRowCount="1">
  <autoFilter ref="M17:N22" xr:uid="{00000000-0009-0000-0100-000014000000}"/>
  <tableColumns count="2">
    <tableColumn id="1" xr3:uid="{00000000-0010-0000-1200-000001000000}" name="Component"/>
    <tableColumn id="2" xr3:uid="{00000000-0010-0000-1200-000002000000}" name="Cost" totalsRowFunction="custom">
      <calculatedColumnFormula>N29/$K$28</calculatedColumnFormula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B11" totalsRowCount="1">
  <autoFilter ref="A1:AB10" xr:uid="{00000000-0009-0000-0100-000003000000}"/>
  <tableColumns count="28">
    <tableColumn id="1" xr3:uid="{00000000-0010-0000-0100-000001000000}" name="Position of component"/>
    <tableColumn id="2" xr3:uid="{00000000-0010-0000-0100-000002000000}" name="Component Name"/>
    <tableColumn id="3" xr3:uid="{00000000-0010-0000-0100-000003000000}" name="Cost per Unit (OASE)"/>
    <tableColumn id="4" xr3:uid="{00000000-0010-0000-0100-000004000000}" name="Quantity"/>
    <tableColumn id="5" xr3:uid="{00000000-0010-0000-0100-000005000000}" name="Floor Space per component"/>
    <tableColumn id="6" xr3:uid="{00000000-0010-0000-0100-000006000000}" name="Total Floor Space">
      <calculatedColumnFormula>Table3[[#This Row],[Floor Space per component]]*Table3[[#This Row],[Quantity]]</calculatedColumnFormula>
    </tableColumn>
    <tableColumn id="7" xr3:uid="{00000000-0010-0000-0100-000007000000}" name="Rent per sqm per year"/>
    <tableColumn id="8" xr3:uid="{00000000-0010-0000-0100-000008000000}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xr3:uid="{00000000-0010-0000-0100-000009000000}" name="Installation Time in hours"/>
    <tableColumn id="10" xr3:uid="{00000000-0010-0000-0100-00000A000000}" name="MTTR"/>
    <tableColumn id="11" xr3:uid="{00000000-0010-0000-0100-00000B000000}" name="FIT"/>
    <tableColumn id="12" xr3:uid="{00000000-0010-0000-0100-00000C000000}" name="Energy consumption in W"/>
    <tableColumn id="13" xr3:uid="{00000000-0010-0000-0100-00000D000000}" name="Yearly Energy Consumption in kWh">
      <calculatedColumnFormula>Table3[[#This Row],[Energy consumption in W]]*24*365/1000</calculatedColumnFormula>
    </tableColumn>
    <tableColumn id="14" xr3:uid="{00000000-0010-0000-0100-00000E000000}" name="CU/kWh">
      <calculatedColumnFormula>0.15/50</calculatedColumnFormula>
    </tableColumn>
    <tableColumn id="15" xr3:uid="{00000000-0010-0000-0100-00000F000000}" name="Energy Cost per year in CU" totalsRowFunction="sum">
      <calculatedColumnFormula>Table3[[#This Row],[Yearly Energy Consumption in kWh]]*Table3[[#This Row],[CU/kWh]]</calculatedColumnFormula>
    </tableColumn>
    <tableColumn id="16" xr3:uid="{00000000-0010-0000-0100-000010000000}" name="Mean dist in km from CO"/>
    <tableColumn id="17" xr3:uid="{00000000-0010-0000-0100-000011000000}" name="Avg Travel Speed"/>
    <tableColumn id="18" xr3:uid="{00000000-0010-0000-0100-000012000000}" name="Failures per year">
      <calculatedColumnFormula>Table3[[#This Row],[Quantity]]*(Table3[[#This Row],[FIT]]*24*365)/1000000000</calculatedColumnFormula>
    </tableColumn>
    <tableColumn id="19" xr3:uid="{00000000-0010-0000-0100-000013000000}" name="Twice Travel Time">
      <calculatedColumnFormula>2*Table3[[#This Row],[Mean dist in km from CO]]/Table3[[#This Row],[Avg Travel Speed]]</calculatedColumnFormula>
    </tableColumn>
    <tableColumn id="20" xr3:uid="{00000000-0010-0000-0100-000014000000}" name="Total Time to Repair(h)">
      <calculatedColumnFormula>Table3[[#This Row],[MTTR]]+Table3[[#This Row],[Twice Travel Time]]</calculatedColumnFormula>
    </tableColumn>
    <tableColumn id="21" xr3:uid="{00000000-0010-0000-0100-000015000000}" name="No. Of technicians"/>
    <tableColumn id="22" xr3:uid="{00000000-0010-0000-0100-000016000000}" name="Cost per hour">
      <calculatedColumnFormula>250/50</calculatedColumnFormula>
    </tableColumn>
    <tableColumn id="23" xr3:uid="{00000000-0010-0000-0100-000017000000}" name="FM Cost" totalsRowFunction="sum">
      <calculatedColumnFormula>Table3[[#This Row],[Cost per hour]]*Table3[[#This Row],[Total Time to Repair(h)]]*Table3[[#This Row],[Failures per year]]</calculatedColumnFormula>
    </tableColumn>
    <tableColumn id="24" xr3:uid="{00000000-0010-0000-0100-000018000000}" name="SLA CU per hour"/>
    <tableColumn id="25" xr3:uid="{00000000-0010-0000-0100-000019000000}" name="Percentage of Business Users"/>
    <tableColumn id="26" xr3:uid="{00000000-0010-0000-0100-00001A000000}" name="Percentage of ITS and business users">
      <calculatedColumnFormula>0.07+2*0.00027</calculatedColumnFormula>
    </tableColumn>
    <tableColumn id="27" xr3:uid="{00000000-0010-0000-0100-00001B000000}" name="FM Penalty Business" totalsRowFunction="sum">
      <calculatedColumnFormula>Table3[[#This Row],[Percentage of Business Users]]*Table3[[#This Row],[SLA CU per hour]]*Table3[[#This Row],[Failures per year]]*Table3[[#This Row],[Total Time to Repair(h)]]</calculatedColumnFormula>
    </tableColumn>
    <tableColumn id="28" xr3:uid="{00000000-0010-0000-0100-00001C000000}" name="FM Penalty ITS" totalsRowFunction="sum">
      <calculatedColumnFormula>Table3[[#This Row],[Percentage of ITS and business users]]*Table3[[#This Row],[SLA CU per hour]]*Table3[[#This Row],[Failures per year]]*Table3[[#This Row],[Total Time to Repair(h)]]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3000000}" name="Table1014" displayName="Table1014" ref="A1:W10" totalsRowCount="1">
  <autoFilter ref="A1:W9" xr:uid="{00000000-0009-0000-0100-00000D000000}"/>
  <tableColumns count="23">
    <tableColumn id="1" xr3:uid="{00000000-0010-0000-1300-000001000000}" name="Position of component" dataDxfId="87" totalsRowDxfId="86"/>
    <tableColumn id="2" xr3:uid="{00000000-0010-0000-1300-000002000000}" name="Component Name" dataDxfId="85" totalsRowDxfId="84"/>
    <tableColumn id="3" xr3:uid="{00000000-0010-0000-1300-000003000000}" name="Cost per Unit (OASE)" dataDxfId="83" totalsRowDxfId="82"/>
    <tableColumn id="4" xr3:uid="{00000000-0010-0000-1300-000004000000}" name="Quantity" dataDxfId="81" totalsRowDxfId="80"/>
    <tableColumn id="5" xr3:uid="{00000000-0010-0000-1300-000005000000}" name="Floor Space per component" totalsRowDxfId="79"/>
    <tableColumn id="6" xr3:uid="{00000000-0010-0000-1300-000006000000}" name="Total Floor Space" totalsRowDxfId="78">
      <calculatedColumnFormula>E2*D2</calculatedColumnFormula>
    </tableColumn>
    <tableColumn id="7" xr3:uid="{00000000-0010-0000-1300-000007000000}" name="Rent per sqm per year" totalsRowDxfId="77"/>
    <tableColumn id="8" xr3:uid="{00000000-0010-0000-1300-000008000000}" name="Total Rent cost per year" totalsRowFunction="custom" totalsRowDxfId="76">
      <calculatedColumnFormula>Table1014[[#This Row],[Total Floor Space]]*Table1014[[#This Row],[Rent per sqm per year]]</calculatedColumnFormula>
      <totalsRowFormula>SUM(Table1014[Total Rent cost per year])</totalsRowFormula>
    </tableColumn>
    <tableColumn id="9" xr3:uid="{00000000-0010-0000-1300-000009000000}" name="Installation Time in hours" totalsRowDxfId="75"/>
    <tableColumn id="10" xr3:uid="{00000000-0010-0000-1300-00000A000000}" name="MTTR" totalsRowDxfId="74"/>
    <tableColumn id="11" xr3:uid="{00000000-0010-0000-1300-00000B000000}" name="FIT" totalsRowDxfId="73"/>
    <tableColumn id="12" xr3:uid="{00000000-0010-0000-1300-00000C000000}" name="Energy consumption in W" totalsRowDxfId="72"/>
    <tableColumn id="13" xr3:uid="{00000000-0010-0000-1300-00000D000000}" name="Yearly Energy Consumption in kWh" totalsRowDxfId="71">
      <calculatedColumnFormula>Table1014[[#This Row],[Energy consumption in W]]*24*365/1000</calculatedColumnFormula>
    </tableColumn>
    <tableColumn id="14" xr3:uid="{00000000-0010-0000-1300-00000E000000}" name="CU/kWh" totalsRowDxfId="70">
      <calculatedColumnFormula>0.15/50</calculatedColumnFormula>
    </tableColumn>
    <tableColumn id="15" xr3:uid="{00000000-0010-0000-1300-00000F000000}" name="Energy Cost per year in CU" totalsRowFunction="sum" totalsRowDxfId="69">
      <calculatedColumnFormula>Table1014[[#This Row],[Yearly Energy Consumption in kWh]]*Table1014[[#This Row],[CU/kWh]]</calculatedColumnFormula>
    </tableColumn>
    <tableColumn id="16" xr3:uid="{00000000-0010-0000-1300-000010000000}" name="Mean dist in km from CO" totalsRowDxfId="68"/>
    <tableColumn id="17" xr3:uid="{00000000-0010-0000-1300-000011000000}" name="Avg Travel Speed" totalsRowDxfId="67"/>
    <tableColumn id="18" xr3:uid="{00000000-0010-0000-1300-000012000000}" name="Failures per year" totalsRowDxfId="66">
      <calculatedColumnFormula>Table1014[[#This Row],[FIT]]*Table1014[[#This Row],[Quantity]]*24*365/1000000000</calculatedColumnFormula>
    </tableColumn>
    <tableColumn id="19" xr3:uid="{00000000-0010-0000-1300-000013000000}" name="Twice Travel Time" totalsRowDxfId="65">
      <calculatedColumnFormula>2*Table1014[[#This Row],[Mean dist in km from CO]]/Table1014[[#This Row],[Avg Travel Speed]]</calculatedColumnFormula>
    </tableColumn>
    <tableColumn id="20" xr3:uid="{00000000-0010-0000-1300-000014000000}" name="Total Time to Repair(h)" totalsRowDxfId="64">
      <calculatedColumnFormula>Table1014[[#This Row],[MTTR]]+Table1014[[#This Row],[Twice Travel Time]]</calculatedColumnFormula>
    </tableColumn>
    <tableColumn id="21" xr3:uid="{00000000-0010-0000-1300-000015000000}" name="No. Of technicians" totalsRowDxfId="63"/>
    <tableColumn id="22" xr3:uid="{00000000-0010-0000-1300-000016000000}" name="Cost per hour" totalsRowDxfId="62"/>
    <tableColumn id="23" xr3:uid="{00000000-0010-0000-1300-000017000000}" name="FM Cost" totalsRowFunction="sum" totalsRowDxfId="61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416171819202122" displayName="Table1416171819202122" ref="L19:M25" totalsRowCount="1">
  <autoFilter ref="L19:M24" xr:uid="{00000000-0009-0000-0100-000015000000}"/>
  <tableColumns count="2">
    <tableColumn id="1" xr3:uid="{00000000-0010-0000-1400-000001000000}" name="Component"/>
    <tableColumn id="2" xr3:uid="{00000000-0010-0000-1400-000002000000}" name="Cost" totalsRowFunction="custom">
      <calculatedColumnFormula>M31/$H$24</calculatedColumnFormula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D27:Q33" totalsRowCount="1">
  <autoFilter ref="D27:Q32" xr:uid="{00000000-0009-0000-0100-000016000000}"/>
  <tableColumns count="14">
    <tableColumn id="1" xr3:uid="{00000000-0010-0000-1500-000001000000}" name="Component" totalsRowDxfId="60"/>
    <tableColumn id="2" xr3:uid="{00000000-0010-0000-1500-000002000000}" name="FTTC_GPON_25" totalsRowFunction="custom" totalsRowDxfId="59">
      <calculatedColumnFormula>FTTC_GPON_25!$I26</calculatedColumnFormula>
      <totalsRowFormula>SUM(Table22[FTTC_GPON_25])</totalsRowFormula>
    </tableColumn>
    <tableColumn id="3" xr3:uid="{00000000-0010-0000-1500-000003000000}" name="FTTB_XGPON_50" totalsRowFunction="sum" totalsRowDxfId="58">
      <calculatedColumnFormula>FTTB_XGPON_50!$N26</calculatedColumnFormula>
    </tableColumn>
    <tableColumn id="4" xr3:uid="{00000000-0010-0000-1500-000004000000}" name="FTTB_DWDM_50" totalsRowFunction="sum" totalsRowDxfId="57">
      <calculatedColumnFormula>FTTB_DWDM_50!$N34</calculatedColumnFormula>
    </tableColumn>
    <tableColumn id="5" xr3:uid="{00000000-0010-0000-1500-000005000000}" name="FTTH_DWDM_100" totalsRowFunction="sum" totalsRowDxfId="56">
      <calculatedColumnFormula>FTTH_DWDM_100!$N21</calculatedColumnFormula>
    </tableColumn>
    <tableColumn id="6" xr3:uid="{00000000-0010-0000-1500-000006000000}" name="FTTH_XGPON_100" totalsRowFunction="sum" totalsRowDxfId="55">
      <calculatedColumnFormula>FTTH_XGPON_100!$M36</calculatedColumnFormula>
    </tableColumn>
    <tableColumn id="7" xr3:uid="{00000000-0010-0000-1500-000007000000}" name="FTTC_GPON_100" totalsRowFunction="sum" totalsRowDxfId="54">
      <calculatedColumnFormula>FTTC_GPON_100!$P24</calculatedColumnFormula>
    </tableColumn>
    <tableColumn id="8" xr3:uid="{00000000-0010-0000-1500-000008000000}" name="FTTB_XGPON_100" totalsRowFunction="sum" dataDxfId="53" totalsRowDxfId="52">
      <calculatedColumnFormula>FTTB_XGPON_100!$M32</calculatedColumnFormula>
    </tableColumn>
    <tableColumn id="9" xr3:uid="{00000000-0010-0000-1500-000009000000}" name="FTTB_DWDM_100" totalsRowFunction="sum" dataDxfId="51" totalsRowDxfId="50">
      <calculatedColumnFormula>FTTB_DWDM_100!$M33</calculatedColumnFormula>
    </tableColumn>
    <tableColumn id="10" xr3:uid="{00000000-0010-0000-1500-00000A000000}" name="FTTC_Hybridpon_25" totalsRowFunction="sum" dataDxfId="49" totalsRowDxfId="48">
      <calculatedColumnFormula>FTTC_Hybridpon_25!P21</calculatedColumnFormula>
    </tableColumn>
    <tableColumn id="11" xr3:uid="{00000000-0010-0000-1500-00000B000000}" name="FTTB_Hybridpon_50" totalsRowFunction="sum" totalsRowDxfId="47">
      <calculatedColumnFormula>FTTB_Hybridpon_50!$P19</calculatedColumnFormula>
    </tableColumn>
    <tableColumn id="12" xr3:uid="{00000000-0010-0000-1500-00000C000000}" name="FTTH_Hybridpon_100" totalsRowFunction="sum" totalsRowDxfId="46">
      <calculatedColumnFormula>FTTH_Hybridpon_100!$P19</calculatedColumnFormula>
    </tableColumn>
    <tableColumn id="13" xr3:uid="{00000000-0010-0000-1500-00000D000000}" name="FTTC_Hybridpon_100" totalsRowFunction="custom" totalsRowDxfId="45">
      <calculatedColumnFormula>FTTC_Hybridpon_100!$N18</calculatedColumnFormula>
      <totalsRowFormula>SUM(Table22[FTTC_Hybridpon_100])</totalsRowFormula>
    </tableColumn>
    <tableColumn id="14" xr3:uid="{00000000-0010-0000-1500-00000E000000}" name="FTTB_Hybridpon_100" totalsRowFunction="sum" totalsRowDxfId="44">
      <calculatedColumnFormula>FTTB_Hybridpon_100!$M20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2225" displayName="Table2225" ref="D12:Q18" totalsRowCount="1">
  <autoFilter ref="D12:Q17" xr:uid="{00000000-0009-0000-0100-000018000000}"/>
  <tableColumns count="14">
    <tableColumn id="1" xr3:uid="{00000000-0010-0000-1600-000001000000}" name="Component_business" totalsRowDxfId="43"/>
    <tableColumn id="2" xr3:uid="{00000000-0010-0000-1600-000002000000}" name="FTTC_GPON_25" totalsRowFunction="custom" totalsRowDxfId="42">
      <calculatedColumnFormula>FTTC_GPON_25!$J26</calculatedColumnFormula>
      <totalsRowFormula>SUM(Table2225[FTTC_GPON_25])</totalsRowFormula>
    </tableColumn>
    <tableColumn id="3" xr3:uid="{00000000-0010-0000-1600-000003000000}" name="FTTB_XGPON_50" totalsRowFunction="sum" totalsRowDxfId="41">
      <calculatedColumnFormula>FTTB_XGPON_50!$O26</calculatedColumnFormula>
    </tableColumn>
    <tableColumn id="4" xr3:uid="{00000000-0010-0000-1600-000004000000}" name="FTTB_UDWDM_50" totalsRowFunction="sum" totalsRowDxfId="40">
      <calculatedColumnFormula>FTTB_DWDM_50!$O34</calculatedColumnFormula>
    </tableColumn>
    <tableColumn id="5" xr3:uid="{00000000-0010-0000-1600-000005000000}" name="FTTH_UDWDM_100" totalsRowFunction="sum" totalsRowDxfId="39">
      <calculatedColumnFormula>FTTH_DWDM_100!$O21</calculatedColumnFormula>
    </tableColumn>
    <tableColumn id="6" xr3:uid="{00000000-0010-0000-1600-000006000000}" name="FTTH_XGPON_100" totalsRowFunction="sum" totalsRowDxfId="38">
      <calculatedColumnFormula>FTTH_XGPON_100!$N36</calculatedColumnFormula>
    </tableColumn>
    <tableColumn id="7" xr3:uid="{00000000-0010-0000-1600-000007000000}" name="FTTC_GPON_100" totalsRowFunction="sum" totalsRowDxfId="37">
      <calculatedColumnFormula>FTTC_GPON_100!$Q24</calculatedColumnFormula>
    </tableColumn>
    <tableColumn id="8" xr3:uid="{00000000-0010-0000-1600-000008000000}" name="FTTB_XGPON_100" totalsRowFunction="sum" dataDxfId="36" totalsRowDxfId="35">
      <calculatedColumnFormula>FTTB_XGPON_100!$N32</calculatedColumnFormula>
    </tableColumn>
    <tableColumn id="9" xr3:uid="{00000000-0010-0000-1600-000009000000}" name="FTTB_UDWDM_100" totalsRowFunction="sum" dataDxfId="34" totalsRowDxfId="33">
      <calculatedColumnFormula>FTTB_DWDM_100!$N33</calculatedColumnFormula>
    </tableColumn>
    <tableColumn id="10" xr3:uid="{00000000-0010-0000-1600-00000A000000}" name="FTTC_Hybridpon_25" totalsRowFunction="sum" dataDxfId="32" totalsRowDxfId="31">
      <calculatedColumnFormula>FTTC_Hybridpon_25!P21</calculatedColumnFormula>
    </tableColumn>
    <tableColumn id="11" xr3:uid="{00000000-0010-0000-1600-00000B000000}" name="FTTB_Hybridpon_50" totalsRowFunction="sum" totalsRowDxfId="30">
      <calculatedColumnFormula>FTTB_Hybridpon_50!$P19</calculatedColumnFormula>
    </tableColumn>
    <tableColumn id="12" xr3:uid="{00000000-0010-0000-1600-00000C000000}" name="FTTH_Hybridpon_100" totalsRowFunction="sum" totalsRowDxfId="29">
      <calculatedColumnFormula>FTTH_Hybridpon_100!$P19</calculatedColumnFormula>
    </tableColumn>
    <tableColumn id="13" xr3:uid="{00000000-0010-0000-1600-00000D000000}" name="FTTC_Hybridpon_100" totalsRowFunction="sum" totalsRowDxfId="28">
      <calculatedColumnFormula>FTTC_Hybridpon_100!$N18</calculatedColumnFormula>
    </tableColumn>
    <tableColumn id="14" xr3:uid="{00000000-0010-0000-1600-00000E000000}" name="FTTB_Hybridpon_100" totalsRowFunction="sum" totalsRowDxfId="27">
      <calculatedColumnFormula>FTTB_Hybridpon_100!$M20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1:AB11" totalsRowCount="1">
  <autoFilter ref="B1:AB10" xr:uid="{00000000-0009-0000-0100-000001000000}"/>
  <tableColumns count="27">
    <tableColumn id="1" xr3:uid="{00000000-0010-0000-0200-000001000000}" name="Component Name" dataDxfId="194" totalsRowDxfId="193"/>
    <tableColumn id="2" xr3:uid="{00000000-0010-0000-0200-000002000000}" name="Cost per Unit (OASE)" dataDxfId="192" totalsRowDxfId="191"/>
    <tableColumn id="3" xr3:uid="{00000000-0010-0000-0200-000003000000}" name="Quantity" dataDxfId="190" totalsRowDxfId="189"/>
    <tableColumn id="4" xr3:uid="{00000000-0010-0000-0200-000004000000}" name="Floor Space per component" totalsRowDxfId="188"/>
    <tableColumn id="5" xr3:uid="{00000000-0010-0000-0200-000005000000}" name="Total Floor Space" totalsRowDxfId="187">
      <calculatedColumnFormula>E2*D2</calculatedColumnFormula>
    </tableColumn>
    <tableColumn id="6" xr3:uid="{00000000-0010-0000-0200-000006000000}" name="Rent per sqm per year" totalsRowDxfId="186"/>
    <tableColumn id="7" xr3:uid="{00000000-0010-0000-0200-000007000000}" name="Total Rent cost per year" totalsRowFunction="sum" totalsRowDxfId="185">
      <calculatedColumnFormula>G2*F2</calculatedColumnFormula>
    </tableColumn>
    <tableColumn id="8" xr3:uid="{00000000-0010-0000-0200-000008000000}" name="Installation Time in hours" totalsRowDxfId="184"/>
    <tableColumn id="9" xr3:uid="{00000000-0010-0000-0200-000009000000}" name="MTTR" totalsRowDxfId="183"/>
    <tableColumn id="10" xr3:uid="{00000000-0010-0000-0200-00000A000000}" name="FIT" totalsRowDxfId="182"/>
    <tableColumn id="11" xr3:uid="{00000000-0010-0000-0200-00000B000000}" name="Energy consumption in W" totalsRowDxfId="181"/>
    <tableColumn id="12" xr3:uid="{00000000-0010-0000-0200-00000C000000}" name="Yearly Energy Consumption in kWh" totalsRowDxfId="180">
      <calculatedColumnFormula>Table1[[#This Row],[Energy consumption in W]]*24*365/1000</calculatedColumnFormula>
    </tableColumn>
    <tableColumn id="13" xr3:uid="{00000000-0010-0000-0200-00000D000000}" name="CU/kWh" totalsRowDxfId="179">
      <calculatedColumnFormula>0.15/50</calculatedColumnFormula>
    </tableColumn>
    <tableColumn id="14" xr3:uid="{00000000-0010-0000-0200-00000E000000}" name="Energy Cost per year in CU" totalsRowFunction="sum" totalsRowDxfId="178">
      <calculatedColumnFormula>Table1[[#This Row],[Yearly Energy Consumption in kWh]]*Table1[[#This Row],[CU/kWh]]</calculatedColumnFormula>
    </tableColumn>
    <tableColumn id="15" xr3:uid="{00000000-0010-0000-0200-00000F000000}" name="Mean dist in km from CO" totalsRowDxfId="177"/>
    <tableColumn id="16" xr3:uid="{00000000-0010-0000-0200-000010000000}" name="Avg Travel Speed" totalsRowDxfId="176"/>
    <tableColumn id="17" xr3:uid="{00000000-0010-0000-0200-000011000000}" name="Failures per year" totalsRowDxfId="175">
      <calculatedColumnFormula>Table1[[#This Row],[Quantity]]*Table1[[#This Row],[FIT]]*24*365/1000000000</calculatedColumnFormula>
    </tableColumn>
    <tableColumn id="18" xr3:uid="{00000000-0010-0000-0200-000012000000}" name="Twice Travel Time" totalsRowDxfId="174">
      <calculatedColumnFormula>2*Table1[[#This Row],[Mean dist in km from CO]]/Table1[[#This Row],[Avg Travel Speed]]</calculatedColumnFormula>
    </tableColumn>
    <tableColumn id="19" xr3:uid="{00000000-0010-0000-0200-000013000000}" name="Total Time to Repair(h)" totalsRowDxfId="173">
      <calculatedColumnFormula>Table1[[#This Row],[MTTR]]+Table1[[#This Row],[Twice Travel Time]]</calculatedColumnFormula>
    </tableColumn>
    <tableColumn id="20" xr3:uid="{00000000-0010-0000-0200-000014000000}" name="No. Of technicians" totalsRowDxfId="172"/>
    <tableColumn id="21" xr3:uid="{00000000-0010-0000-0200-000015000000}" name="Cost per hour" totalsRowDxfId="171"/>
    <tableColumn id="22" xr3:uid="{00000000-0010-0000-0200-000016000000}" name="FM Cost" totalsRowFunction="custom" totalsRowDxfId="170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  <tableColumn id="23" xr3:uid="{00000000-0010-0000-0200-000017000000}" name="SLA CU per hour" totalsRowDxfId="169"/>
    <tableColumn id="24" xr3:uid="{00000000-0010-0000-0200-000018000000}" name="Percentage of Business Users" totalsRowDxfId="168"/>
    <tableColumn id="25" xr3:uid="{00000000-0010-0000-0200-000019000000}" name="Percentage of ITS and business users" totalsRowDxfId="167"/>
    <tableColumn id="26" xr3:uid="{00000000-0010-0000-0200-00001A000000}" name="FM Penalty Business" totalsRowFunction="sum" totalsRowDxfId="166">
      <calculatedColumnFormula>Table1[[#This Row],[Percentage of Business Users]]*Table1[[#This Row],[SLA CU per hour]]*Table1[[#This Row],[Failures per year]]*Table1[[#This Row],[Total Time to Repair(h)]]</calculatedColumnFormula>
    </tableColumn>
    <tableColumn id="27" xr3:uid="{00000000-0010-0000-0200-00001B000000}" name="FM Penalty ITS" totalsRowFunction="sum" totalsRowDxfId="165">
      <calculatedColumnFormula>Table1[[#This Row],[Percentage of ITS and business users]]*Table1[[#This Row],[SLA CU per hour]]*Table1[[#This Row],[Failures per year]]*Table1[[#This Row],[Total Time to Repair(h)]]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B11" totalsRowCount="1">
  <autoFilter ref="A1:AB10" xr:uid="{00000000-0009-0000-0100-000004000000}"/>
  <tableColumns count="28">
    <tableColumn id="1" xr3:uid="{00000000-0010-0000-0300-000001000000}" name="Position of component"/>
    <tableColumn id="2" xr3:uid="{00000000-0010-0000-0300-000002000000}" name="Component Name" dataDxfId="164"/>
    <tableColumn id="3" xr3:uid="{00000000-0010-0000-0300-000003000000}" name="Cost per Unit (OASE)"/>
    <tableColumn id="4" xr3:uid="{00000000-0010-0000-0300-000004000000}" name="Quantity" dataDxfId="163"/>
    <tableColumn id="5" xr3:uid="{00000000-0010-0000-0300-000005000000}" name="Floor Space per component"/>
    <tableColumn id="6" xr3:uid="{00000000-0010-0000-0300-000006000000}" name="Total Floor Space">
      <calculatedColumnFormula>Table4[[#This Row],[Quantity]]*Table4[[#This Row],[Floor Space per component]]</calculatedColumnFormula>
    </tableColumn>
    <tableColumn id="7" xr3:uid="{00000000-0010-0000-0300-000007000000}" name="Rent per sqm per year"/>
    <tableColumn id="8" xr3:uid="{00000000-0010-0000-0300-000008000000}" name="Total Rent cost per year" totalsRowFunction="sum">
      <calculatedColumnFormula>G2*F2</calculatedColumnFormula>
    </tableColumn>
    <tableColumn id="10" xr3:uid="{00000000-0010-0000-0300-00000A000000}" name="Installation Time in hours"/>
    <tableColumn id="11" xr3:uid="{00000000-0010-0000-0300-00000B000000}" name="MTTR"/>
    <tableColumn id="12" xr3:uid="{00000000-0010-0000-0300-00000C000000}" name="FIT"/>
    <tableColumn id="13" xr3:uid="{00000000-0010-0000-0300-00000D000000}" name="Energy consumption in W"/>
    <tableColumn id="14" xr3:uid="{00000000-0010-0000-0300-00000E000000}" name="Yearly Energy Consumption in kWh">
      <calculatedColumnFormula>Table4[[#This Row],[Energy consumption in W]]*24*365/1000</calculatedColumnFormula>
    </tableColumn>
    <tableColumn id="15" xr3:uid="{00000000-0010-0000-0300-00000F000000}" name="CU/kWh">
      <calculatedColumnFormula>0.15/50</calculatedColumnFormula>
    </tableColumn>
    <tableColumn id="16" xr3:uid="{00000000-0010-0000-0300-000010000000}" name="Energy Cost per year in CU" totalsRowFunction="sum">
      <calculatedColumnFormula>Table4[[#This Row],[Yearly Energy Consumption in kWh]]*Table4[[#This Row],[CU/kWh]]</calculatedColumnFormula>
    </tableColumn>
    <tableColumn id="17" xr3:uid="{00000000-0010-0000-0300-000011000000}" name="Mean dist in km from CO"/>
    <tableColumn id="18" xr3:uid="{00000000-0010-0000-0300-000012000000}" name="Avg Travel Speed"/>
    <tableColumn id="19" xr3:uid="{00000000-0010-0000-0300-000013000000}" name="Failures per year">
      <calculatedColumnFormula>Table4[[#This Row],[Quantity]]*Table4[[#This Row],[FIT]]*24*365/1000000000</calculatedColumnFormula>
    </tableColumn>
    <tableColumn id="20" xr3:uid="{00000000-0010-0000-0300-000014000000}" name="Twice Travel Time">
      <calculatedColumnFormula>2*Table4[[#This Row],[Mean dist in km from CO]]/Table4[[#This Row],[Avg Travel Speed]]</calculatedColumnFormula>
    </tableColumn>
    <tableColumn id="21" xr3:uid="{00000000-0010-0000-0300-000015000000}" name="Total Time to Repair(h)">
      <calculatedColumnFormula>Table4[[#This Row],[MTTR]]+Table4[[#This Row],[Twice Travel Time]]</calculatedColumnFormula>
    </tableColumn>
    <tableColumn id="22" xr3:uid="{00000000-0010-0000-0300-000016000000}" name="No. Of technicians"/>
    <tableColumn id="23" xr3:uid="{00000000-0010-0000-0300-000017000000}" name="Cost per hour"/>
    <tableColumn id="24" xr3:uid="{00000000-0010-0000-0300-000018000000}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  <tableColumn id="9" xr3:uid="{00000000-0010-0000-0300-000009000000}" name="SLA CU per hour"/>
    <tableColumn id="25" xr3:uid="{00000000-0010-0000-0300-000019000000}" name="Percentage of Business Users"/>
    <tableColumn id="26" xr3:uid="{00000000-0010-0000-0300-00001A000000}" name="Percentage of ITS and business users"/>
    <tableColumn id="27" xr3:uid="{00000000-0010-0000-0300-00001B000000}" name="FM Penalty Business" totalsRowFunction="sum">
      <calculatedColumnFormula>Table4[[#This Row],[Percentage of Business Users]]*Table4[[#This Row],[SLA CU per hour]]*Table4[[#This Row],[Failures per year]]*Table4[[#This Row],[Total Time to Repair(h)]]</calculatedColumnFormula>
    </tableColumn>
    <tableColumn id="28" xr3:uid="{00000000-0010-0000-0300-00001C000000}" name="FM Penalty ITS" totalsRowFunction="sum">
      <calculatedColumnFormula>Table4[[#This Row],[Percentage of ITS and business users]]*Table4[[#This Row],[SLA CU per hour]]*Table4[[#This Row],[Failures per year]]*Table4[[#This Row],[Total Time to Repair(h)]]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:AB11" totalsRowCount="1">
  <autoFilter ref="A1:AB10" xr:uid="{00000000-0009-0000-0100-000005000000}"/>
  <tableColumns count="28">
    <tableColumn id="1" xr3:uid="{00000000-0010-0000-0400-000001000000}" name="Position of component"/>
    <tableColumn id="2" xr3:uid="{00000000-0010-0000-0400-000002000000}" name="Component Name" dataDxfId="162"/>
    <tableColumn id="3" xr3:uid="{00000000-0010-0000-0400-000003000000}" name="Cost per Unit (OASE)"/>
    <tableColumn id="4" xr3:uid="{00000000-0010-0000-0400-000004000000}" name="Quantity" dataDxfId="161"/>
    <tableColumn id="5" xr3:uid="{00000000-0010-0000-0400-000005000000}" name="Floor Space per component"/>
    <tableColumn id="6" xr3:uid="{00000000-0010-0000-0400-000006000000}" name="Total Floor Space">
      <calculatedColumnFormula>Table36[[#This Row],[Floor Space per component]]*Table36[[#This Row],[Quantity]]</calculatedColumnFormula>
    </tableColumn>
    <tableColumn id="7" xr3:uid="{00000000-0010-0000-0400-000007000000}" name="Rent per sqm per year"/>
    <tableColumn id="8" xr3:uid="{00000000-0010-0000-0400-000008000000}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xr3:uid="{00000000-0010-0000-0400-000009000000}" name="Installation Time in hours"/>
    <tableColumn id="10" xr3:uid="{00000000-0010-0000-0400-00000A000000}" name="MTTR"/>
    <tableColumn id="11" xr3:uid="{00000000-0010-0000-0400-00000B000000}" name="FIT"/>
    <tableColumn id="12" xr3:uid="{00000000-0010-0000-0400-00000C000000}" name="Energy consumption in W">
      <calculatedColumnFormula>100*Table36[[#This Row],[Quantity]]</calculatedColumnFormula>
    </tableColumn>
    <tableColumn id="13" xr3:uid="{00000000-0010-0000-0400-00000D000000}" name="Yearly Energy Consumption in kWh">
      <calculatedColumnFormula>Table36[[#This Row],[Energy consumption in W]]*24*365/1000</calculatedColumnFormula>
    </tableColumn>
    <tableColumn id="14" xr3:uid="{00000000-0010-0000-0400-00000E000000}" name="CU/kWh">
      <calculatedColumnFormula>0.15/50</calculatedColumnFormula>
    </tableColumn>
    <tableColumn id="15" xr3:uid="{00000000-0010-0000-0400-00000F000000}" name="Energy Cost per year in CU" totalsRowFunction="sum">
      <calculatedColumnFormula>Table36[[#This Row],[Yearly Energy Consumption in kWh]]*Table36[[#This Row],[CU/kWh]]</calculatedColumnFormula>
    </tableColumn>
    <tableColumn id="16" xr3:uid="{00000000-0010-0000-0400-000010000000}" name="Mean dist in km from CO"/>
    <tableColumn id="17" xr3:uid="{00000000-0010-0000-0400-000011000000}" name="Avg Travel Speed"/>
    <tableColumn id="18" xr3:uid="{00000000-0010-0000-0400-000012000000}" name="Failures per year">
      <calculatedColumnFormula>Table36[[#This Row],[Quantity]]*(Table36[[#This Row],[FIT]]*24*365)/1000000000</calculatedColumnFormula>
    </tableColumn>
    <tableColumn id="19" xr3:uid="{00000000-0010-0000-0400-000013000000}" name="Twice Travel Time">
      <calculatedColumnFormula>2*Table36[[#This Row],[Mean dist in km from CO]]/Table36[[#This Row],[Avg Travel Speed]]</calculatedColumnFormula>
    </tableColumn>
    <tableColumn id="20" xr3:uid="{00000000-0010-0000-0400-000014000000}" name="Total Time to Repair(h)">
      <calculatedColumnFormula>Table36[[#This Row],[MTTR]]+Table36[[#This Row],[Twice Travel Time]]</calculatedColumnFormula>
    </tableColumn>
    <tableColumn id="21" xr3:uid="{00000000-0010-0000-0400-000015000000}" name="No. Of technicians"/>
    <tableColumn id="22" xr3:uid="{00000000-0010-0000-0400-000016000000}" name="Cost per hour">
      <calculatedColumnFormula>250/50</calculatedColumnFormula>
    </tableColumn>
    <tableColumn id="23" xr3:uid="{00000000-0010-0000-0400-000017000000}" name="FM Cost" totalsRowFunction="sum">
      <calculatedColumnFormula>Table36[[#This Row],[Cost per hour]]*Table36[[#This Row],[Total Time to Repair(h)]]*Table36[[#This Row],[Failures per year]]</calculatedColumnFormula>
    </tableColumn>
    <tableColumn id="24" xr3:uid="{00000000-0010-0000-0400-000018000000}" name="SLA CU per hour"/>
    <tableColumn id="25" xr3:uid="{00000000-0010-0000-0400-000019000000}" name="Percentage of Business Users"/>
    <tableColumn id="26" xr3:uid="{00000000-0010-0000-0400-00001A000000}" name="Percentage of ITS and business users"/>
    <tableColumn id="27" xr3:uid="{00000000-0010-0000-0400-00001B000000}" name="FM Penalty Business" totalsRowFunction="sum">
      <calculatedColumnFormula>Table36[[#This Row],[Percentage of Business Users]]*Table36[[#This Row],[SLA CU per hour]]*Table36[[#This Row],[Failures per year]]*Table36[[#This Row],[Total Time to Repair(h)]]</calculatedColumnFormula>
    </tableColumn>
    <tableColumn id="28" xr3:uid="{00000000-0010-0000-0400-00001C000000}" name="FM Penalty ITS" totalsRowFunction="sum">
      <calculatedColumnFormula>Table36[[#This Row],[Percentage of ITS and business users]]*Table36[[#This Row],[SLA CU per hour]]*Table36[[#This Row],[Failures per year]]*Table36[[#This Row],[Total Time to Repair(h)]]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1:AB11" totalsRowCount="1">
  <autoFilter ref="A1:AB10" xr:uid="{00000000-0009-0000-0100-000006000000}"/>
  <tableColumns count="28">
    <tableColumn id="1" xr3:uid="{00000000-0010-0000-0500-000001000000}" name="Position of component"/>
    <tableColumn id="2" xr3:uid="{00000000-0010-0000-0500-000002000000}" name="Component Name" dataDxfId="160" totalsRowDxfId="159"/>
    <tableColumn id="3" xr3:uid="{00000000-0010-0000-0500-000003000000}" name="Cost per Unit (OASE)" dataDxfId="158"/>
    <tableColumn id="4" xr3:uid="{00000000-0010-0000-0500-000004000000}" name="Quantity" dataDxfId="157"/>
    <tableColumn id="24" xr3:uid="{00000000-0010-0000-0500-000018000000}" name="Floor Space per component"/>
    <tableColumn id="25" xr3:uid="{00000000-0010-0000-0500-000019000000}" name="Total Floor Space">
      <calculatedColumnFormula>Table27[[#This Row],[Floor Space per component]]*Table27[[#This Row],[Quantity]]</calculatedColumnFormula>
    </tableColumn>
    <tableColumn id="26" xr3:uid="{00000000-0010-0000-0500-00001A000000}" name="Rent per sqm per year"/>
    <tableColumn id="27" xr3:uid="{00000000-0010-0000-0500-00001B000000}" name="Total Rent cost per year" totalsRowFunction="custom" totalsRowDxfId="156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xr3:uid="{00000000-0010-0000-0500-000005000000}" name="Installation Time in hours"/>
    <tableColumn id="6" xr3:uid="{00000000-0010-0000-0500-000006000000}" name="MTTR"/>
    <tableColumn id="7" xr3:uid="{00000000-0010-0000-0500-000007000000}" name="FIT"/>
    <tableColumn id="8" xr3:uid="{00000000-0010-0000-0500-000008000000}" name="Energy consumption in W"/>
    <tableColumn id="9" xr3:uid="{00000000-0010-0000-0500-000009000000}" name="Yearly Energy Consumption in kWh">
      <calculatedColumnFormula>Table27[[#This Row],[Energy consumption in W]]*24*365/1000</calculatedColumnFormula>
    </tableColumn>
    <tableColumn id="10" xr3:uid="{00000000-0010-0000-0500-00000A000000}" name="CU/kWh">
      <calculatedColumnFormula>0.15/50</calculatedColumnFormula>
    </tableColumn>
    <tableColumn id="11" xr3:uid="{00000000-0010-0000-0500-00000B000000}" name="Energy Cost per year in CU" totalsRowFunction="custom" totalsRowDxfId="155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xr3:uid="{00000000-0010-0000-0500-00000C000000}" name="Mean dist in km from CO"/>
    <tableColumn id="13" xr3:uid="{00000000-0010-0000-0500-00000D000000}" name="Avg Travel Speed"/>
    <tableColumn id="14" xr3:uid="{00000000-0010-0000-0500-00000E000000}" name="Failures per year">
      <calculatedColumnFormula>Table27[[#This Row],[Quantity]]*(Table27[[#This Row],[FIT]]*24*365)/1000000000</calculatedColumnFormula>
    </tableColumn>
    <tableColumn id="15" xr3:uid="{00000000-0010-0000-0500-00000F000000}" name="Twice Travel Time">
      <calculatedColumnFormula>2*Table27[[#This Row],[Mean dist in km from CO]]/Table27[[#This Row],[Avg Travel Speed]]</calculatedColumnFormula>
    </tableColumn>
    <tableColumn id="16" xr3:uid="{00000000-0010-0000-0500-000010000000}" name="Total Time to Repair(h)">
      <calculatedColumnFormula>Table27[[#This Row],[MTTR]]+Table27[[#This Row],[Twice Travel Time]]</calculatedColumnFormula>
    </tableColumn>
    <tableColumn id="17" xr3:uid="{00000000-0010-0000-0500-000011000000}" name="No. Of technicians"/>
    <tableColumn id="18" xr3:uid="{00000000-0010-0000-0500-000012000000}" name="Cost per hour">
      <calculatedColumnFormula>190/50</calculatedColumnFormula>
    </tableColumn>
    <tableColumn id="19" xr3:uid="{00000000-0010-0000-0500-000013000000}" name="FM Cost" totalsRowFunction="custom" totalsRowDxfId="154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xr3:uid="{00000000-0010-0000-0500-000014000000}" name="SLA CU per hour"/>
    <tableColumn id="21" xr3:uid="{00000000-0010-0000-0500-000015000000}" name="Percentage of Business Users"/>
    <tableColumn id="22" xr3:uid="{00000000-0010-0000-0500-000016000000}" name="Percentage of ITS and business users">
      <calculatedColumnFormula>0.07+2*0.00027</calculatedColumnFormula>
    </tableColumn>
    <tableColumn id="23" xr3:uid="{00000000-0010-0000-0500-000017000000}" name="FM Penalty Business" totalsRowFunction="sum">
      <calculatedColumnFormula>Table27[[#This Row],[Percentage of Business Users]]*Table27[[#This Row],[SLA CU per hour]]*Table27[[#This Row],[Failures per year]]*Table27[[#This Row],[Total Time to Repair(h)]]</calculatedColumnFormula>
    </tableColumn>
    <tableColumn id="28" xr3:uid="{00000000-0010-0000-0500-00001C000000}" name="FM Penalty ITS" totalsRowFunction="sum">
      <calculatedColumnFormula>Table27[[#This Row],[Percentage of ITS and business users]]*Table27[[#This Row],[SLA CU per hour]]*Table27[[#This Row],[Failures per year]]*Table27[[#This Row],[Total Time to Repair(h)]]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e14" displayName="Table14" ref="O23:R29" totalsRowCount="1">
  <autoFilter ref="O23:R28" xr:uid="{00000000-0009-0000-0100-00000E000000}"/>
  <tableColumns count="4">
    <tableColumn id="1" xr3:uid="{00000000-0010-0000-0600-000001000000}" name="Component"/>
    <tableColumn id="2" xr3:uid="{00000000-0010-0000-0600-000002000000}" name="Residential" totalsRowFunction="custom">
      <calculatedColumnFormula>P39/$M$29</calculatedColumnFormula>
      <totalsRowFormula>SUM(Table14[Residential])</totalsRowFormula>
    </tableColumn>
    <tableColumn id="3" xr3:uid="{00000000-0010-0000-0600-000003000000}" name="Business" totalsRowFunction="sum">
      <calculatedColumnFormula>Q39/$M$29</calculatedColumnFormula>
    </tableColumn>
    <tableColumn id="4" xr3:uid="{00000000-0010-0000-0600-000004000000}" name="Business ITS" totalsRowFunction="sum">
      <calculatedColumnFormula>R39/$M$29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38" displayName="Table38" ref="A1:AB11" totalsRowCount="1">
  <autoFilter ref="A1:AB10" xr:uid="{00000000-0009-0000-0100-000007000000}"/>
  <tableColumns count="28">
    <tableColumn id="1" xr3:uid="{00000000-0010-0000-0700-000001000000}" name="Position of component"/>
    <tableColumn id="2" xr3:uid="{00000000-0010-0000-0700-000002000000}" name="Component Name"/>
    <tableColumn id="3" xr3:uid="{00000000-0010-0000-0700-000003000000}" name="Cost per Unit (OASE)" dataDxfId="153"/>
    <tableColumn id="4" xr3:uid="{00000000-0010-0000-0700-000004000000}" name="Quantity" dataDxfId="152"/>
    <tableColumn id="5" xr3:uid="{00000000-0010-0000-0700-000005000000}" name="Floor Space per component"/>
    <tableColumn id="6" xr3:uid="{00000000-0010-0000-0700-000006000000}" name="Total Floor Space">
      <calculatedColumnFormula>Table38[[#This Row],[Floor Space per component]]*Table38[[#This Row],[Quantity]]</calculatedColumnFormula>
    </tableColumn>
    <tableColumn id="7" xr3:uid="{00000000-0010-0000-0700-000007000000}" name="Rent per sqm per year"/>
    <tableColumn id="8" xr3:uid="{00000000-0010-0000-0700-000008000000}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xr3:uid="{00000000-0010-0000-0700-000009000000}" name="Installation Time in hours"/>
    <tableColumn id="10" xr3:uid="{00000000-0010-0000-0700-00000A000000}" name="MTTR"/>
    <tableColumn id="11" xr3:uid="{00000000-0010-0000-0700-00000B000000}" name="FIT"/>
    <tableColumn id="12" xr3:uid="{00000000-0010-0000-0700-00000C000000}" name="Energy consumption in W"/>
    <tableColumn id="13" xr3:uid="{00000000-0010-0000-0700-00000D000000}" name="Yearly Energy Consumption in kWh">
      <calculatedColumnFormula>Table38[[#This Row],[Energy consumption in W]]*24*365/1000</calculatedColumnFormula>
    </tableColumn>
    <tableColumn id="14" xr3:uid="{00000000-0010-0000-0700-00000E000000}" name="CU/kWh">
      <calculatedColumnFormula>0.15/50</calculatedColumnFormula>
    </tableColumn>
    <tableColumn id="15" xr3:uid="{00000000-0010-0000-0700-00000F000000}" name="Energy Cost per year in CU" totalsRowFunction="sum">
      <calculatedColumnFormula>Table38[[#This Row],[Yearly Energy Consumption in kWh]]*Table38[[#This Row],[CU/kWh]]</calculatedColumnFormula>
    </tableColumn>
    <tableColumn id="16" xr3:uid="{00000000-0010-0000-0700-000010000000}" name="Mean dist in km from CO"/>
    <tableColumn id="17" xr3:uid="{00000000-0010-0000-0700-000011000000}" name="Avg Travel Speed"/>
    <tableColumn id="18" xr3:uid="{00000000-0010-0000-0700-000012000000}" name="Failures per year">
      <calculatedColumnFormula>Table38[[#This Row],[Quantity]]*(Table38[[#This Row],[FIT]]*24*365)/1000000000</calculatedColumnFormula>
    </tableColumn>
    <tableColumn id="19" xr3:uid="{00000000-0010-0000-0700-000013000000}" name="Twice Travel Time">
      <calculatedColumnFormula>2*Table38[[#This Row],[Mean dist in km from CO]]/Table38[[#This Row],[Avg Travel Speed]]</calculatedColumnFormula>
    </tableColumn>
    <tableColumn id="20" xr3:uid="{00000000-0010-0000-0700-000014000000}" name="Total Time to Repair(h)">
      <calculatedColumnFormula>Table38[[#This Row],[MTTR]]+Table38[[#This Row],[Twice Travel Time]]</calculatedColumnFormula>
    </tableColumn>
    <tableColumn id="21" xr3:uid="{00000000-0010-0000-0700-000015000000}" name="No. Of technicians"/>
    <tableColumn id="22" xr3:uid="{00000000-0010-0000-0700-000016000000}" name="Cost per hour">
      <calculatedColumnFormula>190/50</calculatedColumnFormula>
    </tableColumn>
    <tableColumn id="23" xr3:uid="{00000000-0010-0000-0700-000017000000}" name="FM Cost" totalsRowFunction="sum">
      <calculatedColumnFormula>Table38[[#This Row],[Cost per hour]]*Table38[[#This Row],[Total Time to Repair(h)]]*Table38[[#This Row],[Failures per year]]</calculatedColumnFormula>
    </tableColumn>
    <tableColumn id="24" xr3:uid="{00000000-0010-0000-0700-000018000000}" name="SLA CU per hour"/>
    <tableColumn id="25" xr3:uid="{00000000-0010-0000-0700-000019000000}" name="Percentage of Business Users"/>
    <tableColumn id="26" xr3:uid="{00000000-0010-0000-0700-00001A000000}" name="Percentage of ITS and business users">
      <calculatedColumnFormula>0.07+2*0.00027</calculatedColumnFormula>
    </tableColumn>
    <tableColumn id="27" xr3:uid="{00000000-0010-0000-0700-00001B000000}" name="FM Penalty Business" totalsRowFunction="sum">
      <calculatedColumnFormula>Table38[[#This Row],[Percentage of Business Users]]*Table38[[#This Row],[SLA CU per hour]]*Table38[[#This Row],[Failures per year]]*Table38[[#This Row],[Total Time to Repair(h)]]</calculatedColumnFormula>
    </tableColumn>
    <tableColumn id="28" xr3:uid="{00000000-0010-0000-0700-00001C000000}" name="FM Penalty ITS" totalsRowFunction="sum">
      <calculatedColumnFormula>Table38[[#This Row],[Percentage of ITS and business users]]*Table38[[#This Row],[SLA CU per hour]]*Table38[[#This Row],[Failures per year]]*Table38[[#This Row],[Total Time to Repair(h)]]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1416" displayName="Table1416" ref="L31:O37" totalsRowCount="1">
  <autoFilter ref="L31:O36" xr:uid="{00000000-0009-0000-0100-00000F000000}"/>
  <tableColumns count="4">
    <tableColumn id="1" xr3:uid="{00000000-0010-0000-0800-000001000000}" name="Component"/>
    <tableColumn id="2" xr3:uid="{00000000-0010-0000-0800-000002000000}" name="Residential" totalsRowFunction="custom">
      <calculatedColumnFormula>M46/$H$40</calculatedColumnFormula>
      <totalsRowFormula>SUM(Table1416[Residential])</totalsRowFormula>
    </tableColumn>
    <tableColumn id="3" xr3:uid="{00000000-0010-0000-0800-000003000000}" name="Business" totalsRowFunction="sum">
      <calculatedColumnFormula>N46/$H$40</calculatedColumnFormula>
    </tableColumn>
    <tableColumn id="4" xr3:uid="{00000000-0010-0000-0800-000004000000}" name="Business ITS" totalsRowFunction="sum">
      <calculatedColumnFormula>O46/$H$40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=@[Percentage%20of%20Business%20Users]*@[SLA%20CU%20per%20hour]*@[Failures%20per%20year]*@[Total%20Time%20to%20Repair(h)]" TargetMode="External"/><Relationship Id="rId1" Type="http://schemas.openxmlformats.org/officeDocument/2006/relationships/hyperlink" Target="mailto:=@[Percentage%20of%20Business%20Users]*@[SLA%20CU%20per%20hour]*@[Failures%20per%20year]*@[Total%20Time%20to%20Repair(h)]" TargetMode="Externa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=@[Percentage%20of%20Business%20Users]*@[SLA%20CU%20per%20hour]*@[Failures%20per%20year]*@[Total%20Time%20to%20Repair(h)]" TargetMode="External"/><Relationship Id="rId1" Type="http://schemas.openxmlformats.org/officeDocument/2006/relationships/hyperlink" Target="mailto:=@[Percentage%20of%20Business%20Users]*@[SLA%20CU%20per%20hour]*@[Failures%20per%20year]*@[Total%20Time%20to%20Repair(h)]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8"/>
  <sheetViews>
    <sheetView workbookViewId="0">
      <selection activeCell="F31" sqref="F31"/>
    </sheetView>
  </sheetViews>
  <sheetFormatPr defaultRowHeight="14.5" x14ac:dyDescent="0.35"/>
  <cols>
    <col min="1" max="1" width="15.26953125" customWidth="1"/>
    <col min="2" max="2" width="28.81640625" customWidth="1"/>
    <col min="3" max="3" width="14.81640625" customWidth="1"/>
    <col min="4" max="5" width="31.453125" customWidth="1"/>
    <col min="6" max="12" width="14.81640625" customWidth="1"/>
    <col min="13" max="13" width="14.81640625" bestFit="1" customWidth="1"/>
  </cols>
  <sheetData>
    <row r="3" spans="1:6" x14ac:dyDescent="0.35">
      <c r="A3" s="3" t="s">
        <v>53</v>
      </c>
      <c r="B3" s="1" t="s">
        <v>55</v>
      </c>
      <c r="C3" s="1" t="s">
        <v>57</v>
      </c>
      <c r="D3" s="1" t="s">
        <v>56</v>
      </c>
    </row>
    <row r="4" spans="1:6" x14ac:dyDescent="0.35">
      <c r="A4" s="4" t="s">
        <v>13</v>
      </c>
      <c r="B4" s="5">
        <v>0</v>
      </c>
      <c r="C4" s="5">
        <v>0</v>
      </c>
      <c r="D4" s="5">
        <v>0</v>
      </c>
    </row>
    <row r="5" spans="1:6" x14ac:dyDescent="0.3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3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3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35">
      <c r="A8" s="4" t="s">
        <v>54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6"/>
  <sheetViews>
    <sheetView zoomScale="70" zoomScaleNormal="70" workbookViewId="0">
      <selection activeCell="M39" sqref="M39"/>
    </sheetView>
  </sheetViews>
  <sheetFormatPr defaultRowHeight="14.5" x14ac:dyDescent="0.35"/>
  <cols>
    <col min="1" max="1" width="22.1796875" customWidth="1"/>
    <col min="2" max="2" width="22.7265625" customWidth="1"/>
    <col min="3" max="3" width="20.1796875" customWidth="1"/>
    <col min="4" max="4" width="13.54296875" customWidth="1"/>
    <col min="5" max="5" width="26" customWidth="1"/>
    <col min="6" max="6" width="17.26953125" customWidth="1"/>
    <col min="7" max="7" width="21.26953125" customWidth="1"/>
    <col min="8" max="8" width="22.7265625" customWidth="1"/>
    <col min="9" max="9" width="24" customWidth="1"/>
    <col min="12" max="12" width="24.453125" customWidth="1"/>
    <col min="13" max="13" width="32.26953125" customWidth="1"/>
    <col min="14" max="14" width="10.1796875" customWidth="1"/>
    <col min="15" max="15" width="25" customWidth="1"/>
    <col min="16" max="16" width="23.7265625" customWidth="1"/>
    <col min="17" max="17" width="17.26953125" customWidth="1"/>
    <col min="18" max="18" width="16.54296875" customWidth="1"/>
    <col min="19" max="19" width="17.7265625" customWidth="1"/>
    <col min="20" max="20" width="22.1796875" customWidth="1"/>
    <col min="21" max="21" width="24" customWidth="1"/>
    <col min="22" max="22" width="14.26953125" customWidth="1"/>
    <col min="23" max="23" width="9.7265625" customWidth="1"/>
    <col min="24" max="24" width="15.26953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0.15/50</f>
        <v>3.0000000000000001E-3</v>
      </c>
      <c r="O2">
        <f>Table9[[#This Row],[Yearly Energy Consumption in kWh]]*Table9[[#This Row],[CU/kWh]]</f>
        <v>10.512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5</v>
      </c>
      <c r="W2">
        <f>Table9[[#This Row],[Failures per year]]*Table9[[#This Row],[Total Time to Repair(h)]]*Table9[[#This Row],[No. Of technicians]]*Table9[[#This Row],[Cost per hour]]</f>
        <v>2.6910720000000001</v>
      </c>
      <c r="X2" s="8">
        <v>100</v>
      </c>
      <c r="Y2" s="8">
        <v>7.0000000000000007E-2</v>
      </c>
      <c r="Z2" s="8">
        <f>0.07+2*0.00027</f>
        <v>7.0540000000000005E-2</v>
      </c>
      <c r="AA2" s="32">
        <f>Table9[Percentage of Business Users]*Table9[SLA CU per hour]*Table9[Failures per year]*Table9[Total Time to Repair(h)]</f>
        <v>3.7675008000000005</v>
      </c>
      <c r="AB2" s="8">
        <f>Table9[[#This Row],[Percentage of ITS and business users]]*Table9[[#This Row],[SLA CU per hour]]*Table9[[#This Row],[Failures per year]]*Table9[[#This Row],[Total Time to Repair(h)]]</f>
        <v>3.7965643776000002</v>
      </c>
    </row>
    <row r="3" spans="1:28" x14ac:dyDescent="0.35">
      <c r="A3" t="s">
        <v>3</v>
      </c>
      <c r="B3" t="s">
        <v>83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0.15/50</f>
        <v>3.0000000000000001E-3</v>
      </c>
      <c r="O3" s="8">
        <f>Table9[[#This Row],[Yearly Energy Consumption in kWh]]*Table9[[#This Row],[CU/kWh]]</f>
        <v>21.024000000000001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5</v>
      </c>
      <c r="W3" s="8">
        <f>Table9[[#This Row],[Failures per year]]*Table9[[#This Row],[Total Time to Repair(h)]]*Table9[[#This Row],[No. Of technicians]]*Table9[[#This Row],[Cost per hour]]</f>
        <v>0.10512000000000001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32">
        <f>Table9[Percentage of Business Users]*Table9[SLA CU per hour]*Table9[Failures per year]*Table9[Total Time to Repair(h)]</f>
        <v>0.14716800000000002</v>
      </c>
      <c r="AB3" s="8">
        <f>Table9[[#This Row],[Percentage of ITS and business users]]*Table9[[#This Row],[SLA CU per hour]]*Table9[[#This Row],[Failures per year]]*Table9[[#This Row],[Total Time to Repair(h)]]</f>
        <v>0.14830329600000003</v>
      </c>
    </row>
    <row r="4" spans="1:28" x14ac:dyDescent="0.3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3.0000000000000001E-3</v>
      </c>
      <c r="O4" s="8">
        <f>Table9[[#This Row],[Yearly Energy Consumption in kWh]]*Table9[[#This Row],[CU/kWh]]</f>
        <v>15.768000000000001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5</v>
      </c>
      <c r="W4" s="8">
        <f>Table9[[#This Row],[Failures per year]]*Table9[[#This Row],[Total Time to Repair(h)]]*Table9[[#This Row],[No. Of technicians]]*Table9[[#This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32">
        <f>Table9[Percentage of Business Users]*Table9[SLA CU per hour]*Table9[Failures per year]*Table9[Total Time to Repair(h)]</f>
        <v>0</v>
      </c>
      <c r="AB4" s="8">
        <f>Table9[[#This Row],[Percentage of ITS and business users]]*Table9[[#This Row],[SLA CU per hour]]*Table9[[#This Row],[Failures per year]]*Table9[[#This Row],[Total Time to Repair(h)]]</f>
        <v>0</v>
      </c>
    </row>
    <row r="5" spans="1:28" x14ac:dyDescent="0.35">
      <c r="A5" t="s">
        <v>3</v>
      </c>
      <c r="B5" t="s">
        <v>75</v>
      </c>
      <c r="C5">
        <v>400</v>
      </c>
      <c r="D5">
        <v>1</v>
      </c>
      <c r="E5">
        <v>40</v>
      </c>
      <c r="F5" s="8">
        <f>Table9[[#This Row],[Floor Space per component]]*Table9[[#This Row],[Quantity]]</f>
        <v>40</v>
      </c>
      <c r="G5" s="8">
        <v>10.6</v>
      </c>
      <c r="H5" s="8">
        <f>Table9[[#This Row],[Total Floor Space]]*Table9[[#This Row],[Rent per sqm per year]]</f>
        <v>424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3.0000000000000001E-3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5</v>
      </c>
      <c r="W5" s="8">
        <f>Table9[[#This Row],[Failures per year]]*Table9[[#This Row],[Total Time to Repair(h)]]*Table9[[#This Row],[No. Of technicians]]*Table9[[#This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32">
        <f>Table9[Percentage of Business Users]*Table9[SLA CU per hour]*Table9[Failures per year]*Table9[Total Time to Repair(h)]</f>
        <v>0</v>
      </c>
      <c r="AB5" s="8">
        <f>Table9[[#This Row],[Percentage of ITS and business users]]*Table9[[#This Row],[SLA CU per hour]]*Table9[[#This Row],[Failures per year]]*Table9[[#This Row],[Total Time to Repair(h)]]</f>
        <v>0</v>
      </c>
    </row>
    <row r="6" spans="1:28" x14ac:dyDescent="0.35">
      <c r="A6" t="s">
        <v>8</v>
      </c>
      <c r="B6" t="s">
        <v>76</v>
      </c>
      <c r="C6">
        <v>24</v>
      </c>
      <c r="D6">
        <v>8</v>
      </c>
      <c r="E6">
        <v>0.1</v>
      </c>
      <c r="F6" s="8">
        <f>Table9[[#This Row],[Floor Space per component]]*Table9[[#This Row],[Quantity]]</f>
        <v>0.8</v>
      </c>
      <c r="G6" s="8">
        <v>4</v>
      </c>
      <c r="H6" s="8">
        <f>Table9[[#This Row],[Total Floor Space]]*Table9[[#This Row],[Rent per sqm per year]]</f>
        <v>3.2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3.0000000000000001E-3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5</v>
      </c>
      <c r="W6" s="8">
        <f>Table9[[#This Row],[Failures per year]]*Table9[[#This Row],[Total Time to Repair(h)]]*Table9[[#This Row],[No. Of technicians]]*Table9[[#This Row],[Cost per hour]]</f>
        <v>0.10687199999999999</v>
      </c>
      <c r="X6" s="8">
        <v>100</v>
      </c>
      <c r="Y6" s="8">
        <v>7.0000000000000007E-2</v>
      </c>
      <c r="Z6" s="8">
        <f t="shared" si="1"/>
        <v>7.0540000000000005E-2</v>
      </c>
      <c r="AA6" s="32">
        <f>Table9[Percentage of Business Users]*Table9[SLA CU per hour]*Table9[Failures per year]*Table9[Total Time to Repair(h)]</f>
        <v>0.14962080000000003</v>
      </c>
      <c r="AB6" s="8">
        <f>Table9[[#This Row],[Percentage of ITS and business users]]*Table9[[#This Row],[SLA CU per hour]]*Table9[[#This Row],[Failures per year]]*Table9[[#This Row],[Total Time to Repair(h)]]</f>
        <v>0.15077501760000001</v>
      </c>
    </row>
    <row r="7" spans="1:28" x14ac:dyDescent="0.35">
      <c r="A7" t="s">
        <v>10</v>
      </c>
      <c r="B7" t="s">
        <v>126</v>
      </c>
      <c r="C7">
        <v>112</v>
      </c>
      <c r="D7">
        <v>610</v>
      </c>
      <c r="E7">
        <v>0.1</v>
      </c>
      <c r="F7" s="8">
        <f>Table9[[#This Row],[Floor Space per component]]*Table9[[#This Row],[Quantity]]</f>
        <v>61</v>
      </c>
      <c r="G7" s="8">
        <v>4</v>
      </c>
      <c r="H7" s="8">
        <f>Table9[[#This Row],[Total Floor Space]]*Table9[[#This Row],[Rent per sqm per year]]</f>
        <v>244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3.0000000000000001E-3</v>
      </c>
      <c r="O7" s="8">
        <f>Table9[[#This Row],[Yearly Energy Consumption in kWh]]*Table9[[#This Row],[CU/kWh]]</f>
        <v>801.54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5</v>
      </c>
      <c r="W7" s="8">
        <f>Table9[[#This Row],[Failures per year]]*Table9[[#This Row],[Total Time to Repair(h)]]*Table9[[#This Row],[No. Of technicians]]*Table9[[#This Row],[Cost per hour]]</f>
        <v>3226.1985</v>
      </c>
      <c r="X7" s="8">
        <v>100</v>
      </c>
      <c r="Y7" s="8">
        <v>7.0000000000000007E-2</v>
      </c>
      <c r="Z7" s="8">
        <f t="shared" si="1"/>
        <v>7.0540000000000005E-2</v>
      </c>
      <c r="AA7" s="32">
        <f>Table9[Percentage of Business Users]*Table9[SLA CU per hour]*Table9[Failures per year]*Table9[Total Time to Repair(h)]</f>
        <v>4516.6778999999997</v>
      </c>
      <c r="AB7" s="8">
        <f>Table9[[#This Row],[Percentage of ITS and business users]]*Table9[[#This Row],[SLA CU per hour]]*Table9[[#This Row],[Failures per year]]*Table9[[#This Row],[Total Time to Repair(h)]]</f>
        <v>4551.5208438</v>
      </c>
    </row>
    <row r="8" spans="1:28" x14ac:dyDescent="0.35">
      <c r="A8" t="s">
        <v>10</v>
      </c>
      <c r="B8" t="s">
        <v>84</v>
      </c>
      <c r="C8">
        <v>3.1</v>
      </c>
      <c r="D8">
        <v>1830</v>
      </c>
      <c r="E8">
        <v>0.5</v>
      </c>
      <c r="F8" s="8">
        <f>Table9[[#This Row],[Floor Space per component]]*Table9[[#This Row],[Quantity]]</f>
        <v>915</v>
      </c>
      <c r="G8" s="8">
        <v>4</v>
      </c>
      <c r="H8" s="8">
        <f>Table9[[#This Row],[Total Floor Space]]*Table9[[#This Row],[Rent per sqm per year]]</f>
        <v>3660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3.0000000000000001E-3</v>
      </c>
      <c r="O8" s="8">
        <f>Table9[[#This Row],[Yearly Energy Consumption in kWh]]*Table9[[#This Row],[CU/kWh]]</f>
        <v>264.50819999999999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5</v>
      </c>
      <c r="W8" s="8">
        <f>Table9[[#This Row],[Failures per year]]*Table9[[#This Row],[Total Time to Repair(h)]]*Table9[[#This Row],[No. Of technicians]]*Table9[[#This Row],[Cost per hour]]</f>
        <v>126.19445760000002</v>
      </c>
      <c r="X8" s="8">
        <v>100</v>
      </c>
      <c r="Y8" s="8">
        <v>7.0000000000000007E-2</v>
      </c>
      <c r="Z8" s="8">
        <f t="shared" si="1"/>
        <v>7.0540000000000005E-2</v>
      </c>
      <c r="AA8" s="32">
        <f>Table9[Percentage of Business Users]*Table9[SLA CU per hour]*Table9[Failures per year]*Table9[Total Time to Repair(h)]</f>
        <v>176.67224064000004</v>
      </c>
      <c r="AB8" s="8">
        <f>Table9[[#This Row],[Percentage of ITS and business users]]*Table9[[#This Row],[SLA CU per hour]]*Table9[[#This Row],[Failures per year]]*Table9[[#This Row],[Total Time to Repair(h)]]</f>
        <v>178.03514078208005</v>
      </c>
    </row>
    <row r="9" spans="1:28" x14ac:dyDescent="0.35">
      <c r="A9" t="s">
        <v>10</v>
      </c>
      <c r="B9" t="s">
        <v>85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512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3.0000000000000001E-3</v>
      </c>
      <c r="O9" s="8">
        <f>Table9[[#This Row],[Yearly Energy Consumption in kWh]]*Table9[[#This Row],[CU/kWh]]</f>
        <v>2404.62</v>
      </c>
      <c r="P9">
        <v>2</v>
      </c>
      <c r="Q9" s="8">
        <v>20</v>
      </c>
      <c r="R9" s="8">
        <f>Table9[[#This Row],[FIT]]*Table9[[#This Row],[Quantity]]*24*365/1000000000</f>
        <v>8.2077696000000007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5</v>
      </c>
      <c r="W9" s="8">
        <f>Table9[[#This Row],[Failures per year]]*Table9[[#This Row],[Total Time to Repair(h)]]*Table9[[#This Row],[No. Of technicians]]*Table9[[#This Row],[Cost per hour]]</f>
        <v>993.14012160000004</v>
      </c>
      <c r="X9" s="8">
        <v>100</v>
      </c>
      <c r="Y9" s="8">
        <v>7.0000000000000007E-2</v>
      </c>
      <c r="Z9" s="8">
        <f t="shared" si="1"/>
        <v>7.0540000000000005E-2</v>
      </c>
      <c r="AA9" s="32">
        <f>Table9[Percentage of Business Users]*Table9[SLA CU per hour]*Table9[Failures per year]*Table9[Total Time to Repair(h)]</f>
        <v>1390.3961702400002</v>
      </c>
      <c r="AB9" s="8">
        <f>Table9[[#This Row],[Percentage of ITS and business users]]*Table9[[#This Row],[SLA CU per hour]]*Table9[[#This Row],[Failures per year]]*Table9[[#This Row],[Total Time to Repair(h)]]</f>
        <v>1401.1220835532802</v>
      </c>
    </row>
    <row r="10" spans="1:28" x14ac:dyDescent="0.35">
      <c r="A10" t="s">
        <v>86</v>
      </c>
      <c r="B10" t="s">
        <v>82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3.0000000000000001E-3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5</v>
      </c>
      <c r="W10" s="8">
        <f>Table9[[#This Row],[Failures per year]]*Table9[[#This Row],[Total Time to Repair(h)]]*Table9[[#This Row],[No. Of technicians]]*Table9[[#This Row],[Cost per hour]]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32">
        <f>Table9[Percentage of Business Users]*Table9[SLA CU per hour]*Table9[Failures per year]*Table9[Total Time to Repair(h)]</f>
        <v>0</v>
      </c>
      <c r="AB10" s="8">
        <f>Table9[[#This Row],[Percentage of ITS and business users]]*Table9[[#This Row],[SLA CU per hour]]*Table9[[#This Row],[Failures per year]]*Table9[[#This Row],[Total Time to Repair(h)]]</f>
        <v>0</v>
      </c>
    </row>
    <row r="11" spans="1:28" x14ac:dyDescent="0.35">
      <c r="H11">
        <f>SUM(Table9[Total Rent cost per year])</f>
        <v>13856</v>
      </c>
      <c r="O11">
        <f>SUBTOTAL(109,Table9[Energy Cost per year in CU])</f>
        <v>3517.9721999999997</v>
      </c>
      <c r="W11">
        <f>SUBTOTAL(109,Table9[FM Cost])</f>
        <v>4348.4361432000005</v>
      </c>
      <c r="AA11">
        <f>SUBTOTAL(109,Table9[FM Penalty Business])</f>
        <v>6087.8106004800002</v>
      </c>
      <c r="AB11">
        <f>SUBTOTAL(109,Table9[FM Penalty ITS])</f>
        <v>6134.7737108265601</v>
      </c>
    </row>
    <row r="15" spans="1:28" x14ac:dyDescent="0.35">
      <c r="P15" t="s">
        <v>69</v>
      </c>
    </row>
    <row r="16" spans="1:28" x14ac:dyDescent="0.3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>
        <f>Table9[[#Totals],[Total Rent cost per year]]+Table9[[#Totals],[Energy Cost per year in CU]]+Table9[[#Totals],[FM Cost]]+J20</f>
        <v>22482.092400413636</v>
      </c>
    </row>
    <row r="17" spans="1:17" x14ac:dyDescent="0.35">
      <c r="A17" t="s">
        <v>41</v>
      </c>
      <c r="B17">
        <f>8635.15425010598/1000</f>
        <v>8.6351542501059786</v>
      </c>
      <c r="C17">
        <f>570*B17</f>
        <v>4922.0379225604074</v>
      </c>
      <c r="D17">
        <v>24</v>
      </c>
      <c r="E17">
        <v>2</v>
      </c>
      <c r="F17">
        <v>5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10.369651054491815</v>
      </c>
    </row>
    <row r="18" spans="1:17" x14ac:dyDescent="0.35">
      <c r="A18" t="s">
        <v>42</v>
      </c>
      <c r="B18">
        <f>233483.637737831/1000</f>
        <v>233.483637737831</v>
      </c>
      <c r="C18" s="8">
        <f t="shared" ref="C18:C19" si="2">570*B18</f>
        <v>133085.67351056368</v>
      </c>
      <c r="D18">
        <v>24</v>
      </c>
      <c r="E18">
        <v>2</v>
      </c>
      <c r="F18">
        <v>5</v>
      </c>
      <c r="G1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280.96515048856156</v>
      </c>
    </row>
    <row r="19" spans="1:17" x14ac:dyDescent="0.35">
      <c r="A19" t="s">
        <v>62</v>
      </c>
      <c r="B19">
        <f>387592.626526276/1000</f>
        <v>387.59262652627598</v>
      </c>
      <c r="C19" s="8">
        <f t="shared" si="2"/>
        <v>220927.7971199773</v>
      </c>
      <c r="D19">
        <v>24</v>
      </c>
      <c r="E19">
        <v>2</v>
      </c>
      <c r="F19">
        <v>5</v>
      </c>
      <c r="G19">
        <v>4</v>
      </c>
      <c r="H19" s="8">
        <f t="shared" si="3"/>
        <v>0.2</v>
      </c>
      <c r="I19" s="8">
        <f t="shared" si="4"/>
        <v>24.2</v>
      </c>
      <c r="J19" s="8">
        <f t="shared" si="5"/>
        <v>468.34925567058229</v>
      </c>
    </row>
    <row r="20" spans="1:17" x14ac:dyDescent="0.35">
      <c r="J20">
        <f>SUM(J17:J19)</f>
        <v>759.6840572136357</v>
      </c>
      <c r="O20" s="8" t="s">
        <v>95</v>
      </c>
      <c r="P20" s="8" t="s">
        <v>66</v>
      </c>
      <c r="Q20" t="s">
        <v>138</v>
      </c>
    </row>
    <row r="21" spans="1:17" x14ac:dyDescent="0.35">
      <c r="O21" s="8" t="s">
        <v>90</v>
      </c>
      <c r="P21" s="8">
        <f>P42/$M$39</f>
        <v>0.47351513908823728</v>
      </c>
      <c r="Q21" s="8">
        <f>Q42/$M$39</f>
        <v>0.47351513908823728</v>
      </c>
    </row>
    <row r="22" spans="1:17" x14ac:dyDescent="0.35">
      <c r="O22" s="8" t="s">
        <v>91</v>
      </c>
      <c r="P22" s="8">
        <f t="shared" ref="P22:Q25" si="6">P43/$M$39</f>
        <v>0.12022323149477136</v>
      </c>
      <c r="Q22" s="8">
        <f t="shared" si="6"/>
        <v>0.12022323149477136</v>
      </c>
    </row>
    <row r="23" spans="1:17" x14ac:dyDescent="0.35">
      <c r="O23" s="8" t="s">
        <v>92</v>
      </c>
      <c r="P23" s="8">
        <f t="shared" si="6"/>
        <v>0.14860351798236623</v>
      </c>
      <c r="Q23" s="8">
        <f t="shared" si="6"/>
        <v>0.3842148148192262</v>
      </c>
    </row>
    <row r="24" spans="1:17" x14ac:dyDescent="0.35">
      <c r="O24" s="8" t="s">
        <v>93</v>
      </c>
      <c r="P24" s="8">
        <f t="shared" si="6"/>
        <v>3.7117094428268743E-2</v>
      </c>
      <c r="Q24" s="8">
        <f t="shared" si="6"/>
        <v>4.8897659270111742E-2</v>
      </c>
    </row>
    <row r="25" spans="1:17" x14ac:dyDescent="0.35">
      <c r="O25" s="8" t="s">
        <v>94</v>
      </c>
      <c r="P25" s="8">
        <f t="shared" si="6"/>
        <v>5.1963932199576256E-2</v>
      </c>
      <c r="Q25" s="8">
        <f t="shared" si="6"/>
        <v>6.8456722978156456E-2</v>
      </c>
    </row>
    <row r="26" spans="1:17" x14ac:dyDescent="0.35">
      <c r="O26" s="8"/>
      <c r="P26" s="8">
        <f>SUM(Table14161718[Cost])</f>
        <v>0.83142291519321987</v>
      </c>
      <c r="Q26">
        <f>SUBTOTAL(109,Table14161718[Cost ITS])</f>
        <v>1.0953075676505031</v>
      </c>
    </row>
    <row r="29" spans="1:17" x14ac:dyDescent="0.35">
      <c r="B29" s="9"/>
      <c r="C29" s="9"/>
      <c r="D29" s="9"/>
    </row>
    <row r="38" spans="13:17" x14ac:dyDescent="0.35">
      <c r="M38" t="s">
        <v>137</v>
      </c>
    </row>
    <row r="39" spans="13:17" x14ac:dyDescent="0.35">
      <c r="M39" s="8">
        <v>29262</v>
      </c>
    </row>
    <row r="41" spans="13:17" x14ac:dyDescent="0.35">
      <c r="O41" s="40" t="s">
        <v>95</v>
      </c>
      <c r="P41" s="39" t="s">
        <v>66</v>
      </c>
      <c r="Q41" t="s">
        <v>138</v>
      </c>
    </row>
    <row r="42" spans="13:17" x14ac:dyDescent="0.35">
      <c r="O42" s="28" t="s">
        <v>90</v>
      </c>
      <c r="P42" s="12">
        <f>Table9[[#Totals],[Total Rent cost per year]]</f>
        <v>13856</v>
      </c>
      <c r="Q42" s="12">
        <f>Table9[[#Totals],[Total Rent cost per year]]</f>
        <v>13856</v>
      </c>
    </row>
    <row r="43" spans="13:17" x14ac:dyDescent="0.35">
      <c r="O43" s="30" t="s">
        <v>91</v>
      </c>
      <c r="P43" s="13">
        <f>Table9[[#Totals],[Energy Cost per year in CU]]</f>
        <v>3517.9721999999997</v>
      </c>
      <c r="Q43" s="13">
        <f>Table9[[#Totals],[Energy Cost per year in CU]]</f>
        <v>3517.9721999999997</v>
      </c>
    </row>
    <row r="44" spans="13:17" x14ac:dyDescent="0.35">
      <c r="O44" s="28" t="s">
        <v>92</v>
      </c>
      <c r="P44" s="12">
        <f>Table9[[#Totals],[FM Cost]]+J41</f>
        <v>4348.4361432000005</v>
      </c>
      <c r="Q44">
        <f>Table9[[#Totals],[FM Cost]]+$J$20+Table9[[#Totals],[FM Penalty ITS]]</f>
        <v>11242.893911240197</v>
      </c>
    </row>
    <row r="45" spans="13:17" x14ac:dyDescent="0.35">
      <c r="O45" s="30" t="s">
        <v>93</v>
      </c>
      <c r="P45" s="13">
        <f>0.05*SUM(P42:P44)</f>
        <v>1086.12041716</v>
      </c>
      <c r="Q45" s="13">
        <f>0.05*SUM(Q42:Q44)</f>
        <v>1430.8433055620098</v>
      </c>
    </row>
    <row r="46" spans="13:17" x14ac:dyDescent="0.35">
      <c r="O46" s="28" t="s">
        <v>94</v>
      </c>
      <c r="P46" s="12">
        <f>0.07*SUM(P42:P44)</f>
        <v>1520.5685840240003</v>
      </c>
      <c r="Q46" s="12">
        <f>0.07*SUM(Q42:Q44)</f>
        <v>2003.1806277868141</v>
      </c>
    </row>
  </sheetData>
  <hyperlinks>
    <hyperlink ref="AA2" r:id="rId1" display="=@[Percentage of Business Users]*@[SLA CU per hour]*@[Failures per year]*@[Total Time to Repair(h)]" xr:uid="{00000000-0004-0000-0900-000000000000}"/>
    <hyperlink ref="AA3:AA10" r:id="rId2" display="=@[Percentage of Business Users]*@[SLA CU per hour]*@[Failures per year]*@[Total Time to Repair(h)]" xr:uid="{00000000-0004-0000-0900-000001000000}"/>
  </hyperlinks>
  <pageMargins left="0.7" right="0.7" top="0.75" bottom="0.75" header="0.3" footer="0.3"/>
  <pageSetup paperSize="9" orientation="portrait" verticalDpi="0" r:id="rId3"/>
  <headerFooter>
    <oddFooter>&amp;LUnrestricted</oddFooter>
  </headerFooter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5"/>
  <sheetViews>
    <sheetView topLeftCell="G1" workbookViewId="0">
      <selection activeCell="M31" sqref="M31"/>
    </sheetView>
  </sheetViews>
  <sheetFormatPr defaultRowHeight="14.5" x14ac:dyDescent="0.35"/>
  <cols>
    <col min="1" max="1" width="22.1796875" customWidth="1"/>
    <col min="2" max="2" width="26.26953125" customWidth="1"/>
    <col min="3" max="3" width="20.1796875" customWidth="1"/>
    <col min="4" max="4" width="18.453125" customWidth="1"/>
    <col min="5" max="5" width="26" customWidth="1"/>
    <col min="6" max="6" width="20" customWidth="1"/>
    <col min="7" max="7" width="21.26953125" customWidth="1"/>
    <col min="8" max="8" width="22.7265625" customWidth="1"/>
    <col min="9" max="9" width="24" customWidth="1"/>
    <col min="10" max="10" width="15.26953125" customWidth="1"/>
    <col min="12" max="12" width="24.453125" customWidth="1"/>
    <col min="13" max="13" width="32.26953125" customWidth="1"/>
    <col min="14" max="14" width="10.1796875" customWidth="1"/>
    <col min="15" max="15" width="25" customWidth="1"/>
    <col min="16" max="16" width="23.7265625" customWidth="1"/>
    <col min="17" max="17" width="17.26953125" customWidth="1"/>
    <col min="18" max="18" width="16.54296875" customWidth="1"/>
    <col min="19" max="19" width="17.7265625" customWidth="1"/>
    <col min="20" max="20" width="22.1796875" customWidth="1"/>
    <col min="21" max="21" width="18.26953125" customWidth="1"/>
    <col min="22" max="22" width="14.26953125" customWidth="1"/>
    <col min="23" max="23" width="9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109</v>
      </c>
      <c r="Y1" s="8" t="s">
        <v>113</v>
      </c>
      <c r="Z1" s="8" t="s">
        <v>114</v>
      </c>
    </row>
    <row r="2" spans="1:26" x14ac:dyDescent="0.35">
      <c r="A2" s="16" t="s">
        <v>3</v>
      </c>
      <c r="B2" s="17" t="s">
        <v>58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0.15/50</f>
        <v>3.0000000000000001E-3</v>
      </c>
      <c r="O2">
        <f>Table10[[#This Row],[Yearly Energy Consumption in kWh]]*Table10[[#This Row],[CU/kWh]]</f>
        <v>63.072000000000003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5</v>
      </c>
      <c r="W2">
        <f>Table10[[#This Row],[Failures per year]]*Table10[[#This Row],[Total Time to Repair(h)]]*Table10[[#This Row],[No. Of technicians]]*Table10[[#This Row],[Cost per hour]]</f>
        <v>5.3821440000000003</v>
      </c>
      <c r="X2" s="8">
        <v>100</v>
      </c>
      <c r="Y2" s="8">
        <v>7.0000000000000007E-2</v>
      </c>
      <c r="Z2" s="8">
        <f>0.07+2*0.00027</f>
        <v>7.0540000000000005E-2</v>
      </c>
    </row>
    <row r="3" spans="1:26" x14ac:dyDescent="0.35">
      <c r="A3" s="19" t="s">
        <v>3</v>
      </c>
      <c r="B3" s="20" t="s">
        <v>83</v>
      </c>
      <c r="C3" s="21">
        <v>40</v>
      </c>
      <c r="D3" s="21">
        <v>8</v>
      </c>
      <c r="E3">
        <v>1</v>
      </c>
      <c r="F3" s="8">
        <f t="shared" ref="F3:F9" si="0">E3*D3</f>
        <v>8</v>
      </c>
      <c r="G3" s="8">
        <v>10.6</v>
      </c>
      <c r="H3" s="8">
        <f>Table10[[#This Row],[Total Floor Space]]*Table10[[#This Row],[Rent per sqm per year]]</f>
        <v>84.8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0.15/50</f>
        <v>3.0000000000000001E-3</v>
      </c>
      <c r="O3" s="8">
        <f>Table10[[#This Row],[Yearly Energy Consumption in kWh]]*Table10[[#This Row],[CU/kWh]]</f>
        <v>21.024000000000001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5</v>
      </c>
      <c r="W3" s="8">
        <f>Table10[[#This Row],[Failures per year]]*Table10[[#This Row],[Total Time to Repair(h)]]*Table10[[#This Row],[No. Of technicians]]*Table10[[#This Row],[Cost per hour]]</f>
        <v>0.10512000000000001</v>
      </c>
      <c r="X3" s="8">
        <v>100</v>
      </c>
      <c r="Y3" s="8">
        <v>7.0000000000000007E-2</v>
      </c>
      <c r="Z3" s="8">
        <f t="shared" ref="Z3:Z10" si="2">0.07+2*0.00027</f>
        <v>7.0540000000000005E-2</v>
      </c>
    </row>
    <row r="4" spans="1:26" x14ac:dyDescent="0.3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3.0000000000000001E-3</v>
      </c>
      <c r="O4" s="8">
        <f>Table10[[#This Row],[Yearly Energy Consumption in kWh]]*Table10[[#This Row],[CU/kWh]]</f>
        <v>15.768000000000001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5</v>
      </c>
      <c r="W4" s="8">
        <f>Table10[[#This Row],[Failures per year]]*Table10[[#This Row],[Total Time to Repair(h)]]*Table10[[#This Row],[No. Of technicians]]*Table10[[#This Row],[Cost per hour]]</f>
        <v>0</v>
      </c>
      <c r="X4" s="8">
        <v>100</v>
      </c>
      <c r="Y4" s="8">
        <v>7.0000000000000007E-2</v>
      </c>
      <c r="Z4" s="8">
        <f t="shared" si="2"/>
        <v>7.0540000000000005E-2</v>
      </c>
    </row>
    <row r="5" spans="1:26" x14ac:dyDescent="0.35">
      <c r="A5" s="19" t="s">
        <v>3</v>
      </c>
      <c r="B5" s="20" t="s">
        <v>75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3.0000000000000001E-3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5</v>
      </c>
      <c r="W5" s="8">
        <f>Table10[[#This Row],[Failures per year]]*Table10[[#This Row],[Total Time to Repair(h)]]*Table10[[#This Row],[No. Of technicians]]*Table10[[#This Row],[Cost per hour]]</f>
        <v>0</v>
      </c>
      <c r="X5" s="8">
        <v>100</v>
      </c>
      <c r="Y5" s="8">
        <v>7.0000000000000007E-2</v>
      </c>
      <c r="Z5" s="8">
        <f t="shared" si="2"/>
        <v>7.0540000000000005E-2</v>
      </c>
    </row>
    <row r="6" spans="1:26" x14ac:dyDescent="0.35">
      <c r="A6" s="16" t="s">
        <v>8</v>
      </c>
      <c r="B6" s="17" t="s">
        <v>76</v>
      </c>
      <c r="C6" s="18">
        <f>80*0.3</f>
        <v>24</v>
      </c>
      <c r="D6" s="18">
        <v>8</v>
      </c>
      <c r="E6">
        <v>0.1</v>
      </c>
      <c r="F6" s="8">
        <f t="shared" si="0"/>
        <v>0.8</v>
      </c>
      <c r="G6" s="8">
        <v>10.6</v>
      </c>
      <c r="H6" s="8">
        <f>Table10[[#This Row],[Total Floor Space]]*Table10[[#This Row],[Rent per sqm per year]]</f>
        <v>8.48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3.0000000000000001E-3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5</v>
      </c>
      <c r="W6" s="8">
        <f>Table10[[#This Row],[Failures per year]]*Table10[[#This Row],[Total Time to Repair(h)]]*Table10[[#This Row],[No. Of technicians]]*Table10[[#This Row],[Cost per hour]]</f>
        <v>0.10687199999999999</v>
      </c>
      <c r="X6" s="8">
        <v>100</v>
      </c>
      <c r="Y6" s="8">
        <v>7.0000000000000007E-2</v>
      </c>
      <c r="Z6" s="8">
        <f t="shared" si="2"/>
        <v>7.0540000000000005E-2</v>
      </c>
    </row>
    <row r="7" spans="1:26" x14ac:dyDescent="0.35">
      <c r="A7" s="19" t="s">
        <v>10</v>
      </c>
      <c r="B7" s="20" t="s">
        <v>87</v>
      </c>
      <c r="C7" s="21">
        <v>0.9</v>
      </c>
      <c r="D7" s="21">
        <v>305</v>
      </c>
      <c r="E7">
        <v>0.1</v>
      </c>
      <c r="F7" s="8">
        <f t="shared" si="0"/>
        <v>30.5</v>
      </c>
      <c r="G7" s="8">
        <v>10.6</v>
      </c>
      <c r="H7" s="8">
        <f>Table10[[#This Row],[Total Floor Space]]*Table10[[#This Row],[Rent per sqm per year]]</f>
        <v>323.3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3.0000000000000001E-3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5</v>
      </c>
      <c r="W7" s="8">
        <f>Table10[[#This Row],[Failures per year]]*Table10[[#This Row],[Total Time to Repair(h)]]*Table10[[#This Row],[No. Of technicians]]*Table10[[#This Row],[Cost per hour]]</f>
        <v>4.1412899999999997</v>
      </c>
      <c r="X7" s="8">
        <v>100</v>
      </c>
      <c r="Y7" s="8">
        <v>7.0000000000000007E-2</v>
      </c>
      <c r="Z7" s="8">
        <f t="shared" si="2"/>
        <v>7.0540000000000005E-2</v>
      </c>
    </row>
    <row r="8" spans="1:26" x14ac:dyDescent="0.35">
      <c r="A8" s="16" t="s">
        <v>86</v>
      </c>
      <c r="B8" s="17" t="s">
        <v>84</v>
      </c>
      <c r="C8" s="18">
        <v>3.1</v>
      </c>
      <c r="D8" s="18">
        <v>5000</v>
      </c>
      <c r="E8">
        <v>0.5</v>
      </c>
      <c r="F8" s="8">
        <f t="shared" si="0"/>
        <v>2500</v>
      </c>
      <c r="G8" s="8">
        <v>0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24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3.0000000000000001E-3</v>
      </c>
      <c r="O8" s="8">
        <f>Table10[[#This Row],[Yearly Energy Consumption in kWh]]*Table10[[#This Row],[CU/kWh]]</f>
        <v>722.7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24.4</v>
      </c>
      <c r="U8" s="8">
        <v>1</v>
      </c>
      <c r="V8" s="8">
        <v>5</v>
      </c>
      <c r="W8" s="8">
        <f>Table10[[#This Row],[Failures per year]]*Table10[[#This Row],[Total Time to Repair(h)]]*Table10[[#This Row],[No. Of technicians]]*Table10[[#This Row],[Cost per hour]]</f>
        <v>1367.9615999999999</v>
      </c>
      <c r="X8" s="8">
        <v>100</v>
      </c>
      <c r="Y8" s="8">
        <v>7.0000000000000007E-2</v>
      </c>
      <c r="Z8" s="8">
        <f t="shared" si="2"/>
        <v>7.0540000000000005E-2</v>
      </c>
    </row>
    <row r="9" spans="1:26" x14ac:dyDescent="0.35">
      <c r="A9" s="19" t="s">
        <v>86</v>
      </c>
      <c r="B9" s="20" t="s">
        <v>88</v>
      </c>
      <c r="C9" s="21">
        <v>8</v>
      </c>
      <c r="D9" s="21">
        <v>5000</v>
      </c>
      <c r="E9">
        <v>2</v>
      </c>
      <c r="F9" s="8">
        <f t="shared" si="0"/>
        <v>10000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512</v>
      </c>
      <c r="L9">
        <f>50*Table10[[#This Row],[Quantity]]</f>
        <v>250000</v>
      </c>
      <c r="M9" s="8">
        <f>Table10[[#This Row],[Energy consumption in W]]*24*365/1000</f>
        <v>2190000</v>
      </c>
      <c r="N9" s="8">
        <f t="shared" si="1"/>
        <v>3.0000000000000001E-3</v>
      </c>
      <c r="O9" s="8">
        <f>Table10[[#This Row],[Yearly Energy Consumption in kWh]]*Table10[[#This Row],[CU/kWh]]</f>
        <v>6570</v>
      </c>
      <c r="P9">
        <v>4</v>
      </c>
      <c r="Q9">
        <v>20</v>
      </c>
      <c r="R9" s="8">
        <f>Table10[[#This Row],[FIT]]*Table10[[#This Row],[Quantity]]*24*365/1000000000</f>
        <v>22.425599999999999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5</v>
      </c>
      <c r="W9" s="8">
        <f>Table10[[#This Row],[Failures per year]]*Table10[[#This Row],[Total Time to Repair(h)]]*Table10[[#This Row],[No. Of technicians]]*Table10[[#This Row],[Cost per hour]]</f>
        <v>2735.9231999999997</v>
      </c>
      <c r="X9" s="8">
        <v>100</v>
      </c>
      <c r="Y9" s="8">
        <v>7.0000000000000007E-2</v>
      </c>
      <c r="Z9" s="8">
        <f t="shared" si="2"/>
        <v>7.0540000000000005E-2</v>
      </c>
    </row>
    <row r="10" spans="1:26" x14ac:dyDescent="0.35">
      <c r="A10" s="36"/>
      <c r="B10" s="37"/>
      <c r="C10" s="38"/>
      <c r="D10" s="38"/>
      <c r="E10" s="22"/>
      <c r="F10" s="22"/>
      <c r="G10" s="22"/>
      <c r="H10" s="22">
        <f>SUM(Table10[Total Rent cost per year])</f>
        <v>4656.58</v>
      </c>
      <c r="I10" s="22"/>
      <c r="J10" s="22"/>
      <c r="K10" s="22"/>
      <c r="L10" s="22"/>
      <c r="M10" s="22"/>
      <c r="N10" s="22"/>
      <c r="O10" s="22">
        <f>SUBTOTAL(109,Table10[Energy Cost per year in CU])</f>
        <v>7392.5640000000003</v>
      </c>
      <c r="P10" s="22"/>
      <c r="Q10" s="22"/>
      <c r="R10" s="22"/>
      <c r="S10" s="22"/>
      <c r="T10" s="22"/>
      <c r="U10" s="22"/>
      <c r="V10" s="22"/>
      <c r="W10" s="22">
        <f>SUBTOTAL(109,Table10[FM Cost])</f>
        <v>4113.6202259999991</v>
      </c>
      <c r="X10" s="22" t="s">
        <v>131</v>
      </c>
      <c r="Y10" s="22" t="s">
        <v>132</v>
      </c>
      <c r="Z10" s="22">
        <f t="shared" si="2"/>
        <v>7.0540000000000005E-2</v>
      </c>
    </row>
    <row r="15" spans="1:26" x14ac:dyDescent="0.3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t="s">
        <v>69</v>
      </c>
    </row>
    <row r="16" spans="1:26" x14ac:dyDescent="0.3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2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10.369651054491815</v>
      </c>
      <c r="M16">
        <f>Table10[[#Totals],[Total Rent cost per year]]+Table10[[#Totals],[Energy Cost per year in CU]]+Table10[[#Totals],[FM Cost]]+J19</f>
        <v>16899.33499703302</v>
      </c>
    </row>
    <row r="17" spans="1:16" x14ac:dyDescent="0.35">
      <c r="A17" s="8" t="s">
        <v>42</v>
      </c>
      <c r="B17" s="8">
        <f>233483.637737831/1000</f>
        <v>233.483637737831</v>
      </c>
      <c r="C17" s="8">
        <f t="shared" ref="C17:C18" si="3">570*B17</f>
        <v>133085.67351056368</v>
      </c>
      <c r="D17" s="8">
        <v>24</v>
      </c>
      <c r="E17" s="8">
        <v>2</v>
      </c>
      <c r="F17" s="8">
        <v>5</v>
      </c>
      <c r="G17" s="8">
        <v>2</v>
      </c>
      <c r="H17" s="8">
        <f t="shared" ref="H17:H18" si="4">G17/20</f>
        <v>0.1</v>
      </c>
      <c r="I17" s="8">
        <f t="shared" ref="I17:I18" si="5">D17+H17</f>
        <v>24.1</v>
      </c>
      <c r="J17" s="8">
        <f t="shared" ref="J17:J18" si="6">C17*E17*F17*I17*24*365/1000000000</f>
        <v>280.96515048856156</v>
      </c>
    </row>
    <row r="18" spans="1:16" x14ac:dyDescent="0.35">
      <c r="A18" s="8" t="s">
        <v>62</v>
      </c>
      <c r="B18" s="8">
        <f>368464.723172249/1000</f>
        <v>368.46472317224897</v>
      </c>
      <c r="C18" s="8">
        <f t="shared" si="3"/>
        <v>210024.8922081819</v>
      </c>
      <c r="D18" s="8">
        <v>24</v>
      </c>
      <c r="E18" s="8">
        <v>2</v>
      </c>
      <c r="F18" s="8">
        <v>5</v>
      </c>
      <c r="G18" s="8">
        <v>4</v>
      </c>
      <c r="H18" s="8">
        <f t="shared" si="4"/>
        <v>0.2</v>
      </c>
      <c r="I18" s="8">
        <f t="shared" si="5"/>
        <v>24.2</v>
      </c>
      <c r="J18" s="8">
        <f t="shared" si="6"/>
        <v>445.23596948996891</v>
      </c>
      <c r="O18" s="8" t="s">
        <v>95</v>
      </c>
      <c r="P18" s="8" t="s">
        <v>66</v>
      </c>
    </row>
    <row r="19" spans="1:16" x14ac:dyDescent="0.35">
      <c r="J19">
        <f>SUM(J16:J18)</f>
        <v>736.57077103302231</v>
      </c>
      <c r="O19" s="8" t="s">
        <v>90</v>
      </c>
      <c r="P19" s="8">
        <f>P31/$M$31</f>
        <v>0.15913403048322056</v>
      </c>
    </row>
    <row r="20" spans="1:16" x14ac:dyDescent="0.35">
      <c r="O20" s="8" t="s">
        <v>91</v>
      </c>
      <c r="P20" s="8">
        <f t="shared" ref="P20:P23" si="7">P32/$M$31</f>
        <v>0.25263358622103754</v>
      </c>
    </row>
    <row r="21" spans="1:16" x14ac:dyDescent="0.35">
      <c r="O21" s="8" t="s">
        <v>92</v>
      </c>
      <c r="P21" s="8">
        <f t="shared" si="7"/>
        <v>0.14057891552183716</v>
      </c>
    </row>
    <row r="22" spans="1:16" x14ac:dyDescent="0.35">
      <c r="O22" s="8" t="s">
        <v>93</v>
      </c>
      <c r="P22" s="8">
        <f t="shared" si="7"/>
        <v>2.7617326611304761E-2</v>
      </c>
    </row>
    <row r="23" spans="1:16" x14ac:dyDescent="0.35">
      <c r="O23" s="8" t="s">
        <v>94</v>
      </c>
      <c r="P23" s="8">
        <f t="shared" si="7"/>
        <v>3.8664257255826666E-2</v>
      </c>
    </row>
    <row r="24" spans="1:16" x14ac:dyDescent="0.35">
      <c r="O24" s="8"/>
      <c r="P24" s="8">
        <f>SUM(Table1416171819[Cost])</f>
        <v>0.61862811609322665</v>
      </c>
    </row>
    <row r="30" spans="1:16" x14ac:dyDescent="0.35">
      <c r="M30" t="s">
        <v>137</v>
      </c>
      <c r="O30" s="40" t="s">
        <v>95</v>
      </c>
      <c r="P30" s="39" t="s">
        <v>66</v>
      </c>
    </row>
    <row r="31" spans="1:16" x14ac:dyDescent="0.35">
      <c r="M31" s="8">
        <v>29262</v>
      </c>
      <c r="O31" s="28" t="s">
        <v>90</v>
      </c>
      <c r="P31" s="12">
        <f>Table10[[#Totals],[Total Rent cost per year]]</f>
        <v>4656.58</v>
      </c>
    </row>
    <row r="32" spans="1:16" x14ac:dyDescent="0.35">
      <c r="O32" s="30" t="s">
        <v>91</v>
      </c>
      <c r="P32" s="13">
        <f>Table10[[#Totals],[Energy Cost per year in CU]]</f>
        <v>7392.5640000000003</v>
      </c>
    </row>
    <row r="33" spans="15:16" x14ac:dyDescent="0.35">
      <c r="O33" s="28" t="s">
        <v>92</v>
      </c>
      <c r="P33" s="12">
        <f>Table10[[#Totals],[FM Cost]]</f>
        <v>4113.6202259999991</v>
      </c>
    </row>
    <row r="34" spans="15:16" x14ac:dyDescent="0.35">
      <c r="O34" s="30" t="s">
        <v>93</v>
      </c>
      <c r="P34" s="13">
        <f>0.05*SUM(P31:P33)</f>
        <v>808.13821129999997</v>
      </c>
    </row>
    <row r="35" spans="15:16" x14ac:dyDescent="0.35">
      <c r="O35" s="28" t="s">
        <v>94</v>
      </c>
      <c r="P35" s="12">
        <f>0.07*SUM(P31:P33)</f>
        <v>1131.39349582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34"/>
  <sheetViews>
    <sheetView topLeftCell="J1" workbookViewId="0">
      <selection activeCell="M28" sqref="M28"/>
    </sheetView>
  </sheetViews>
  <sheetFormatPr defaultColWidth="8.81640625" defaultRowHeight="14.5" x14ac:dyDescent="0.35"/>
  <cols>
    <col min="1" max="1" width="22.1796875" style="8" customWidth="1"/>
    <col min="2" max="2" width="26.26953125" style="8" customWidth="1"/>
    <col min="3" max="3" width="20.1796875" style="8" customWidth="1"/>
    <col min="4" max="4" width="18.453125" style="8" customWidth="1"/>
    <col min="5" max="5" width="26" style="8" customWidth="1"/>
    <col min="6" max="6" width="20" style="8" customWidth="1"/>
    <col min="7" max="7" width="21.26953125" style="8" customWidth="1"/>
    <col min="8" max="8" width="22.7265625" style="8" customWidth="1"/>
    <col min="9" max="9" width="24" style="8" customWidth="1"/>
    <col min="10" max="10" width="15.26953125" style="8" customWidth="1"/>
    <col min="11" max="11" width="8.81640625" style="8"/>
    <col min="12" max="12" width="24.453125" style="8" customWidth="1"/>
    <col min="13" max="13" width="32.26953125" style="8" customWidth="1"/>
    <col min="14" max="14" width="10.1796875" style="8" customWidth="1"/>
    <col min="15" max="15" width="25" style="8" customWidth="1"/>
    <col min="16" max="16" width="23.7265625" style="8" customWidth="1"/>
    <col min="17" max="17" width="17.26953125" style="8" customWidth="1"/>
    <col min="18" max="18" width="16.54296875" style="8" customWidth="1"/>
    <col min="19" max="19" width="17.7265625" style="8" customWidth="1"/>
    <col min="20" max="20" width="22.1796875" style="8" customWidth="1"/>
    <col min="21" max="21" width="18.26953125" style="8" customWidth="1"/>
    <col min="22" max="22" width="14.26953125" style="8" customWidth="1"/>
    <col min="23" max="23" width="9.7265625" style="8" customWidth="1"/>
    <col min="24" max="16384" width="8.81640625" style="8"/>
  </cols>
  <sheetData>
    <row r="1" spans="1:26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</row>
    <row r="2" spans="1:26" x14ac:dyDescent="0.35">
      <c r="A2" s="16" t="s">
        <v>3</v>
      </c>
      <c r="B2" s="24" t="s">
        <v>58</v>
      </c>
      <c r="C2" s="18">
        <v>80</v>
      </c>
      <c r="D2" s="23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0.15/50</f>
        <v>3.0000000000000001E-3</v>
      </c>
      <c r="O2" s="8">
        <f>Table1012[[#This Row],[Yearly Energy Consumption in kWh]]*Table1012[[#This Row],[CU/kWh]]</f>
        <v>126.14400000000001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5</v>
      </c>
      <c r="W2" s="8">
        <f>Table1012[[#This Row],[Failures per year]]*Table1012[[#This Row],[Total Time to Repair(h)]]*Table1012[[#This Row],[No. Of technicians]]*Table1012[[#This Row],[Cost per hour]]</f>
        <v>10.764288000000001</v>
      </c>
      <c r="X2" s="8">
        <v>100</v>
      </c>
      <c r="Y2" s="8">
        <v>7.0000000000000007E-2</v>
      </c>
      <c r="Z2" s="8">
        <f>0.07+2*0.00027</f>
        <v>7.0540000000000005E-2</v>
      </c>
    </row>
    <row r="3" spans="1:26" x14ac:dyDescent="0.35">
      <c r="A3" s="19" t="s">
        <v>3</v>
      </c>
      <c r="B3" s="24" t="s">
        <v>83</v>
      </c>
      <c r="C3" s="21">
        <v>40</v>
      </c>
      <c r="D3" s="23">
        <v>16</v>
      </c>
      <c r="E3" s="8">
        <v>1</v>
      </c>
      <c r="F3" s="8">
        <f t="shared" ref="F3:F9" si="0">E3*D3</f>
        <v>16</v>
      </c>
      <c r="G3" s="8">
        <v>10.6</v>
      </c>
      <c r="H3" s="8">
        <f>Table1012[[#This Row],[Total Floor Space]]*Table1012[[#This Row],[Rent per sqm per year]]</f>
        <v>169.6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0.15/50</f>
        <v>3.0000000000000001E-3</v>
      </c>
      <c r="O3" s="8">
        <f>Table1012[[#This Row],[Yearly Energy Consumption in kWh]]*Table1012[[#This Row],[CU/kWh]]</f>
        <v>42.048000000000002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5</v>
      </c>
      <c r="W3" s="8">
        <f>Table1012[[#This Row],[Failures per year]]*Table1012[[#This Row],[Total Time to Repair(h)]]*Table1012[[#This Row],[No. Of technicians]]*Table1012[[#This Row],[Cost per hour]]</f>
        <v>0.21024000000000001</v>
      </c>
      <c r="X3" s="8">
        <v>100</v>
      </c>
      <c r="Y3" s="8">
        <v>7.0000000000000007E-2</v>
      </c>
      <c r="Z3" s="8">
        <f t="shared" ref="Z3:Z10" si="2">0.07+2*0.00027</f>
        <v>7.0540000000000005E-2</v>
      </c>
    </row>
    <row r="4" spans="1:26" x14ac:dyDescent="0.35">
      <c r="A4" s="16" t="s">
        <v>3</v>
      </c>
      <c r="B4" s="24" t="s">
        <v>6</v>
      </c>
      <c r="C4" s="18">
        <v>0.1</v>
      </c>
      <c r="D4" s="23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3.0000000000000001E-3</v>
      </c>
      <c r="O4" s="8">
        <f>Table1012[[#This Row],[Yearly Energy Consumption in kWh]]*Table1012[[#This Row],[CU/kWh]]</f>
        <v>15.768000000000001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5</v>
      </c>
      <c r="W4" s="8">
        <f>Table1012[[#This Row],[Failures per year]]*Table1012[[#This Row],[Total Time to Repair(h)]]*Table1012[[#This Row],[No. Of technicians]]*Table1012[[#This Row],[Cost per hour]]</f>
        <v>0</v>
      </c>
      <c r="X4" s="8">
        <v>100</v>
      </c>
      <c r="Y4" s="8">
        <v>7.0000000000000007E-2</v>
      </c>
      <c r="Z4" s="8">
        <f t="shared" si="2"/>
        <v>7.0540000000000005E-2</v>
      </c>
    </row>
    <row r="5" spans="1:26" x14ac:dyDescent="0.35">
      <c r="A5" s="19" t="s">
        <v>3</v>
      </c>
      <c r="B5" s="24" t="s">
        <v>75</v>
      </c>
      <c r="C5" s="21">
        <v>400</v>
      </c>
      <c r="D5" s="23">
        <v>1</v>
      </c>
      <c r="E5" s="8">
        <v>40</v>
      </c>
      <c r="F5" s="8">
        <f t="shared" si="0"/>
        <v>40</v>
      </c>
      <c r="G5" s="8">
        <v>10.6</v>
      </c>
      <c r="H5" s="8">
        <f>Table1012[[#This Row],[Total Floor Space]]*Table1012[[#This Row],[Rent per sqm per year]]</f>
        <v>424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3.0000000000000001E-3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5</v>
      </c>
      <c r="W5" s="8">
        <f>Table1012[[#This Row],[Failures per year]]*Table1012[[#This Row],[Total Time to Repair(h)]]*Table1012[[#This Row],[No. Of technicians]]*Table1012[[#This Row],[Cost per hour]]</f>
        <v>0</v>
      </c>
      <c r="X5" s="8">
        <v>100</v>
      </c>
      <c r="Y5" s="8">
        <v>7.0000000000000007E-2</v>
      </c>
      <c r="Z5" s="8">
        <f t="shared" si="2"/>
        <v>7.0540000000000005E-2</v>
      </c>
    </row>
    <row r="6" spans="1:26" x14ac:dyDescent="0.35">
      <c r="A6" s="16" t="s">
        <v>8</v>
      </c>
      <c r="B6" s="24" t="s">
        <v>76</v>
      </c>
      <c r="C6" s="18">
        <v>24</v>
      </c>
      <c r="D6" s="23">
        <v>8</v>
      </c>
      <c r="E6" s="8">
        <v>0.1</v>
      </c>
      <c r="F6" s="8">
        <f t="shared" si="0"/>
        <v>0.8</v>
      </c>
      <c r="G6" s="8">
        <v>10.6</v>
      </c>
      <c r="H6" s="8">
        <f>Table1012[[#This Row],[Total Floor Space]]*Table1012[[#This Row],[Rent per sqm per year]]</f>
        <v>8.48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3.0000000000000001E-3</v>
      </c>
      <c r="O6" s="8">
        <f>Table1012[[#This Row],[Yearly Energy Consumption in kWh]]*Table1012[[#This Row],[CU/kWh]]</f>
        <v>0</v>
      </c>
      <c r="P6" s="8">
        <v>2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0.2</v>
      </c>
      <c r="T6" s="8">
        <f>Table1012[[#This Row],[MTTR]]+Table1012[[#This Row],[Twice Travel Time]]</f>
        <v>6.2</v>
      </c>
      <c r="U6" s="8">
        <v>1</v>
      </c>
      <c r="V6" s="8">
        <v>5</v>
      </c>
      <c r="W6" s="8">
        <f>Table1012[[#This Row],[Failures per year]]*Table1012[[#This Row],[Total Time to Repair(h)]]*Table1012[[#This Row],[No. Of technicians]]*Table1012[[#This Row],[Cost per hour]]</f>
        <v>0.10862400000000001</v>
      </c>
      <c r="X6" s="8">
        <v>100</v>
      </c>
      <c r="Y6" s="8">
        <v>7.0000000000000007E-2</v>
      </c>
      <c r="Z6" s="8">
        <f t="shared" si="2"/>
        <v>7.0540000000000005E-2</v>
      </c>
    </row>
    <row r="7" spans="1:26" x14ac:dyDescent="0.35">
      <c r="A7" s="19" t="s">
        <v>10</v>
      </c>
      <c r="B7" s="24" t="s">
        <v>87</v>
      </c>
      <c r="C7" s="21">
        <v>0.9</v>
      </c>
      <c r="D7" s="23">
        <v>305</v>
      </c>
      <c r="E7" s="8">
        <v>0.1</v>
      </c>
      <c r="F7" s="8">
        <f t="shared" si="0"/>
        <v>30.5</v>
      </c>
      <c r="G7" s="8">
        <v>10.6</v>
      </c>
      <c r="H7" s="8">
        <f>Table1012[[#This Row],[Total Floor Space]]*Table1012[[#This Row],[Rent per sqm per year]]</f>
        <v>323.3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3.0000000000000001E-3</v>
      </c>
      <c r="O7" s="8">
        <f>Table1012[[#This Row],[Yearly Energy Consumption in kWh]]*Table1012[[#This Row],[CU/kWh]]</f>
        <v>0</v>
      </c>
      <c r="P7" s="8">
        <v>4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0.4</v>
      </c>
      <c r="T7" s="8">
        <f>Table1012[[#This Row],[MTTR]]+Table1012[[#This Row],[Twice Travel Time]]</f>
        <v>6.4</v>
      </c>
      <c r="U7" s="8">
        <v>1</v>
      </c>
      <c r="V7" s="8">
        <v>5</v>
      </c>
      <c r="W7" s="8">
        <f>Table1012[[#This Row],[Failures per year]]*Table1012[[#This Row],[Total Time to Repair(h)]]*Table1012[[#This Row],[No. Of technicians]]*Table1012[[#This Row],[Cost per hour]]</f>
        <v>4.2748799999999996</v>
      </c>
      <c r="X7" s="8">
        <v>100</v>
      </c>
      <c r="Y7" s="8">
        <v>7.0000000000000007E-2</v>
      </c>
      <c r="Z7" s="8">
        <f t="shared" si="2"/>
        <v>7.0540000000000005E-2</v>
      </c>
    </row>
    <row r="8" spans="1:26" x14ac:dyDescent="0.35">
      <c r="A8" s="16" t="s">
        <v>86</v>
      </c>
      <c r="B8" s="24" t="s">
        <v>84</v>
      </c>
      <c r="C8" s="18">
        <v>3.3</v>
      </c>
      <c r="D8" s="23">
        <v>30000</v>
      </c>
      <c r="E8" s="8">
        <v>0.5</v>
      </c>
      <c r="F8" s="8">
        <f t="shared" si="0"/>
        <v>15000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24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3.0000000000000001E-3</v>
      </c>
      <c r="O8" s="8">
        <f>Table1012[[#This Row],[Yearly Energy Consumption in kWh]]*Table1012[[#This Row],[CU/kWh]]</f>
        <v>0</v>
      </c>
      <c r="P8" s="8">
        <v>6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0.6</v>
      </c>
      <c r="T8" s="8">
        <f>Table1012[[#This Row],[MTTR]]+Table1012[[#This Row],[Twice Travel Time]]</f>
        <v>24.6</v>
      </c>
      <c r="U8" s="8">
        <v>1</v>
      </c>
      <c r="V8" s="8">
        <v>5</v>
      </c>
      <c r="W8" s="8">
        <f>Table1012[[#This Row],[Failures per year]]*Table1012[[#This Row],[Total Time to Repair(h)]]*Table1012[[#This Row],[No. Of technicians]]*Table1012[[#This Row],[Cost per hour]]</f>
        <v>8275.0463999999993</v>
      </c>
      <c r="X8" s="8">
        <v>100</v>
      </c>
      <c r="Y8" s="8">
        <v>7.0000000000000007E-2</v>
      </c>
      <c r="Z8" s="8">
        <f t="shared" si="2"/>
        <v>7.0540000000000005E-2</v>
      </c>
    </row>
    <row r="9" spans="1:26" x14ac:dyDescent="0.35">
      <c r="A9" s="19" t="s">
        <v>86</v>
      </c>
      <c r="B9" s="24" t="s">
        <v>78</v>
      </c>
      <c r="C9" s="21">
        <v>1.8</v>
      </c>
      <c r="D9" s="23">
        <v>5000</v>
      </c>
      <c r="E9" s="8">
        <v>0.1</v>
      </c>
      <c r="F9" s="8">
        <f t="shared" si="0"/>
        <v>500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25000</v>
      </c>
      <c r="M9" s="8">
        <f>Table1012[[#This Row],[Energy consumption in W]]*24*365/1000</f>
        <v>219000</v>
      </c>
      <c r="N9" s="8">
        <f t="shared" si="1"/>
        <v>3.0000000000000001E-3</v>
      </c>
      <c r="O9" s="8">
        <f>Table1012[[#This Row],[Yearly Energy Consumption in kWh]]*Table1012[[#This Row],[CU/kWh]]</f>
        <v>657</v>
      </c>
      <c r="P9" s="8">
        <v>6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0.6</v>
      </c>
      <c r="T9" s="8">
        <f>Table1012[[#This Row],[MTTR]]+Table1012[[#This Row],[Twice Travel Time]]</f>
        <v>6.6</v>
      </c>
      <c r="U9" s="8">
        <v>1</v>
      </c>
      <c r="V9" s="8">
        <v>5</v>
      </c>
      <c r="W9" s="8">
        <f>Table1012[[#This Row],[Failures per year]]*Table1012[[#This Row],[Total Time to Repair(h)]]*Table1012[[#This Row],[No. Of technicians]]*Table1012[[#This Row],[Cost per hour]]</f>
        <v>72.27</v>
      </c>
      <c r="X9" s="8">
        <v>100</v>
      </c>
      <c r="Y9" s="8">
        <v>7.0000000000000007E-2</v>
      </c>
      <c r="Z9" s="8">
        <f t="shared" si="2"/>
        <v>7.0540000000000005E-2</v>
      </c>
    </row>
    <row r="10" spans="1:26" x14ac:dyDescent="0.35">
      <c r="A10" s="36"/>
      <c r="B10" s="37"/>
      <c r="C10" s="38"/>
      <c r="D10" s="38"/>
      <c r="E10" s="22"/>
      <c r="F10" s="22"/>
      <c r="G10" s="22"/>
      <c r="H10" s="22">
        <f>SUM(Table1012[Total Rent cost per year])</f>
        <v>9405.3799999999992</v>
      </c>
      <c r="I10" s="22"/>
      <c r="J10" s="22"/>
      <c r="K10" s="22"/>
      <c r="L10" s="22"/>
      <c r="M10" s="22"/>
      <c r="N10" s="22"/>
      <c r="O10" s="22">
        <f>SUBTOTAL(109,Table1012[Energy Cost per year in CU])</f>
        <v>840.96</v>
      </c>
      <c r="P10" s="22"/>
      <c r="Q10" s="22"/>
      <c r="R10" s="22"/>
      <c r="S10" s="22"/>
      <c r="T10" s="22"/>
      <c r="U10" s="22"/>
      <c r="V10" s="22"/>
      <c r="W10" s="22">
        <f>SUBTOTAL(109,Table1012[FM Cost])</f>
        <v>8362.6744319999998</v>
      </c>
      <c r="X10" s="22" t="s">
        <v>131</v>
      </c>
      <c r="Y10" s="22" t="s">
        <v>132</v>
      </c>
      <c r="Z10" s="22">
        <f t="shared" si="2"/>
        <v>7.0540000000000005E-2</v>
      </c>
    </row>
    <row r="15" spans="1:26" x14ac:dyDescent="0.3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6" x14ac:dyDescent="0.3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2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10.369651054491815</v>
      </c>
      <c r="M16" s="8">
        <f>Table1012[[#Totals],[Total Rent cost per year]]+Table1012[[#Totals],[Energy Cost per year in CU]]+Table1012[[#Totals],[FM Cost]]+J19</f>
        <v>19345.585203033021</v>
      </c>
    </row>
    <row r="17" spans="1:16" x14ac:dyDescent="0.35">
      <c r="A17" s="8" t="s">
        <v>42</v>
      </c>
      <c r="B17" s="8">
        <f>233483.637737831/1000</f>
        <v>233.483637737831</v>
      </c>
      <c r="C17" s="8">
        <f t="shared" ref="C17:C18" si="3">570*B17</f>
        <v>133085.67351056368</v>
      </c>
      <c r="D17" s="8">
        <v>24</v>
      </c>
      <c r="E17" s="8">
        <v>2</v>
      </c>
      <c r="F17" s="8">
        <v>5</v>
      </c>
      <c r="G17" s="8">
        <v>2</v>
      </c>
      <c r="H17" s="8">
        <f t="shared" ref="H17:H18" si="4">G17/20</f>
        <v>0.1</v>
      </c>
      <c r="I17" s="8">
        <f t="shared" ref="I17:I18" si="5">D17+H17</f>
        <v>24.1</v>
      </c>
      <c r="J17" s="8">
        <f t="shared" ref="J17:J18" si="6">C17*E17*F17*I17*24*365/1000000000</f>
        <v>280.96515048856156</v>
      </c>
    </row>
    <row r="18" spans="1:16" x14ac:dyDescent="0.35">
      <c r="A18" s="8" t="s">
        <v>62</v>
      </c>
      <c r="B18" s="8">
        <f>368464.723172249/1000</f>
        <v>368.46472317224897</v>
      </c>
      <c r="C18" s="8">
        <f t="shared" si="3"/>
        <v>210024.8922081819</v>
      </c>
      <c r="D18" s="8">
        <v>24</v>
      </c>
      <c r="E18" s="8">
        <v>2</v>
      </c>
      <c r="F18" s="8">
        <v>5</v>
      </c>
      <c r="G18" s="8">
        <v>4</v>
      </c>
      <c r="H18" s="8">
        <f t="shared" si="4"/>
        <v>0.2</v>
      </c>
      <c r="I18" s="8">
        <f t="shared" si="5"/>
        <v>24.2</v>
      </c>
      <c r="J18" s="8">
        <f t="shared" si="6"/>
        <v>445.23596948996891</v>
      </c>
      <c r="O18" s="8" t="s">
        <v>95</v>
      </c>
      <c r="P18" s="8" t="s">
        <v>66</v>
      </c>
    </row>
    <row r="19" spans="1:16" x14ac:dyDescent="0.35">
      <c r="J19" s="8">
        <f>SUM(J16:J18)</f>
        <v>736.57077103302231</v>
      </c>
      <c r="O19" s="8" t="s">
        <v>90</v>
      </c>
      <c r="P19" s="8">
        <f>P30/$M$28</f>
        <v>0.32141958854487046</v>
      </c>
    </row>
    <row r="20" spans="1:16" x14ac:dyDescent="0.35">
      <c r="O20" s="8" t="s">
        <v>91</v>
      </c>
      <c r="P20" s="8">
        <f t="shared" ref="P20:P23" si="7">P31/$M$28</f>
        <v>2.8738978880459301E-2</v>
      </c>
    </row>
    <row r="21" spans="1:16" x14ac:dyDescent="0.35">
      <c r="O21" s="8" t="s">
        <v>92</v>
      </c>
      <c r="P21" s="8">
        <f t="shared" si="7"/>
        <v>0.28578615378306338</v>
      </c>
    </row>
    <row r="22" spans="1:16" x14ac:dyDescent="0.35">
      <c r="O22" s="8" t="s">
        <v>93</v>
      </c>
      <c r="P22" s="8">
        <f t="shared" si="7"/>
        <v>3.1797236060419662E-2</v>
      </c>
    </row>
    <row r="23" spans="1:16" x14ac:dyDescent="0.35">
      <c r="O23" s="8" t="s">
        <v>94</v>
      </c>
      <c r="P23" s="8">
        <f t="shared" si="7"/>
        <v>4.4516130484587524E-2</v>
      </c>
    </row>
    <row r="24" spans="1:16" x14ac:dyDescent="0.35">
      <c r="P24" s="8">
        <f>SUM(Table141617181920[Cost])</f>
        <v>0.71225808775340016</v>
      </c>
    </row>
    <row r="27" spans="1:16" x14ac:dyDescent="0.35">
      <c r="M27" s="8" t="s">
        <v>137</v>
      </c>
    </row>
    <row r="28" spans="1:16" x14ac:dyDescent="0.35">
      <c r="M28" s="8">
        <v>29262</v>
      </c>
    </row>
    <row r="29" spans="1:16" x14ac:dyDescent="0.35">
      <c r="O29" s="40" t="s">
        <v>95</v>
      </c>
      <c r="P29" s="39" t="s">
        <v>66</v>
      </c>
    </row>
    <row r="30" spans="1:16" x14ac:dyDescent="0.35">
      <c r="O30" s="28" t="s">
        <v>90</v>
      </c>
      <c r="P30" s="12">
        <f>Table1012[[#Totals],[Total Rent cost per year]]</f>
        <v>9405.3799999999992</v>
      </c>
    </row>
    <row r="31" spans="1:16" x14ac:dyDescent="0.35">
      <c r="O31" s="30" t="s">
        <v>91</v>
      </c>
      <c r="P31" s="13">
        <f>Table1012[[#Totals],[Energy Cost per year in CU]]</f>
        <v>840.96</v>
      </c>
    </row>
    <row r="32" spans="1:16" x14ac:dyDescent="0.35">
      <c r="O32" s="28" t="s">
        <v>92</v>
      </c>
      <c r="P32" s="12">
        <f>Table1012[[#Totals],[FM Cost]]+J30</f>
        <v>8362.6744319999998</v>
      </c>
    </row>
    <row r="33" spans="15:16" x14ac:dyDescent="0.35">
      <c r="O33" s="30" t="s">
        <v>93</v>
      </c>
      <c r="P33" s="13">
        <f>0.05*SUM(P30:P32)</f>
        <v>930.45072160000007</v>
      </c>
    </row>
    <row r="34" spans="15:16" x14ac:dyDescent="0.35">
      <c r="O34" s="28" t="s">
        <v>94</v>
      </c>
      <c r="P34" s="12">
        <f>0.07*SUM(P30:P32)</f>
        <v>1302.63101024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3"/>
  <sheetViews>
    <sheetView topLeftCell="J1" workbookViewId="0">
      <selection activeCell="K28" sqref="K28"/>
    </sheetView>
  </sheetViews>
  <sheetFormatPr defaultColWidth="8.81640625" defaultRowHeight="14.5" x14ac:dyDescent="0.35"/>
  <cols>
    <col min="1" max="1" width="22.1796875" style="8" customWidth="1"/>
    <col min="2" max="2" width="22.7265625" style="8" customWidth="1"/>
    <col min="3" max="3" width="20.1796875" style="8" customWidth="1"/>
    <col min="4" max="4" width="13.54296875" style="8" customWidth="1"/>
    <col min="5" max="5" width="26" style="8" customWidth="1"/>
    <col min="6" max="6" width="17.26953125" style="8" customWidth="1"/>
    <col min="7" max="7" width="21.26953125" style="8" customWidth="1"/>
    <col min="8" max="8" width="22.7265625" style="8" customWidth="1"/>
    <col min="9" max="9" width="24" style="8" customWidth="1"/>
    <col min="10" max="11" width="8.81640625" style="8"/>
    <col min="12" max="12" width="24.453125" style="8" customWidth="1"/>
    <col min="13" max="13" width="32.26953125" style="8" customWidth="1"/>
    <col min="14" max="14" width="10.1796875" style="8" customWidth="1"/>
    <col min="15" max="15" width="25" style="8" customWidth="1"/>
    <col min="16" max="16" width="23.7265625" style="8" customWidth="1"/>
    <col min="17" max="17" width="17.26953125" style="8" customWidth="1"/>
    <col min="18" max="18" width="16.54296875" style="8" customWidth="1"/>
    <col min="19" max="19" width="17.7265625" style="8" customWidth="1"/>
    <col min="20" max="20" width="22.1796875" style="8" customWidth="1"/>
    <col min="21" max="21" width="24" style="8" customWidth="1"/>
    <col min="22" max="22" width="14.26953125" style="8" customWidth="1"/>
    <col min="23" max="23" width="9.7265625" style="8" customWidth="1"/>
    <col min="24" max="16384" width="8.81640625" style="8"/>
  </cols>
  <sheetData>
    <row r="1" spans="1:26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</row>
    <row r="2" spans="1:26" x14ac:dyDescent="0.35">
      <c r="A2" s="8" t="s">
        <v>3</v>
      </c>
      <c r="B2" s="8" t="s">
        <v>4</v>
      </c>
      <c r="C2" s="8">
        <v>80</v>
      </c>
      <c r="D2" s="23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0.15/50</f>
        <v>3.0000000000000001E-3</v>
      </c>
      <c r="O2" s="8">
        <f>Table913[[#This Row],[Yearly Energy Consumption in kWh]]*Table913[[#This Row],[CU/kWh]]</f>
        <v>42.048000000000002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5</v>
      </c>
      <c r="W2" s="8">
        <f>Table913[[#This Row],[Failures per year]]*Table913[[#This Row],[Total Time to Repair(h)]]*Table913[[#This Row],[No. Of technicians]]*Table913[[#This Row],[Cost per hour]]</f>
        <v>10.764288000000001</v>
      </c>
      <c r="X2" s="8">
        <v>100</v>
      </c>
      <c r="Y2" s="8">
        <v>7.0000000000000007E-2</v>
      </c>
      <c r="Z2" s="8">
        <f>0.07+2*0.00027</f>
        <v>7.0540000000000005E-2</v>
      </c>
    </row>
    <row r="3" spans="1:26" x14ac:dyDescent="0.35">
      <c r="A3" s="8" t="s">
        <v>3</v>
      </c>
      <c r="B3" s="8" t="s">
        <v>83</v>
      </c>
      <c r="C3" s="8">
        <v>40</v>
      </c>
      <c r="D3" s="23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0.15/50</f>
        <v>3.0000000000000001E-3</v>
      </c>
      <c r="O3" s="8">
        <f>Table913[[#This Row],[Yearly Energy Consumption in kWh]]*Table913[[#This Row],[CU/kWh]]</f>
        <v>84.096000000000004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5</v>
      </c>
      <c r="W3" s="8">
        <f>Table913[[#This Row],[Failures per year]]*Table913[[#This Row],[Total Time to Repair(h)]]*Table913[[#This Row],[No. Of technicians]]*Table913[[#This Row],[Cost per hour]]</f>
        <v>0.42048000000000002</v>
      </c>
      <c r="X3" s="8">
        <v>100</v>
      </c>
      <c r="Y3" s="8">
        <v>7.0000000000000007E-2</v>
      </c>
      <c r="Z3" s="8">
        <f t="shared" ref="Z3:Z10" si="1">0.07+2*0.00027</f>
        <v>7.0540000000000005E-2</v>
      </c>
    </row>
    <row r="4" spans="1:26" x14ac:dyDescent="0.35">
      <c r="A4" s="8" t="s">
        <v>3</v>
      </c>
      <c r="B4" s="8" t="s">
        <v>6</v>
      </c>
      <c r="C4" s="8">
        <v>0.1</v>
      </c>
      <c r="D4" s="23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3.0000000000000001E-3</v>
      </c>
      <c r="O4" s="8">
        <f>Table913[[#This Row],[Yearly Energy Consumption in kWh]]*Table913[[#This Row],[CU/kWh]]</f>
        <v>15.768000000000001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5</v>
      </c>
      <c r="W4" s="8">
        <f>Table913[[#This Row],[Failures per year]]*Table913[[#This Row],[Total Time to Repair(h)]]*Table913[[#This Row],[No. Of technicians]]*Table913[[#This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</row>
    <row r="5" spans="1:26" x14ac:dyDescent="0.35">
      <c r="A5" s="8" t="s">
        <v>3</v>
      </c>
      <c r="B5" s="8" t="s">
        <v>75</v>
      </c>
      <c r="C5" s="8">
        <v>400</v>
      </c>
      <c r="D5" s="23">
        <v>1</v>
      </c>
      <c r="E5" s="8">
        <v>40</v>
      </c>
      <c r="F5" s="8">
        <f>Table913[[#This Row],[Floor Space per component]]*Table913[[#This Row],[Quantity]]</f>
        <v>40</v>
      </c>
      <c r="G5" s="8">
        <v>10.6</v>
      </c>
      <c r="H5" s="8">
        <f>Table913[[#This Row],[Total Floor Space]]*Table913[[#This Row],[Rent per sqm per year]]</f>
        <v>424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3.0000000000000001E-3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5</v>
      </c>
      <c r="W5" s="8">
        <f>Table913[[#This Row],[Failures per year]]*Table913[[#This Row],[Total Time to Repair(h)]]*Table913[[#This Row],[No. Of technicians]]*Table913[[#This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</row>
    <row r="6" spans="1:26" x14ac:dyDescent="0.35">
      <c r="A6" s="8" t="s">
        <v>8</v>
      </c>
      <c r="B6" s="8" t="s">
        <v>76</v>
      </c>
      <c r="C6" s="8">
        <v>24</v>
      </c>
      <c r="D6" s="23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3.0000000000000001E-3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5</v>
      </c>
      <c r="W6" s="8">
        <f>Table913[[#This Row],[Failures per year]]*Table913[[#This Row],[Total Time to Repair(h)]]*Table913[[#This Row],[No. Of technicians]]*Table913[[#This Row],[Cost per hour]]</f>
        <v>0.10687199999999999</v>
      </c>
      <c r="X6" s="8">
        <v>100</v>
      </c>
      <c r="Y6" s="8">
        <v>7.0000000000000007E-2</v>
      </c>
      <c r="Z6" s="8">
        <f t="shared" si="1"/>
        <v>7.0540000000000005E-2</v>
      </c>
    </row>
    <row r="7" spans="1:26" x14ac:dyDescent="0.35">
      <c r="A7" s="8" t="s">
        <v>10</v>
      </c>
      <c r="B7" s="8" t="s">
        <v>126</v>
      </c>
      <c r="C7" s="8">
        <v>112</v>
      </c>
      <c r="D7" s="23">
        <v>610</v>
      </c>
      <c r="E7" s="8">
        <v>0.1</v>
      </c>
      <c r="F7" s="8">
        <f>Table913[[#This Row],[Floor Space per component]]*Table913[[#This Row],[Quantity]]</f>
        <v>61</v>
      </c>
      <c r="G7" s="8">
        <v>4</v>
      </c>
      <c r="H7" s="8">
        <f>Table913[[#This Row],[Total Floor Space]]*Table913[[#This Row],[Rent per sqm per year]]</f>
        <v>244</v>
      </c>
      <c r="I7" s="8">
        <f>(0.5+1/6*4)*Table913[[#This Row],[Quantity]]</f>
        <v>711.66666666666663</v>
      </c>
      <c r="J7" s="8">
        <v>24</v>
      </c>
      <c r="K7" s="8">
        <v>512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3.0000000000000001E-3</v>
      </c>
      <c r="O7" s="8">
        <f>Table913[[#This Row],[Yearly Energy Consumption in kWh]]*Table913[[#This Row],[CU/kWh]]</f>
        <v>801.54</v>
      </c>
      <c r="P7" s="8">
        <v>1.5</v>
      </c>
      <c r="Q7" s="8">
        <v>20</v>
      </c>
      <c r="R7" s="8">
        <f>Table913[[#This Row],[FIT]]*Table913[[#This Row],[Quantity]]*24*365/1000000000</f>
        <v>2.7359232000000002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5</v>
      </c>
      <c r="W7" s="8">
        <f>Table913[[#This Row],[Failures per year]]*Table913[[#This Row],[Total Time to Repair(h)]]*Table913[[#This Row],[No. Of technicians]]*Table913[[#This Row],[Cost per hour]]</f>
        <v>330.36272639999999</v>
      </c>
      <c r="X7" s="8">
        <v>100</v>
      </c>
      <c r="Y7" s="8">
        <v>7.0000000000000007E-2</v>
      </c>
      <c r="Z7" s="8">
        <f t="shared" si="1"/>
        <v>7.0540000000000005E-2</v>
      </c>
    </row>
    <row r="8" spans="1:26" x14ac:dyDescent="0.35">
      <c r="A8" s="8" t="s">
        <v>10</v>
      </c>
      <c r="B8" s="8" t="s">
        <v>84</v>
      </c>
      <c r="C8" s="8">
        <v>3.1</v>
      </c>
      <c r="D8" s="23">
        <f>610*4</f>
        <v>2440</v>
      </c>
      <c r="E8" s="8">
        <v>0.5</v>
      </c>
      <c r="F8" s="8">
        <f>Table913[[#This Row],[Floor Space per component]]*Table913[[#This Row],[Quantity]]</f>
        <v>1220</v>
      </c>
      <c r="G8" s="8">
        <v>4</v>
      </c>
      <c r="H8" s="8">
        <f>Table913[[#This Row],[Total Floor Space]]*Table913[[#This Row],[Rent per sqm per year]]</f>
        <v>4880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3.0000000000000001E-3</v>
      </c>
      <c r="O8" s="8">
        <f>Table913[[#This Row],[Yearly Energy Consumption in kWh]]*Table913[[#This Row],[CU/kWh]]</f>
        <v>352.67759999999998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5</v>
      </c>
      <c r="W8" s="8">
        <f>Table913[[#This Row],[Failures per year]]*Table913[[#This Row],[Total Time to Repair(h)]]*Table913[[#This Row],[No. Of technicians]]*Table913[[#This Row],[Cost per hour]]</f>
        <v>168.25927680000004</v>
      </c>
      <c r="X8" s="8">
        <v>100</v>
      </c>
      <c r="Y8" s="8">
        <v>7.0000000000000007E-2</v>
      </c>
      <c r="Z8" s="8">
        <f t="shared" si="1"/>
        <v>7.0540000000000005E-2</v>
      </c>
    </row>
    <row r="9" spans="1:26" x14ac:dyDescent="0.35">
      <c r="A9" s="8" t="s">
        <v>10</v>
      </c>
      <c r="B9" s="8" t="s">
        <v>85</v>
      </c>
      <c r="C9" s="8">
        <v>12</v>
      </c>
      <c r="D9" s="23">
        <f>610*4</f>
        <v>2440</v>
      </c>
      <c r="E9" s="8">
        <v>0.5</v>
      </c>
      <c r="F9" s="8">
        <f>Table913[[#This Row],[Floor Space per component]]*Table913[[#This Row],[Quantity]]</f>
        <v>1220</v>
      </c>
      <c r="G9" s="8">
        <v>4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512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3.0000000000000001E-3</v>
      </c>
      <c r="O9" s="8">
        <f>Table913[[#This Row],[Yearly Energy Consumption in kWh]]*Table913[[#This Row],[CU/kWh]]</f>
        <v>3206.16</v>
      </c>
      <c r="P9" s="8">
        <v>2</v>
      </c>
      <c r="Q9" s="8">
        <v>20</v>
      </c>
      <c r="R9" s="8">
        <f>Table913[[#This Row],[FIT]]*Table913[[#This Row],[Quantity]]*24*365/1000000000</f>
        <v>10.943692800000001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5</v>
      </c>
      <c r="W9" s="8">
        <f>Table913[[#This Row],[Failures per year]]*Table913[[#This Row],[Total Time to Repair(h)]]*Table913[[#This Row],[No. Of technicians]]*Table913[[#This Row],[Cost per hour]]</f>
        <v>1324.1868288000001</v>
      </c>
      <c r="X9" s="8">
        <v>100</v>
      </c>
      <c r="Y9" s="8">
        <v>7.0000000000000007E-2</v>
      </c>
      <c r="Z9" s="8">
        <f t="shared" si="1"/>
        <v>7.0540000000000005E-2</v>
      </c>
    </row>
    <row r="10" spans="1:26" x14ac:dyDescent="0.35">
      <c r="A10" s="8" t="s">
        <v>86</v>
      </c>
      <c r="B10" s="8" t="s">
        <v>82</v>
      </c>
      <c r="C10" s="8">
        <v>0</v>
      </c>
      <c r="D10" s="23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3.0000000000000001E-3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5</v>
      </c>
      <c r="W10" s="8">
        <f>Table913[[#This Row],[Failures per year]]*Table913[[#This Row],[Total Time to Repair(h)]]*Table913[[#This Row],[No. Of technicians]]*Table913[[#This Row],[Cost per hour]]</f>
        <v>0</v>
      </c>
      <c r="X10" s="8">
        <v>100</v>
      </c>
      <c r="Y10" s="8">
        <v>7.0000000000000007E-2</v>
      </c>
      <c r="Z10" s="8">
        <f t="shared" si="1"/>
        <v>7.0540000000000005E-2</v>
      </c>
    </row>
    <row r="11" spans="1:26" x14ac:dyDescent="0.35">
      <c r="H11" s="8">
        <f>SUM(Table913[Total Rent cost per year])</f>
        <v>19247.2</v>
      </c>
      <c r="O11" s="8">
        <f>SUBTOTAL(109,Table913[Energy Cost per year in CU])</f>
        <v>4502.2896000000001</v>
      </c>
      <c r="W11" s="8">
        <f>SUBTOTAL(109,Table913[FM Cost])</f>
        <v>1834.1004720000001</v>
      </c>
    </row>
    <row r="15" spans="1:26" x14ac:dyDescent="0.35">
      <c r="P15" s="8" t="s">
        <v>69</v>
      </c>
    </row>
    <row r="16" spans="1:26" x14ac:dyDescent="0.3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 s="8">
        <f>Table913[[#Totals],[Total Rent cost per year]]+Table913[[#Totals],[Energy Cost per year in CU]]+Table913[[#Totals],[FM Cost]]+J20</f>
        <v>25872.270013741181</v>
      </c>
    </row>
    <row r="17" spans="1:14" x14ac:dyDescent="0.35">
      <c r="A17" s="8" t="s">
        <v>41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95</v>
      </c>
      <c r="N17" s="8" t="s">
        <v>66</v>
      </c>
    </row>
    <row r="18" spans="1:14" x14ac:dyDescent="0.35">
      <c r="A18" s="8" t="s">
        <v>42</v>
      </c>
      <c r="B18" s="8">
        <f>233483.637737831/1000</f>
        <v>233.483637737831</v>
      </c>
      <c r="C18" s="8">
        <f t="shared" ref="C18:C19" si="2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106.76675718565343</v>
      </c>
      <c r="M18" s="8" t="s">
        <v>90</v>
      </c>
      <c r="N18" s="8">
        <f>N29/$K$28</f>
        <v>0.65775408379468259</v>
      </c>
    </row>
    <row r="19" spans="1:14" x14ac:dyDescent="0.35">
      <c r="A19" s="8" t="s">
        <v>62</v>
      </c>
      <c r="B19" s="8">
        <f>387592.626526276/1000</f>
        <v>387.59262652627598</v>
      </c>
      <c r="C19" s="8">
        <f t="shared" si="2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3"/>
        <v>0.2</v>
      </c>
      <c r="I19" s="8">
        <f t="shared" si="4"/>
        <v>24.2</v>
      </c>
      <c r="J19" s="8">
        <f t="shared" si="5"/>
        <v>177.97271715482123</v>
      </c>
      <c r="M19" s="8" t="s">
        <v>91</v>
      </c>
      <c r="N19" s="8">
        <f t="shared" ref="N19:N22" si="6">N30/$K$28</f>
        <v>0.15386130818125898</v>
      </c>
    </row>
    <row r="20" spans="1:14" x14ac:dyDescent="0.35">
      <c r="J20" s="8">
        <f>SUM(J17:J19)</f>
        <v>288.67994174118155</v>
      </c>
      <c r="M20" s="8" t="s">
        <v>92</v>
      </c>
      <c r="N20" s="8">
        <f t="shared" si="6"/>
        <v>6.2678575353701055E-2</v>
      </c>
    </row>
    <row r="21" spans="1:14" x14ac:dyDescent="0.35">
      <c r="M21" s="8" t="s">
        <v>93</v>
      </c>
      <c r="N21" s="8">
        <f t="shared" si="6"/>
        <v>4.3714698366482133E-2</v>
      </c>
    </row>
    <row r="22" spans="1:14" x14ac:dyDescent="0.35">
      <c r="M22" s="8" t="s">
        <v>94</v>
      </c>
      <c r="N22" s="8">
        <f t="shared" si="6"/>
        <v>6.1200577713074987E-2</v>
      </c>
    </row>
    <row r="23" spans="1:14" x14ac:dyDescent="0.35">
      <c r="N23" s="8">
        <f>SUM(Table14161718192021[Cost])</f>
        <v>0.97920924340919968</v>
      </c>
    </row>
    <row r="27" spans="1:14" x14ac:dyDescent="0.35">
      <c r="K27" s="8" t="s">
        <v>137</v>
      </c>
    </row>
    <row r="28" spans="1:14" x14ac:dyDescent="0.35">
      <c r="K28" s="8">
        <v>29262</v>
      </c>
      <c r="M28" s="40" t="s">
        <v>95</v>
      </c>
      <c r="N28" s="39" t="s">
        <v>66</v>
      </c>
    </row>
    <row r="29" spans="1:14" x14ac:dyDescent="0.35">
      <c r="B29" s="9"/>
      <c r="C29" s="9"/>
      <c r="D29" s="9"/>
      <c r="M29" s="28" t="s">
        <v>90</v>
      </c>
      <c r="N29" s="12">
        <f>Table913[[#Totals],[Total Rent cost per year]]</f>
        <v>19247.2</v>
      </c>
    </row>
    <row r="30" spans="1:14" x14ac:dyDescent="0.35">
      <c r="M30" s="30" t="s">
        <v>91</v>
      </c>
      <c r="N30" s="13">
        <f>Table913[[#Totals],[Energy Cost per year in CU]]</f>
        <v>4502.2896000000001</v>
      </c>
    </row>
    <row r="31" spans="1:14" x14ac:dyDescent="0.35">
      <c r="M31" s="28" t="s">
        <v>92</v>
      </c>
      <c r="N31" s="12">
        <f>Table913[[#Totals],[FM Cost]]+J31</f>
        <v>1834.1004720000001</v>
      </c>
    </row>
    <row r="32" spans="1:14" x14ac:dyDescent="0.35">
      <c r="M32" s="30" t="s">
        <v>93</v>
      </c>
      <c r="N32" s="13">
        <f>0.05*SUM(N29:N31)</f>
        <v>1279.1795036000001</v>
      </c>
    </row>
    <row r="33" spans="13:14" x14ac:dyDescent="0.35">
      <c r="M33" s="28" t="s">
        <v>94</v>
      </c>
      <c r="N33" s="12">
        <f>0.07*SUM(N29:N31)</f>
        <v>1790.8513050400002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5"/>
  <sheetViews>
    <sheetView topLeftCell="D1" workbookViewId="0">
      <selection activeCell="H24" sqref="H24"/>
    </sheetView>
  </sheetViews>
  <sheetFormatPr defaultColWidth="8.81640625" defaultRowHeight="14.5" x14ac:dyDescent="0.35"/>
  <cols>
    <col min="1" max="1" width="22.1796875" style="8" customWidth="1"/>
    <col min="2" max="2" width="26.26953125" style="8" customWidth="1"/>
    <col min="3" max="3" width="20.1796875" style="8" customWidth="1"/>
    <col min="4" max="4" width="18.453125" style="8" customWidth="1"/>
    <col min="5" max="5" width="26" style="8" customWidth="1"/>
    <col min="6" max="6" width="20" style="8" customWidth="1"/>
    <col min="7" max="7" width="21.26953125" style="8" customWidth="1"/>
    <col min="8" max="8" width="22.7265625" style="8" customWidth="1"/>
    <col min="9" max="9" width="24" style="8" customWidth="1"/>
    <col min="10" max="10" width="15.26953125" style="8" customWidth="1"/>
    <col min="11" max="11" width="8.81640625" style="8"/>
    <col min="12" max="12" width="24.453125" style="8" customWidth="1"/>
    <col min="13" max="13" width="32.26953125" style="8" customWidth="1"/>
    <col min="14" max="14" width="10.1796875" style="8" customWidth="1"/>
    <col min="15" max="15" width="25" style="8" customWidth="1"/>
    <col min="16" max="16" width="23.7265625" style="8" customWidth="1"/>
    <col min="17" max="17" width="17.26953125" style="8" customWidth="1"/>
    <col min="18" max="18" width="16.54296875" style="8" customWidth="1"/>
    <col min="19" max="19" width="17.7265625" style="8" customWidth="1"/>
    <col min="20" max="20" width="22.1796875" style="8" customWidth="1"/>
    <col min="21" max="21" width="18.26953125" style="8" customWidth="1"/>
    <col min="22" max="22" width="14.26953125" style="8" customWidth="1"/>
    <col min="23" max="23" width="9.7265625" style="8" customWidth="1"/>
    <col min="24" max="16384" width="8.81640625" style="8"/>
  </cols>
  <sheetData>
    <row r="1" spans="1:23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35">
      <c r="A2" s="16" t="s">
        <v>3</v>
      </c>
      <c r="B2" s="17" t="s">
        <v>58</v>
      </c>
      <c r="C2" s="18">
        <v>80</v>
      </c>
      <c r="D2" s="23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0.15/50</f>
        <v>3.0000000000000001E-3</v>
      </c>
      <c r="O2" s="8">
        <f>Table1014[[#This Row],[Yearly Energy Consumption in kWh]]*Table1014[[#This Row],[CU/kWh]]</f>
        <v>126.14400000000001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5</v>
      </c>
      <c r="W2" s="8">
        <f>Table1014[[#This Row],[Failures per year]]*Table1014[[#This Row],[Total Time to Repair(h)]]*Table1014[[#This Row],[No. Of technicians]]*Table1014[[#This Row],[Cost per hour]]</f>
        <v>10.764288000000001</v>
      </c>
    </row>
    <row r="3" spans="1:23" x14ac:dyDescent="0.35">
      <c r="A3" s="19" t="s">
        <v>3</v>
      </c>
      <c r="B3" s="20" t="s">
        <v>83</v>
      </c>
      <c r="C3" s="21">
        <v>40</v>
      </c>
      <c r="D3" s="23">
        <v>16</v>
      </c>
      <c r="E3" s="8">
        <v>1</v>
      </c>
      <c r="F3" s="8">
        <f t="shared" ref="F3:F9" si="0">E3*D3</f>
        <v>16</v>
      </c>
      <c r="G3" s="8">
        <v>10.6</v>
      </c>
      <c r="H3" s="8">
        <f>Table1014[[#This Row],[Total Floor Space]]*Table1014[[#This Row],[Rent per sqm per year]]</f>
        <v>169.6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0.15/50</f>
        <v>3.0000000000000001E-3</v>
      </c>
      <c r="O3" s="8">
        <f>Table1014[[#This Row],[Yearly Energy Consumption in kWh]]*Table1014[[#This Row],[CU/kWh]]</f>
        <v>42.048000000000002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5</v>
      </c>
      <c r="W3" s="8">
        <f>Table1014[[#This Row],[Failures per year]]*Table1014[[#This Row],[Total Time to Repair(h)]]*Table1014[[#This Row],[No. Of technicians]]*Table1014[[#This Row],[Cost per hour]]</f>
        <v>0.21024000000000001</v>
      </c>
    </row>
    <row r="4" spans="1:23" x14ac:dyDescent="0.35">
      <c r="A4" s="16" t="s">
        <v>3</v>
      </c>
      <c r="B4" s="17" t="s">
        <v>6</v>
      </c>
      <c r="C4" s="18">
        <f>0.1</f>
        <v>0.1</v>
      </c>
      <c r="D4" s="23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1200</f>
        <v>1200</v>
      </c>
      <c r="M4" s="8">
        <f>Table1014[[#This Row],[Energy consumption in W]]*24*365/1000</f>
        <v>10512</v>
      </c>
      <c r="N4" s="8">
        <f t="shared" si="1"/>
        <v>3.0000000000000001E-3</v>
      </c>
      <c r="O4" s="8">
        <f>Table1014[[#This Row],[Yearly Energy Consumption in kWh]]*Table1014[[#This Row],[CU/kWh]]</f>
        <v>31.536000000000001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5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35">
      <c r="A5" s="19" t="s">
        <v>3</v>
      </c>
      <c r="B5" s="20" t="s">
        <v>75</v>
      </c>
      <c r="C5" s="21">
        <v>400</v>
      </c>
      <c r="D5" s="23">
        <v>1</v>
      </c>
      <c r="E5" s="8">
        <v>40</v>
      </c>
      <c r="F5" s="8">
        <f t="shared" si="0"/>
        <v>40</v>
      </c>
      <c r="G5" s="8">
        <v>10.6</v>
      </c>
      <c r="H5" s="8">
        <f>Table1014[[#This Row],[Total Floor Space]]*Table1014[[#This Row],[Rent per sqm per year]]</f>
        <v>424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3.0000000000000001E-3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5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35">
      <c r="A6" s="16" t="s">
        <v>8</v>
      </c>
      <c r="B6" s="17" t="s">
        <v>76</v>
      </c>
      <c r="C6" s="18">
        <f>80*0.3</f>
        <v>24</v>
      </c>
      <c r="D6" s="23">
        <v>8</v>
      </c>
      <c r="E6" s="8">
        <v>0.1</v>
      </c>
      <c r="F6" s="8">
        <f t="shared" si="0"/>
        <v>0.8</v>
      </c>
      <c r="G6" s="8">
        <v>10.6</v>
      </c>
      <c r="H6" s="8">
        <f>Table1014[[#This Row],[Total Floor Space]]*Table1014[[#This Row],[Rent per sqm per year]]</f>
        <v>8.48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3.0000000000000001E-3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5</v>
      </c>
      <c r="W6" s="8">
        <f>Table1014[[#This Row],[Failures per year]]*Table1014[[#This Row],[Total Time to Repair(h)]]*Table1014[[#This Row],[No. Of technicians]]*Table1014[[#This Row],[Cost per hour]]</f>
        <v>0.10687199999999999</v>
      </c>
    </row>
    <row r="7" spans="1:23" x14ac:dyDescent="0.35">
      <c r="A7" s="19" t="s">
        <v>10</v>
      </c>
      <c r="B7" s="20" t="s">
        <v>87</v>
      </c>
      <c r="C7" s="21">
        <v>0.9</v>
      </c>
      <c r="D7" s="23">
        <v>305</v>
      </c>
      <c r="E7" s="8">
        <v>0.1</v>
      </c>
      <c r="F7" s="8">
        <f t="shared" si="0"/>
        <v>30.5</v>
      </c>
      <c r="G7" s="8">
        <v>10.6</v>
      </c>
      <c r="H7" s="8">
        <f>Table1014[[#This Row],[Total Floor Space]]*Table1014[[#This Row],[Rent per sqm per year]]</f>
        <v>323.3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3.0000000000000001E-3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5</v>
      </c>
      <c r="W7" s="8">
        <f>Table1014[[#This Row],[Failures per year]]*Table1014[[#This Row],[Total Time to Repair(h)]]*Table1014[[#This Row],[No. Of technicians]]*Table1014[[#This Row],[Cost per hour]]</f>
        <v>4.1412899999999997</v>
      </c>
    </row>
    <row r="8" spans="1:23" x14ac:dyDescent="0.35">
      <c r="A8" s="16" t="s">
        <v>86</v>
      </c>
      <c r="B8" s="17" t="s">
        <v>84</v>
      </c>
      <c r="C8" s="18">
        <v>3.1</v>
      </c>
      <c r="D8" s="23">
        <v>5000</v>
      </c>
      <c r="E8" s="8">
        <v>0</v>
      </c>
      <c r="F8" s="8">
        <f t="shared" si="0"/>
        <v>0</v>
      </c>
      <c r="G8" s="8">
        <v>0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3.0000000000000001E-3</v>
      </c>
      <c r="O8" s="8">
        <f>Table1014[[#This Row],[Yearly Energy Consumption in kWh]]*Table1014[[#This Row],[CU/kWh]]</f>
        <v>722.7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5</v>
      </c>
      <c r="W8" s="8">
        <f>Table1014[[#This Row],[Failures per year]]*Table1014[[#This Row],[Total Time to Repair(h)]]*Table1014[[#This Row],[No. Of technicians]]*Table1014[[#This Row],[Cost per hour]]</f>
        <v>358.80960000000005</v>
      </c>
    </row>
    <row r="9" spans="1:23" x14ac:dyDescent="0.35">
      <c r="A9" s="19" t="s">
        <v>86</v>
      </c>
      <c r="B9" s="20" t="s">
        <v>88</v>
      </c>
      <c r="C9" s="21">
        <v>8</v>
      </c>
      <c r="D9" s="23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512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3.0000000000000001E-3</v>
      </c>
      <c r="O9" s="8">
        <f>Table1014[[#This Row],[Yearly Energy Consumption in kWh]]*Table1014[[#This Row],[CU/kWh]]</f>
        <v>6570</v>
      </c>
      <c r="P9" s="8">
        <v>4</v>
      </c>
      <c r="Q9" s="8">
        <v>20</v>
      </c>
      <c r="R9" s="8">
        <f>Table1014[[#This Row],[FIT]]*Table1014[[#This Row],[Quantity]]*24*365/1000000000</f>
        <v>22.425599999999999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5</v>
      </c>
      <c r="W9" s="8">
        <f>Table1014[[#This Row],[Failures per year]]*Table1014[[#This Row],[Total Time to Repair(h)]]*Table1014[[#This Row],[No. Of technicians]]*Table1014[[#This Row],[Cost per hour]]</f>
        <v>2735.9231999999997</v>
      </c>
    </row>
    <row r="10" spans="1:23" x14ac:dyDescent="0.35">
      <c r="A10" s="36"/>
      <c r="B10" s="37"/>
      <c r="C10" s="38"/>
      <c r="D10" s="38"/>
      <c r="E10" s="22"/>
      <c r="F10" s="22"/>
      <c r="G10" s="22"/>
      <c r="H10" s="22">
        <f>SUM(Table1014[Total Rent cost per year])</f>
        <v>9405.3799999999992</v>
      </c>
      <c r="I10" s="22"/>
      <c r="J10" s="22"/>
      <c r="K10" s="22"/>
      <c r="L10" s="22"/>
      <c r="M10" s="22"/>
      <c r="N10" s="22"/>
      <c r="O10" s="22">
        <f>SUBTOTAL(109,Table1014[Energy Cost per year in CU])</f>
        <v>7492.4279999999999</v>
      </c>
      <c r="P10" s="22"/>
      <c r="Q10" s="22"/>
      <c r="R10" s="22"/>
      <c r="S10" s="22"/>
      <c r="T10" s="22"/>
      <c r="U10" s="22"/>
      <c r="V10" s="22"/>
      <c r="W10" s="22">
        <f>SUBTOTAL(109,Table1014[FM Cost])</f>
        <v>3109.9554899999998</v>
      </c>
    </row>
    <row r="15" spans="1:23" x14ac:dyDescent="0.3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3" x14ac:dyDescent="0.3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20287.660382992544</v>
      </c>
    </row>
    <row r="17" spans="1:13" x14ac:dyDescent="0.3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3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35">
      <c r="J19" s="8">
        <f>SUM(J16:J18)</f>
        <v>279.89689299254849</v>
      </c>
      <c r="L19" s="8" t="s">
        <v>95</v>
      </c>
      <c r="M19" s="8" t="s">
        <v>66</v>
      </c>
    </row>
    <row r="20" spans="1:13" x14ac:dyDescent="0.35">
      <c r="L20" s="8" t="s">
        <v>90</v>
      </c>
      <c r="M20" s="8">
        <f>M31/$H$24</f>
        <v>0.32141958854487046</v>
      </c>
    </row>
    <row r="21" spans="1:13" x14ac:dyDescent="0.35">
      <c r="L21" s="8" t="s">
        <v>91</v>
      </c>
      <c r="M21" s="8">
        <f t="shared" ref="M21:M24" si="6">M32/$H$24</f>
        <v>0.25604633996309206</v>
      </c>
    </row>
    <row r="22" spans="1:13" x14ac:dyDescent="0.35">
      <c r="L22" s="8" t="s">
        <v>92</v>
      </c>
      <c r="M22" s="8">
        <f t="shared" si="6"/>
        <v>0.10627966270248103</v>
      </c>
    </row>
    <row r="23" spans="1:13" x14ac:dyDescent="0.35">
      <c r="H23" s="8" t="s">
        <v>137</v>
      </c>
      <c r="L23" s="8" t="s">
        <v>93</v>
      </c>
      <c r="M23" s="8">
        <f t="shared" si="6"/>
        <v>3.4187279560522171E-2</v>
      </c>
    </row>
    <row r="24" spans="1:13" x14ac:dyDescent="0.35">
      <c r="H24" s="8">
        <v>29262</v>
      </c>
      <c r="L24" s="8" t="s">
        <v>94</v>
      </c>
      <c r="M24" s="8">
        <f t="shared" si="6"/>
        <v>4.7862191384731051E-2</v>
      </c>
    </row>
    <row r="25" spans="1:13" x14ac:dyDescent="0.35">
      <c r="M25" s="8">
        <f>SUM(Table1416171819202122[Cost])</f>
        <v>0.7657950621556967</v>
      </c>
    </row>
    <row r="30" spans="1:13" x14ac:dyDescent="0.35">
      <c r="L30" s="40" t="s">
        <v>95</v>
      </c>
      <c r="M30" s="39" t="s">
        <v>66</v>
      </c>
    </row>
    <row r="31" spans="1:13" x14ac:dyDescent="0.35">
      <c r="L31" s="28" t="s">
        <v>90</v>
      </c>
      <c r="M31" s="12">
        <f>Table1014[[#Totals],[Total Rent cost per year]]</f>
        <v>9405.3799999999992</v>
      </c>
    </row>
    <row r="32" spans="1:13" x14ac:dyDescent="0.35">
      <c r="L32" s="30" t="s">
        <v>91</v>
      </c>
      <c r="M32" s="13">
        <f>Table1014[[#Totals],[Energy Cost per year in CU]]</f>
        <v>7492.4279999999999</v>
      </c>
    </row>
    <row r="33" spans="12:13" x14ac:dyDescent="0.35">
      <c r="L33" s="28" t="s">
        <v>92</v>
      </c>
      <c r="M33" s="12">
        <f>Table1014[[#Totals],[FM Cost]]+J30</f>
        <v>3109.9554899999998</v>
      </c>
    </row>
    <row r="34" spans="12:13" x14ac:dyDescent="0.35">
      <c r="L34" s="30" t="s">
        <v>93</v>
      </c>
      <c r="M34" s="13">
        <f>0.05*SUM(M31:M33)</f>
        <v>1000.3881744999999</v>
      </c>
    </row>
    <row r="35" spans="12:13" x14ac:dyDescent="0.35">
      <c r="L35" s="28" t="s">
        <v>94</v>
      </c>
      <c r="M35" s="12">
        <f>0.07*SUM(M31:M33)</f>
        <v>1400.5434442999999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E6E1-1BB1-4B0D-87C0-164FF72ECFD0}">
  <dimension ref="A3:Y29"/>
  <sheetViews>
    <sheetView tabSelected="1" topLeftCell="A13" workbookViewId="0">
      <selection activeCell="D17" sqref="D17:H29"/>
    </sheetView>
  </sheetViews>
  <sheetFormatPr defaultRowHeight="14.5" x14ac:dyDescent="0.35"/>
  <cols>
    <col min="1" max="1" width="16.36328125" bestFit="1" customWidth="1"/>
    <col min="2" max="2" width="20.26953125" bestFit="1" customWidth="1"/>
    <col min="3" max="3" width="21.453125" bestFit="1" customWidth="1"/>
  </cols>
  <sheetData>
    <row r="3" spans="1:8" x14ac:dyDescent="0.35">
      <c r="A3" s="3" t="s">
        <v>53</v>
      </c>
      <c r="B3" s="8" t="s">
        <v>139</v>
      </c>
      <c r="C3" s="8" t="s">
        <v>140</v>
      </c>
    </row>
    <row r="4" spans="1:8" x14ac:dyDescent="0.35">
      <c r="A4" s="4" t="s">
        <v>91</v>
      </c>
      <c r="B4" s="5">
        <v>6.5597437769120359E-2</v>
      </c>
      <c r="C4" s="5">
        <v>0.26098944433053106</v>
      </c>
    </row>
    <row r="5" spans="1:8" x14ac:dyDescent="0.35">
      <c r="A5" s="4" t="s">
        <v>92</v>
      </c>
      <c r="B5" s="5">
        <v>6.8894089635283484E-2</v>
      </c>
      <c r="C5" s="5">
        <v>0.13388728775245062</v>
      </c>
    </row>
    <row r="6" spans="1:8" x14ac:dyDescent="0.35">
      <c r="A6" s="4" t="s">
        <v>93</v>
      </c>
      <c r="B6" s="5">
        <v>2.1975071893424351E-2</v>
      </c>
      <c r="C6" s="5">
        <v>2.5844034813430752E-2</v>
      </c>
    </row>
    <row r="7" spans="1:8" x14ac:dyDescent="0.35">
      <c r="A7" s="4" t="s">
        <v>94</v>
      </c>
      <c r="B7" s="5">
        <v>3.0765100650794092E-2</v>
      </c>
      <c r="C7" s="5">
        <v>3.618164873880305E-2</v>
      </c>
    </row>
    <row r="8" spans="1:8" x14ac:dyDescent="0.35">
      <c r="A8" s="4" t="s">
        <v>90</v>
      </c>
      <c r="B8" s="5">
        <v>0.30500991046408316</v>
      </c>
      <c r="C8" s="5">
        <v>0.12200396418563325</v>
      </c>
    </row>
    <row r="9" spans="1:8" x14ac:dyDescent="0.35">
      <c r="A9" s="4" t="s">
        <v>54</v>
      </c>
      <c r="B9" s="5">
        <v>0.49224161041270542</v>
      </c>
      <c r="C9" s="5">
        <v>0.57890637982084869</v>
      </c>
    </row>
    <row r="16" spans="1:8" x14ac:dyDescent="0.35">
      <c r="C16" s="40" t="s">
        <v>95</v>
      </c>
      <c r="D16" s="28" t="s">
        <v>90</v>
      </c>
      <c r="E16" s="30" t="s">
        <v>91</v>
      </c>
      <c r="F16" s="28" t="s">
        <v>92</v>
      </c>
      <c r="G16" s="30" t="s">
        <v>93</v>
      </c>
      <c r="H16" s="28" t="s">
        <v>94</v>
      </c>
    </row>
    <row r="17" spans="3:25" x14ac:dyDescent="0.35">
      <c r="C17" s="10" t="s">
        <v>96</v>
      </c>
      <c r="D17" s="8">
        <v>0.30500991046408316</v>
      </c>
      <c r="E17" s="8">
        <v>6.5597437769120359E-2</v>
      </c>
      <c r="F17" s="8">
        <v>6.8894089635283484E-2</v>
      </c>
      <c r="G17" s="8">
        <v>2.1975071893424351E-2</v>
      </c>
      <c r="H17" s="8">
        <v>3.0765100650794092E-2</v>
      </c>
    </row>
    <row r="18" spans="3:25" x14ac:dyDescent="0.35">
      <c r="C18" s="10" t="s">
        <v>97</v>
      </c>
      <c r="D18" s="8">
        <v>0.12200396418563325</v>
      </c>
      <c r="E18" s="8">
        <v>0.26098944433053106</v>
      </c>
      <c r="F18" s="8">
        <v>0.13388728775245062</v>
      </c>
      <c r="G18" s="8">
        <v>2.5844034813430752E-2</v>
      </c>
      <c r="H18" s="8">
        <v>3.618164873880305E-2</v>
      </c>
    </row>
    <row r="19" spans="3:25" x14ac:dyDescent="0.35">
      <c r="C19" s="10" t="s">
        <v>98</v>
      </c>
      <c r="D19" s="8">
        <v>0.13939170254938146</v>
      </c>
      <c r="E19" s="8">
        <v>0.27317297518966577</v>
      </c>
      <c r="F19" s="8">
        <v>0.1072132633996309</v>
      </c>
      <c r="G19" s="8">
        <v>2.5988897056933909E-2</v>
      </c>
      <c r="H19" s="8">
        <v>3.638445587970747E-2</v>
      </c>
    </row>
    <row r="20" spans="3:25" x14ac:dyDescent="0.35">
      <c r="C20" s="10" t="s">
        <v>99</v>
      </c>
      <c r="D20" s="8">
        <v>0.27878340509876293</v>
      </c>
      <c r="E20" s="8">
        <v>5.5152974369489439E-2</v>
      </c>
      <c r="F20" s="8">
        <v>7.8644922206274337E-2</v>
      </c>
      <c r="G20" s="8">
        <v>2.0629065083726337E-2</v>
      </c>
      <c r="H20" s="8">
        <v>2.8880691117216868E-2</v>
      </c>
      <c r="M20">
        <v>0.30500991046408316</v>
      </c>
      <c r="N20">
        <v>0.12200396418563325</v>
      </c>
      <c r="O20">
        <v>0.13939170254938146</v>
      </c>
      <c r="P20">
        <v>0.27878340509876293</v>
      </c>
      <c r="Q20">
        <v>0.28095687239423145</v>
      </c>
      <c r="R20">
        <v>0.28887157405508856</v>
      </c>
      <c r="S20">
        <v>0.24755792495386508</v>
      </c>
      <c r="T20">
        <v>0.37485065955847169</v>
      </c>
      <c r="U20">
        <v>0.47351513908823728</v>
      </c>
      <c r="V20">
        <v>0.15913403048322056</v>
      </c>
      <c r="W20">
        <v>0.32141958854487046</v>
      </c>
      <c r="X20">
        <v>0.65775408379468259</v>
      </c>
      <c r="Y20">
        <v>0.32141958854487046</v>
      </c>
    </row>
    <row r="21" spans="3:25" x14ac:dyDescent="0.35">
      <c r="C21" s="10" t="s">
        <v>100</v>
      </c>
      <c r="D21" s="8">
        <v>0.28095687239423145</v>
      </c>
      <c r="E21" s="8">
        <v>4.1872692228829202E-2</v>
      </c>
      <c r="F21" s="8">
        <v>7.9152560344474057E-2</v>
      </c>
      <c r="G21" s="8">
        <v>2.0099106248376734E-2</v>
      </c>
      <c r="H21" s="8">
        <v>2.813874874772743E-2</v>
      </c>
      <c r="M21">
        <v>6.5597437769120359E-2</v>
      </c>
      <c r="N21">
        <v>0.26098944433053106</v>
      </c>
      <c r="O21">
        <v>0.27317297518966577</v>
      </c>
      <c r="P21">
        <v>5.5152974369489439E-2</v>
      </c>
      <c r="Q21">
        <v>4.1872692228829202E-2</v>
      </c>
      <c r="R21">
        <v>0.18693906458888662</v>
      </c>
      <c r="S21">
        <v>0.26819394709862621</v>
      </c>
      <c r="T21">
        <v>0.25180734057822435</v>
      </c>
      <c r="U21">
        <v>0.12022323149477136</v>
      </c>
      <c r="V21">
        <v>0.25263358622103754</v>
      </c>
      <c r="W21">
        <v>2.8738978880459301E-2</v>
      </c>
      <c r="X21">
        <v>0.15386130818125898</v>
      </c>
      <c r="Y21">
        <v>0.25604633996309206</v>
      </c>
    </row>
    <row r="22" spans="3:25" x14ac:dyDescent="0.35">
      <c r="C22" s="10" t="s">
        <v>101</v>
      </c>
      <c r="D22" s="8">
        <v>0.28887157405508856</v>
      </c>
      <c r="E22" s="8">
        <v>0.18693906458888662</v>
      </c>
      <c r="F22" s="8">
        <v>0.12679911041534522</v>
      </c>
      <c r="G22" s="8">
        <v>3.013048745296602E-2</v>
      </c>
      <c r="H22" s="8">
        <v>4.2182682434152435E-2</v>
      </c>
      <c r="M22">
        <v>6.8894089635283484E-2</v>
      </c>
      <c r="N22">
        <v>0.13388728775245062</v>
      </c>
      <c r="O22">
        <v>0.1072132633996309</v>
      </c>
      <c r="P22">
        <v>7.8644922206274337E-2</v>
      </c>
      <c r="Q22">
        <v>7.9152560344474057E-2</v>
      </c>
      <c r="R22">
        <v>0.12679911041534522</v>
      </c>
      <c r="S22">
        <v>0.1051911978265327</v>
      </c>
      <c r="T22">
        <v>0.10493392409267993</v>
      </c>
      <c r="U22">
        <v>0.14860351798236623</v>
      </c>
      <c r="V22">
        <v>0.14057891552183716</v>
      </c>
      <c r="W22">
        <v>0.28578615378306338</v>
      </c>
      <c r="X22">
        <v>6.2678575353701055E-2</v>
      </c>
      <c r="Y22">
        <v>0.10627966270248103</v>
      </c>
    </row>
    <row r="23" spans="3:25" x14ac:dyDescent="0.35">
      <c r="C23" s="10" t="s">
        <v>102</v>
      </c>
      <c r="D23" s="8">
        <v>0.24755792495386508</v>
      </c>
      <c r="E23" s="8">
        <v>0.26819394709862621</v>
      </c>
      <c r="F23" s="8">
        <v>0.1051911978265327</v>
      </c>
      <c r="G23" s="8">
        <v>3.1047153493951204E-2</v>
      </c>
      <c r="H23" s="8">
        <v>4.3466014891531686E-2</v>
      </c>
      <c r="M23">
        <v>2.1975071893424351E-2</v>
      </c>
      <c r="N23">
        <v>2.5844034813430752E-2</v>
      </c>
      <c r="O23">
        <v>2.5988897056933909E-2</v>
      </c>
      <c r="P23">
        <v>2.0629065083726337E-2</v>
      </c>
      <c r="Q23">
        <v>2.0099106248376734E-2</v>
      </c>
      <c r="R23">
        <v>3.013048745296602E-2</v>
      </c>
      <c r="S23">
        <v>3.1047153493951204E-2</v>
      </c>
      <c r="T23">
        <v>3.6579596211468807E-2</v>
      </c>
      <c r="U23">
        <v>3.7117094428268743E-2</v>
      </c>
      <c r="V23">
        <v>2.7617326611304761E-2</v>
      </c>
      <c r="W23">
        <v>3.1797236060419662E-2</v>
      </c>
      <c r="X23">
        <v>4.3714698366482133E-2</v>
      </c>
      <c r="Y23">
        <v>3.4187279560522171E-2</v>
      </c>
    </row>
    <row r="24" spans="3:25" x14ac:dyDescent="0.35">
      <c r="C24" s="10" t="s">
        <v>104</v>
      </c>
      <c r="D24" s="8">
        <v>0.37485065955847169</v>
      </c>
      <c r="E24" s="8">
        <v>0.25180734057822435</v>
      </c>
      <c r="F24" s="8">
        <v>0.10493392409267993</v>
      </c>
      <c r="G24" s="8">
        <v>3.6579596211468807E-2</v>
      </c>
      <c r="H24" s="8">
        <v>5.1211434696056331E-2</v>
      </c>
      <c r="M24">
        <v>3.0765100650794092E-2</v>
      </c>
      <c r="N24">
        <v>3.618164873880305E-2</v>
      </c>
      <c r="O24">
        <v>3.638445587970747E-2</v>
      </c>
      <c r="P24">
        <v>2.8880691117216868E-2</v>
      </c>
      <c r="Q24">
        <v>2.813874874772743E-2</v>
      </c>
      <c r="R24">
        <v>4.2182682434152435E-2</v>
      </c>
      <c r="S24">
        <v>4.3466014891531686E-2</v>
      </c>
      <c r="T24">
        <v>5.1211434696056331E-2</v>
      </c>
      <c r="U24">
        <v>5.1963932199576256E-2</v>
      </c>
      <c r="V24">
        <v>3.8664257255826666E-2</v>
      </c>
      <c r="W24">
        <v>4.4516130484587524E-2</v>
      </c>
      <c r="X24">
        <v>6.1200577713074987E-2</v>
      </c>
      <c r="Y24">
        <v>4.7862191384731051E-2</v>
      </c>
    </row>
    <row r="25" spans="3:25" x14ac:dyDescent="0.35">
      <c r="C25" s="10" t="s">
        <v>103</v>
      </c>
      <c r="D25" s="8">
        <v>0.47351513908823728</v>
      </c>
      <c r="E25" s="8">
        <v>0.12022323149477136</v>
      </c>
      <c r="F25" s="8">
        <v>0.14860351798236623</v>
      </c>
      <c r="G25" s="8">
        <v>3.7117094428268743E-2</v>
      </c>
      <c r="H25" s="8">
        <v>5.1963932199576256E-2</v>
      </c>
    </row>
    <row r="26" spans="3:25" x14ac:dyDescent="0.35">
      <c r="C26" s="10" t="s">
        <v>105</v>
      </c>
      <c r="D26" s="8">
        <v>0.15913403048322056</v>
      </c>
      <c r="E26" s="8">
        <v>0.25263358622103754</v>
      </c>
      <c r="F26" s="8">
        <v>0.14057891552183716</v>
      </c>
      <c r="G26" s="8">
        <v>2.7617326611304761E-2</v>
      </c>
      <c r="H26" s="8">
        <v>3.8664257255826666E-2</v>
      </c>
    </row>
    <row r="27" spans="3:25" x14ac:dyDescent="0.35">
      <c r="C27" s="10" t="s">
        <v>106</v>
      </c>
      <c r="D27" s="8">
        <v>0.32141958854487046</v>
      </c>
      <c r="E27" s="8">
        <v>2.8738978880459301E-2</v>
      </c>
      <c r="F27" s="8">
        <v>0.28578615378306338</v>
      </c>
      <c r="G27" s="8">
        <v>3.1797236060419662E-2</v>
      </c>
      <c r="H27" s="8">
        <v>4.4516130484587524E-2</v>
      </c>
    </row>
    <row r="28" spans="3:25" x14ac:dyDescent="0.35">
      <c r="C28" s="10" t="s">
        <v>108</v>
      </c>
      <c r="D28" s="8">
        <v>0.65775408379468259</v>
      </c>
      <c r="E28" s="8">
        <v>0.15386130818125898</v>
      </c>
      <c r="F28" s="8">
        <v>6.2678575353701055E-2</v>
      </c>
      <c r="G28" s="8">
        <v>4.3714698366482133E-2</v>
      </c>
      <c r="H28" s="8">
        <v>6.1200577713074987E-2</v>
      </c>
    </row>
    <row r="29" spans="3:25" x14ac:dyDescent="0.35">
      <c r="C29" s="39" t="s">
        <v>107</v>
      </c>
      <c r="D29" s="8">
        <v>0.32141958854487046</v>
      </c>
      <c r="E29" s="8">
        <v>0.25604633996309206</v>
      </c>
      <c r="F29" s="8">
        <v>0.10627966270248103</v>
      </c>
      <c r="G29" s="8">
        <v>3.4187279560522171E-2</v>
      </c>
      <c r="H29" s="8">
        <v>4.7862191384731051E-2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6:Q61"/>
  <sheetViews>
    <sheetView topLeftCell="J16" workbookViewId="0">
      <selection activeCell="E28" sqref="E28:Q32"/>
    </sheetView>
  </sheetViews>
  <sheetFormatPr defaultRowHeight="14.5" x14ac:dyDescent="0.35"/>
  <cols>
    <col min="4" max="4" width="20" customWidth="1"/>
    <col min="5" max="5" width="22" customWidth="1"/>
    <col min="6" max="6" width="19.26953125" customWidth="1"/>
    <col min="7" max="7" width="16.81640625" customWidth="1"/>
    <col min="8" max="8" width="18" customWidth="1"/>
    <col min="9" max="9" width="18.1796875" customWidth="1"/>
    <col min="10" max="10" width="16.81640625" customWidth="1"/>
    <col min="11" max="11" width="18" customWidth="1"/>
    <col min="12" max="12" width="17.81640625" customWidth="1"/>
    <col min="13" max="14" width="19.7265625" customWidth="1"/>
    <col min="15" max="15" width="20.81640625" customWidth="1"/>
    <col min="16" max="17" width="20.7265625" customWidth="1"/>
  </cols>
  <sheetData>
    <row r="6" spans="4:17" x14ac:dyDescent="0.35">
      <c r="D6" s="28"/>
      <c r="E6" s="29"/>
      <c r="F6" s="29"/>
      <c r="G6" s="29"/>
      <c r="H6" s="29"/>
      <c r="I6" s="29"/>
      <c r="J6" s="29"/>
      <c r="K6" s="12"/>
      <c r="L6" s="12"/>
      <c r="M6" s="12"/>
      <c r="N6" s="29"/>
      <c r="O6" s="29"/>
      <c r="P6" s="29"/>
      <c r="Q6" s="12"/>
    </row>
    <row r="7" spans="4:17" x14ac:dyDescent="0.35">
      <c r="D7" s="30"/>
      <c r="E7" s="31"/>
      <c r="F7" s="31"/>
      <c r="G7" s="31"/>
      <c r="H7" s="31"/>
      <c r="I7" s="31"/>
      <c r="J7" s="31"/>
      <c r="K7" s="13"/>
      <c r="L7" s="13"/>
      <c r="M7" s="13"/>
      <c r="N7" s="31"/>
      <c r="O7" s="31"/>
      <c r="P7" s="31"/>
      <c r="Q7" s="13"/>
    </row>
    <row r="8" spans="4:17" x14ac:dyDescent="0.35">
      <c r="D8" s="28"/>
      <c r="E8" s="29"/>
      <c r="F8" s="29"/>
      <c r="G8" s="29"/>
      <c r="H8" s="29"/>
      <c r="I8" s="29"/>
      <c r="J8" s="29"/>
      <c r="K8" s="12"/>
      <c r="L8" s="12"/>
      <c r="M8" s="12"/>
      <c r="N8" s="29"/>
      <c r="O8" s="29"/>
      <c r="P8" s="29"/>
      <c r="Q8" s="12"/>
    </row>
    <row r="9" spans="4:17" x14ac:dyDescent="0.35">
      <c r="D9" s="30"/>
      <c r="E9" s="31"/>
      <c r="F9" s="31"/>
      <c r="G9" s="31"/>
      <c r="H9" s="31"/>
      <c r="I9" s="31"/>
      <c r="J9" s="31"/>
      <c r="K9" s="13"/>
      <c r="L9" s="13"/>
      <c r="M9" s="13"/>
      <c r="N9" s="31"/>
      <c r="O9" s="31"/>
      <c r="P9" s="31"/>
      <c r="Q9" s="13"/>
    </row>
    <row r="10" spans="4:17" x14ac:dyDescent="0.35">
      <c r="D10" s="28"/>
      <c r="E10" s="29"/>
      <c r="F10" s="29"/>
      <c r="G10" s="29"/>
      <c r="H10" s="29"/>
      <c r="I10" s="29"/>
      <c r="J10" s="29"/>
      <c r="K10" s="12"/>
      <c r="L10" s="12"/>
      <c r="M10" s="12"/>
      <c r="N10" s="29"/>
      <c r="O10" s="29"/>
      <c r="P10" s="29"/>
      <c r="Q10" s="12"/>
    </row>
    <row r="12" spans="4:17" x14ac:dyDescent="0.35">
      <c r="D12" s="8" t="s">
        <v>120</v>
      </c>
      <c r="E12" s="8" t="s">
        <v>96</v>
      </c>
      <c r="F12" s="8" t="s">
        <v>97</v>
      </c>
      <c r="G12" s="8" t="s">
        <v>127</v>
      </c>
      <c r="H12" s="8" t="s">
        <v>128</v>
      </c>
      <c r="I12" s="8" t="s">
        <v>100</v>
      </c>
      <c r="J12" s="8" t="s">
        <v>101</v>
      </c>
      <c r="K12" s="8" t="s">
        <v>102</v>
      </c>
      <c r="L12" s="8" t="s">
        <v>129</v>
      </c>
      <c r="M12" s="8" t="s">
        <v>103</v>
      </c>
      <c r="N12" s="8" t="s">
        <v>105</v>
      </c>
      <c r="O12" s="8" t="s">
        <v>106</v>
      </c>
      <c r="P12" s="8" t="s">
        <v>108</v>
      </c>
      <c r="Q12" s="8" t="s">
        <v>107</v>
      </c>
    </row>
    <row r="13" spans="4:17" x14ac:dyDescent="0.35">
      <c r="D13" s="8" t="s">
        <v>90</v>
      </c>
      <c r="E13" s="8">
        <f>FTTC_GPON_25!$J26</f>
        <v>0.30500991046408316</v>
      </c>
      <c r="F13" s="8">
        <f>FTTB_XGPON_50!$O26</f>
        <v>0.12200396418563325</v>
      </c>
      <c r="G13" s="8">
        <f>FTTB_DWDM_50!$O34</f>
        <v>0.13939170254938146</v>
      </c>
      <c r="H13" s="8">
        <f>FTTH_DWDM_100!$O21</f>
        <v>0.27878340509876293</v>
      </c>
      <c r="I13" s="8">
        <f>FTTH_XGPON_100!$N36</f>
        <v>0.28095687239423145</v>
      </c>
      <c r="J13" s="8">
        <f>FTTC_GPON_100!$Q24</f>
        <v>0.28887157405508856</v>
      </c>
      <c r="K13" s="12">
        <f>FTTB_XGPON_100!$N32</f>
        <v>0.24755792495386508</v>
      </c>
      <c r="L13" s="12">
        <f>FTTB_DWDM_100!$N33</f>
        <v>0.37485065955847169</v>
      </c>
      <c r="M13" s="12">
        <f>FTTC_Hybridpon_25!P21</f>
        <v>0.47351513908823728</v>
      </c>
      <c r="N13" s="8">
        <f>FTTB_Hybridpon_50!$P19</f>
        <v>0.15913403048322056</v>
      </c>
      <c r="O13" s="8">
        <f>FTTH_Hybridpon_100!$P19</f>
        <v>0.32141958854487046</v>
      </c>
      <c r="P13" s="8">
        <f>FTTC_Hybridpon_100!$N18</f>
        <v>0.65775408379468259</v>
      </c>
      <c r="Q13" s="8">
        <f>FTTB_Hybridpon_100!$M20</f>
        <v>0.32141958854487046</v>
      </c>
    </row>
    <row r="14" spans="4:17" x14ac:dyDescent="0.35">
      <c r="D14" s="8" t="s">
        <v>91</v>
      </c>
      <c r="E14" s="8">
        <f>FTTC_GPON_25!$J27</f>
        <v>6.5597437769120359E-2</v>
      </c>
      <c r="F14" s="8">
        <f>FTTB_XGPON_50!$O27</f>
        <v>0.26098944433053106</v>
      </c>
      <c r="G14" s="8">
        <f>FTTB_DWDM_50!$O35</f>
        <v>0.27317297518966577</v>
      </c>
      <c r="H14" s="8">
        <f>FTTH_DWDM_100!$O22</f>
        <v>5.5152974369489439E-2</v>
      </c>
      <c r="I14" s="8">
        <f>FTTH_XGPON_100!$N37</f>
        <v>4.1872692228829202E-2</v>
      </c>
      <c r="J14" s="8">
        <f>FTTC_GPON_100!$Q25</f>
        <v>0.18693906458888662</v>
      </c>
      <c r="K14" s="12">
        <f>FTTB_XGPON_100!$N33</f>
        <v>0.26819394709862621</v>
      </c>
      <c r="L14" s="12">
        <f>FTTB_DWDM_100!$N34</f>
        <v>0.25180734057822435</v>
      </c>
      <c r="M14" s="12">
        <f>FTTC_Hybridpon_25!P22</f>
        <v>0.12022323149477136</v>
      </c>
      <c r="N14" s="8">
        <f>FTTB_Hybridpon_50!$P20</f>
        <v>0.25263358622103754</v>
      </c>
      <c r="O14" s="8">
        <f>FTTH_Hybridpon_100!$P20</f>
        <v>2.8738978880459301E-2</v>
      </c>
      <c r="P14" s="8">
        <f>FTTC_Hybridpon_100!$N19</f>
        <v>0.15386130818125898</v>
      </c>
      <c r="Q14" s="8">
        <f>FTTB_Hybridpon_100!$M21</f>
        <v>0.25604633996309206</v>
      </c>
    </row>
    <row r="15" spans="4:17" x14ac:dyDescent="0.35">
      <c r="D15" s="8" t="s">
        <v>92</v>
      </c>
      <c r="E15" s="8">
        <f>FTTC_GPON_25!$J28</f>
        <v>0.14970404198617082</v>
      </c>
      <c r="F15" s="8">
        <f>FTTB_XGPON_50!$O28</f>
        <v>0.28414495741494811</v>
      </c>
      <c r="G15" s="8">
        <f>FTTB_DWDM_50!$O36</f>
        <v>0.28770637372350283</v>
      </c>
      <c r="H15" s="8">
        <f>FTTH_DWDM_100!$O23</f>
        <v>0.20980644640474297</v>
      </c>
      <c r="I15" s="8">
        <f>FTTH_XGPON_100!$N38</f>
        <v>0.20955200535889004</v>
      </c>
      <c r="J15" s="8">
        <f>FTTC_GPON_100!$Q26</f>
        <v>0.29649697842757378</v>
      </c>
      <c r="K15" s="12">
        <f>FTTB_XGPON_100!$N34</f>
        <v>0.27902539685388639</v>
      </c>
      <c r="L15" s="12">
        <f>FTTB_DWDM_100!$N35</f>
        <v>0.26339134361689953</v>
      </c>
      <c r="M15" s="12">
        <f>FTTC_Hybridpon_25!P23</f>
        <v>0.14860351798236623</v>
      </c>
      <c r="N15" s="8">
        <f>FTTB_Hybridpon_50!$P21</f>
        <v>0.14057891552183716</v>
      </c>
      <c r="O15" s="8">
        <f>FTTH_Hybridpon_100!$P21</f>
        <v>0.28578615378306338</v>
      </c>
      <c r="P15" s="8">
        <f>FTTC_Hybridpon_100!$N20</f>
        <v>6.2678575353701055E-2</v>
      </c>
      <c r="Q15" s="8">
        <f>FTTB_Hybridpon_100!$M22</f>
        <v>0.10627966270248103</v>
      </c>
    </row>
    <row r="16" spans="4:17" x14ac:dyDescent="0.35">
      <c r="D16" s="8" t="s">
        <v>93</v>
      </c>
      <c r="E16" s="8">
        <f>FTTC_GPON_25!$J29</f>
        <v>2.6015569510968718E-2</v>
      </c>
      <c r="F16" s="8">
        <f>FTTB_XGPON_50!$O29</f>
        <v>3.335691829655562E-2</v>
      </c>
      <c r="G16" s="8">
        <f>FTTB_DWDM_50!$O37</f>
        <v>3.50135525731275E-2</v>
      </c>
      <c r="H16" s="8">
        <f>FTTH_DWDM_100!$O24</f>
        <v>2.7187141293649769E-2</v>
      </c>
      <c r="I16" s="8">
        <f>FTTH_XGPON_100!$N39</f>
        <v>2.6619078499097535E-2</v>
      </c>
      <c r="J16" s="8">
        <f>FTTC_GPON_100!$Q27</f>
        <v>3.861538085357745E-2</v>
      </c>
      <c r="K16" s="12">
        <f>FTTB_XGPON_100!$N35</f>
        <v>3.9738863445318885E-2</v>
      </c>
      <c r="L16" s="12">
        <f>FTTB_DWDM_100!$N36</f>
        <v>4.4502467187679778E-2</v>
      </c>
      <c r="M16" s="12">
        <f>FTTC_Hybridpon_25!P24</f>
        <v>3.7117094428268743E-2</v>
      </c>
      <c r="N16" s="8">
        <f>FTTB_Hybridpon_50!$P22</f>
        <v>2.7617326611304761E-2</v>
      </c>
      <c r="O16" s="8">
        <f>FTTH_Hybridpon_100!$P22</f>
        <v>3.1797236060419662E-2</v>
      </c>
      <c r="P16" s="8">
        <f>FTTC_Hybridpon_100!$N21</f>
        <v>4.3714698366482133E-2</v>
      </c>
      <c r="Q16" s="8">
        <f>FTTB_Hybridpon_100!$M23</f>
        <v>3.4187279560522171E-2</v>
      </c>
    </row>
    <row r="17" spans="4:17" x14ac:dyDescent="0.35">
      <c r="D17" s="8" t="s">
        <v>94</v>
      </c>
      <c r="E17" s="8">
        <f>FTTC_GPON_25!$J30</f>
        <v>3.6421797315356212E-2</v>
      </c>
      <c r="F17" s="8">
        <f>FTTB_XGPON_50!$O30</f>
        <v>4.6699685615177872E-2</v>
      </c>
      <c r="G17" s="8">
        <f>FTTB_DWDM_50!$O38</f>
        <v>4.9018973602378509E-2</v>
      </c>
      <c r="H17" s="8">
        <f>FTTH_DWDM_100!$O25</f>
        <v>3.8061997811109673E-2</v>
      </c>
      <c r="I17" s="8">
        <f>FTTH_XGPON_100!$N40</f>
        <v>3.7266709898736552E-2</v>
      </c>
      <c r="J17" s="8">
        <f>FTTC_GPON_100!$Q28</f>
        <v>5.4061533195008428E-2</v>
      </c>
      <c r="K17" s="12">
        <f>FTTB_XGPON_100!$N36</f>
        <v>5.5634408823446446E-2</v>
      </c>
      <c r="L17" s="12">
        <f>FTTB_DWDM_100!$N37</f>
        <v>6.2303454062751701E-2</v>
      </c>
      <c r="M17" s="12">
        <f>FTTC_Hybridpon_25!P25</f>
        <v>5.1963932199576256E-2</v>
      </c>
      <c r="N17" s="8">
        <f>FTTB_Hybridpon_50!$P23</f>
        <v>3.8664257255826666E-2</v>
      </c>
      <c r="O17" s="8">
        <f>FTTH_Hybridpon_100!$P23</f>
        <v>4.4516130484587524E-2</v>
      </c>
      <c r="P17" s="8">
        <f>FTTC_Hybridpon_100!$N22</f>
        <v>6.1200577713074987E-2</v>
      </c>
      <c r="Q17" s="8">
        <f>FTTB_Hybridpon_100!$M24</f>
        <v>4.7862191384731051E-2</v>
      </c>
    </row>
    <row r="18" spans="4:17" x14ac:dyDescent="0.35">
      <c r="D18" s="22"/>
      <c r="E18" s="22">
        <f>SUM(Table2225[FTTC_GPON_25])</f>
        <v>0.58274875704569928</v>
      </c>
      <c r="F18" s="22">
        <f>SUBTOTAL(109,Table2225[FTTB_XGPON_50])</f>
        <v>0.74719496984284595</v>
      </c>
      <c r="G18" s="22">
        <f>SUBTOTAL(109,Table2225[FTTB_UDWDM_50])</f>
        <v>0.78430357763805614</v>
      </c>
      <c r="H18" s="22">
        <f>SUBTOTAL(109,Table2225[FTTH_UDWDM_100])</f>
        <v>0.60899196497775476</v>
      </c>
      <c r="I18" s="22">
        <f>SUBTOTAL(109,Table2225[FTTH_XGPON_100])</f>
        <v>0.59626735837978484</v>
      </c>
      <c r="J18" s="22">
        <f>SUBTOTAL(109,Table2225[FTTC_GPON_100])</f>
        <v>0.86498453112013485</v>
      </c>
      <c r="K18" s="26">
        <f>SUBTOTAL(109,Table2225[FTTB_XGPON_100])</f>
        <v>0.89015054117514292</v>
      </c>
      <c r="L18" s="26">
        <f>SUBTOTAL(109,Table2225[FTTB_UDWDM_100])</f>
        <v>0.9968552650040271</v>
      </c>
      <c r="M18" s="26">
        <f>SUBTOTAL(109,Table2225[FTTC_Hybridpon_25])</f>
        <v>0.83142291519321987</v>
      </c>
      <c r="N18" s="22">
        <f>SUBTOTAL(109,Table2225[FTTB_Hybridpon_50])</f>
        <v>0.61862811609322665</v>
      </c>
      <c r="O18" s="22">
        <f>SUBTOTAL(109,Table2225[FTTH_Hybridpon_100])</f>
        <v>0.71225808775340016</v>
      </c>
      <c r="P18" s="22">
        <f>SUBTOTAL(109,Table2225[FTTC_Hybridpon_100])</f>
        <v>0.97920924340919968</v>
      </c>
      <c r="Q18" s="22">
        <f>SUBTOTAL(109,Table2225[FTTB_Hybridpon_100])</f>
        <v>0.7657950621556967</v>
      </c>
    </row>
    <row r="27" spans="4:17" x14ac:dyDescent="0.35">
      <c r="D27" t="s">
        <v>95</v>
      </c>
      <c r="E27" t="s">
        <v>96</v>
      </c>
      <c r="F27" t="s">
        <v>97</v>
      </c>
      <c r="G27" t="s">
        <v>98</v>
      </c>
      <c r="H27" t="s">
        <v>99</v>
      </c>
      <c r="I27" t="s">
        <v>100</v>
      </c>
      <c r="J27" t="s">
        <v>101</v>
      </c>
      <c r="K27" t="s">
        <v>102</v>
      </c>
      <c r="L27" t="s">
        <v>104</v>
      </c>
      <c r="M27" t="s">
        <v>103</v>
      </c>
      <c r="N27" t="s">
        <v>105</v>
      </c>
      <c r="O27" t="s">
        <v>106</v>
      </c>
      <c r="P27" t="s">
        <v>108</v>
      </c>
      <c r="Q27" t="s">
        <v>107</v>
      </c>
    </row>
    <row r="28" spans="4:17" x14ac:dyDescent="0.35">
      <c r="D28" s="8" t="s">
        <v>90</v>
      </c>
      <c r="E28" s="8">
        <f>FTTC_GPON_25!$I26</f>
        <v>0.30500991046408316</v>
      </c>
      <c r="F28" s="8">
        <f>FTTB_XGPON_50!$N26</f>
        <v>0.12200396418563325</v>
      </c>
      <c r="G28" s="8">
        <f>FTTB_DWDM_50!$N34</f>
        <v>0.13939170254938146</v>
      </c>
      <c r="H28" s="8">
        <f>FTTH_DWDM_100!$N21</f>
        <v>0.27878340509876293</v>
      </c>
      <c r="I28" s="8">
        <f>FTTH_XGPON_100!$M36</f>
        <v>0.28095687239423145</v>
      </c>
      <c r="J28" s="8">
        <f>FTTC_GPON_100!$P24</f>
        <v>0.28887157405508856</v>
      </c>
      <c r="K28" s="12">
        <f>FTTB_XGPON_100!$M32</f>
        <v>0.24755792495386508</v>
      </c>
      <c r="L28" s="12">
        <f>FTTB_DWDM_100!$M33</f>
        <v>0.37485065955847169</v>
      </c>
      <c r="M28" s="12">
        <f>FTTC_Hybridpon_25!P21</f>
        <v>0.47351513908823728</v>
      </c>
      <c r="N28" s="8">
        <f>FTTB_Hybridpon_50!$P19</f>
        <v>0.15913403048322056</v>
      </c>
      <c r="O28" s="8">
        <f>FTTH_Hybridpon_100!$P19</f>
        <v>0.32141958854487046</v>
      </c>
      <c r="P28" s="8">
        <f>FTTC_Hybridpon_100!$N18</f>
        <v>0.65775408379468259</v>
      </c>
      <c r="Q28" s="8">
        <f>FTTB_Hybridpon_100!$M20</f>
        <v>0.32141958854487046</v>
      </c>
    </row>
    <row r="29" spans="4:17" x14ac:dyDescent="0.35">
      <c r="D29" s="8" t="s">
        <v>91</v>
      </c>
      <c r="E29" s="8">
        <f>FTTC_GPON_25!$I27</f>
        <v>6.5597437769120359E-2</v>
      </c>
      <c r="F29" s="8">
        <f>FTTB_XGPON_50!$N27</f>
        <v>0.26098944433053106</v>
      </c>
      <c r="G29" s="8">
        <f>FTTB_DWDM_50!$N35</f>
        <v>0.27317297518966577</v>
      </c>
      <c r="H29" s="8">
        <f>FTTH_DWDM_100!$N22</f>
        <v>5.5152974369489439E-2</v>
      </c>
      <c r="I29" s="8">
        <f>FTTH_XGPON_100!$M37</f>
        <v>4.1872692228829202E-2</v>
      </c>
      <c r="J29" s="8">
        <f>FTTC_GPON_100!$P25</f>
        <v>0.18693906458888662</v>
      </c>
      <c r="K29" s="12">
        <f>FTTB_XGPON_100!$M33</f>
        <v>0.26819394709862621</v>
      </c>
      <c r="L29" s="12">
        <f>FTTB_DWDM_100!$M34</f>
        <v>0.25180734057822435</v>
      </c>
      <c r="M29" s="12">
        <f>FTTC_Hybridpon_25!P22</f>
        <v>0.12022323149477136</v>
      </c>
      <c r="N29" s="8">
        <f>FTTB_Hybridpon_50!$P20</f>
        <v>0.25263358622103754</v>
      </c>
      <c r="O29" s="8">
        <f>FTTH_Hybridpon_100!$P20</f>
        <v>2.8738978880459301E-2</v>
      </c>
      <c r="P29" s="8">
        <f>FTTC_Hybridpon_100!$N19</f>
        <v>0.15386130818125898</v>
      </c>
      <c r="Q29" s="8">
        <f>FTTB_Hybridpon_100!$M21</f>
        <v>0.25604633996309206</v>
      </c>
    </row>
    <row r="30" spans="4:17" x14ac:dyDescent="0.35">
      <c r="D30" s="8" t="s">
        <v>92</v>
      </c>
      <c r="E30" s="8">
        <f>FTTC_GPON_25!$I28</f>
        <v>6.8894089635283484E-2</v>
      </c>
      <c r="F30" s="8">
        <f>FTTB_XGPON_50!$N28</f>
        <v>0.13388728775245062</v>
      </c>
      <c r="G30" s="8">
        <f>FTTB_DWDM_50!$N36</f>
        <v>0.1072132633996309</v>
      </c>
      <c r="H30" s="8">
        <f>FTTH_DWDM_100!$N23</f>
        <v>7.8644922206274337E-2</v>
      </c>
      <c r="I30" s="8">
        <f>FTTH_XGPON_100!$M38</f>
        <v>7.9152560344474057E-2</v>
      </c>
      <c r="J30" s="8">
        <f>FTTC_GPON_100!$P26</f>
        <v>0.12679911041534522</v>
      </c>
      <c r="K30" s="12">
        <f>FTTB_XGPON_100!$M34</f>
        <v>0.1051911978265327</v>
      </c>
      <c r="L30" s="12">
        <f>FTTB_DWDM_100!$M35</f>
        <v>0.10493392409267993</v>
      </c>
      <c r="M30" s="12">
        <f>FTTC_Hybridpon_25!P23</f>
        <v>0.14860351798236623</v>
      </c>
      <c r="N30" s="8">
        <f>FTTB_Hybridpon_50!$P21</f>
        <v>0.14057891552183716</v>
      </c>
      <c r="O30" s="8">
        <f>FTTH_Hybridpon_100!$P21</f>
        <v>0.28578615378306338</v>
      </c>
      <c r="P30" s="8">
        <f>FTTC_Hybridpon_100!$N20</f>
        <v>6.2678575353701055E-2</v>
      </c>
      <c r="Q30" s="8">
        <f>FTTB_Hybridpon_100!$M22</f>
        <v>0.10627966270248103</v>
      </c>
    </row>
    <row r="31" spans="4:17" x14ac:dyDescent="0.35">
      <c r="D31" s="8" t="s">
        <v>93</v>
      </c>
      <c r="E31" s="8">
        <f>FTTC_GPON_25!$I29</f>
        <v>2.1975071893424351E-2</v>
      </c>
      <c r="F31" s="8">
        <f>FTTB_XGPON_50!$N29</f>
        <v>2.5844034813430752E-2</v>
      </c>
      <c r="G31" s="8">
        <f>FTTB_DWDM_50!$N37</f>
        <v>2.5988897056933909E-2</v>
      </c>
      <c r="H31" s="8">
        <f>FTTH_DWDM_100!$N24</f>
        <v>2.0629065083726337E-2</v>
      </c>
      <c r="I31" s="8">
        <f>FTTH_XGPON_100!$M39</f>
        <v>2.0099106248376734E-2</v>
      </c>
      <c r="J31" s="8">
        <f>FTTC_GPON_100!$P27</f>
        <v>3.013048745296602E-2</v>
      </c>
      <c r="K31" s="12">
        <f>FTTB_XGPON_100!$M35</f>
        <v>3.1047153493951204E-2</v>
      </c>
      <c r="L31" s="12">
        <f>FTTB_DWDM_100!$M36</f>
        <v>3.6579596211468807E-2</v>
      </c>
      <c r="M31" s="12">
        <f>FTTC_Hybridpon_25!P24</f>
        <v>3.7117094428268743E-2</v>
      </c>
      <c r="N31" s="8">
        <f>FTTB_Hybridpon_50!$P22</f>
        <v>2.7617326611304761E-2</v>
      </c>
      <c r="O31" s="8">
        <f>FTTH_Hybridpon_100!$P22</f>
        <v>3.1797236060419662E-2</v>
      </c>
      <c r="P31" s="8">
        <f>FTTC_Hybridpon_100!$N21</f>
        <v>4.3714698366482133E-2</v>
      </c>
      <c r="Q31" s="8">
        <f>FTTB_Hybridpon_100!$M23</f>
        <v>3.4187279560522171E-2</v>
      </c>
    </row>
    <row r="32" spans="4:17" x14ac:dyDescent="0.35">
      <c r="D32" s="8" t="s">
        <v>94</v>
      </c>
      <c r="E32" s="8">
        <f>FTTC_GPON_25!$I30</f>
        <v>3.0765100650794092E-2</v>
      </c>
      <c r="F32" s="8">
        <f>FTTB_XGPON_50!$N30</f>
        <v>3.618164873880305E-2</v>
      </c>
      <c r="G32" s="8">
        <f>FTTB_DWDM_50!$N38</f>
        <v>3.638445587970747E-2</v>
      </c>
      <c r="H32" s="8">
        <f>FTTH_DWDM_100!$N25</f>
        <v>2.8880691117216868E-2</v>
      </c>
      <c r="I32" s="8">
        <f>FTTH_XGPON_100!$M40</f>
        <v>2.813874874772743E-2</v>
      </c>
      <c r="J32" s="8">
        <f>FTTC_GPON_100!$P28</f>
        <v>4.2182682434152435E-2</v>
      </c>
      <c r="K32" s="12">
        <f>FTTB_XGPON_100!$M36</f>
        <v>4.3466014891531686E-2</v>
      </c>
      <c r="L32" s="12">
        <f>FTTB_DWDM_100!$M37</f>
        <v>5.1211434696056331E-2</v>
      </c>
      <c r="M32" s="12">
        <f>FTTC_Hybridpon_25!P25</f>
        <v>5.1963932199576256E-2</v>
      </c>
      <c r="N32" s="8">
        <f>FTTB_Hybridpon_50!$P23</f>
        <v>3.8664257255826666E-2</v>
      </c>
      <c r="O32" s="8">
        <f>FTTH_Hybridpon_100!$P23</f>
        <v>4.4516130484587524E-2</v>
      </c>
      <c r="P32" s="8">
        <f>FTTC_Hybridpon_100!$N22</f>
        <v>6.1200577713074987E-2</v>
      </c>
      <c r="Q32" s="8">
        <f>FTTB_Hybridpon_100!$M24</f>
        <v>4.7862191384731051E-2</v>
      </c>
    </row>
    <row r="33" spans="4:17" x14ac:dyDescent="0.35">
      <c r="D33" s="22"/>
      <c r="E33" s="22">
        <f>SUM(Table22[FTTC_GPON_25])</f>
        <v>0.49224161041270542</v>
      </c>
      <c r="F33" s="22">
        <f>SUBTOTAL(109,Table22[FTTB_XGPON_50])</f>
        <v>0.5789063798208488</v>
      </c>
      <c r="G33" s="22">
        <f>SUBTOTAL(109,Table22[FTTB_DWDM_50])</f>
        <v>0.58215129407531951</v>
      </c>
      <c r="H33" s="22">
        <f>SUBTOTAL(109,Table22[FTTH_DWDM_100])</f>
        <v>0.46209105787546995</v>
      </c>
      <c r="I33" s="22">
        <f>SUBTOTAL(109,Table22[FTTH_XGPON_100])</f>
        <v>0.45021997996363888</v>
      </c>
      <c r="J33" s="22">
        <f>SUBTOTAL(109,Table22[FTTC_GPON_100])</f>
        <v>0.67492291894643885</v>
      </c>
      <c r="K33" s="26">
        <f>SUBTOTAL(109,Table22[FTTB_XGPON_100])</f>
        <v>0.69545623826450687</v>
      </c>
      <c r="L33" s="26">
        <f>SUBTOTAL(109,Table22[FTTB_DWDM_100])</f>
        <v>0.81938295513690118</v>
      </c>
      <c r="M33" s="26">
        <f>SUBTOTAL(109,Table22[FTTC_Hybridpon_25])</f>
        <v>0.83142291519321987</v>
      </c>
      <c r="N33" s="22">
        <f>SUBTOTAL(109,Table22[FTTB_Hybridpon_50])</f>
        <v>0.61862811609322665</v>
      </c>
      <c r="O33" s="22">
        <f>SUBTOTAL(109,Table22[FTTH_Hybridpon_100])</f>
        <v>0.71225808775340016</v>
      </c>
      <c r="P33" s="22">
        <f>SUM(Table22[FTTC_Hybridpon_100])</f>
        <v>0.97920924340919968</v>
      </c>
      <c r="Q33" s="22">
        <f>SUBTOTAL(109,Table22[FTTB_Hybridpon_100])</f>
        <v>0.7657950621556967</v>
      </c>
    </row>
    <row r="40" spans="4:17" ht="15" thickBot="1" x14ac:dyDescent="0.4">
      <c r="J40" t="s">
        <v>124</v>
      </c>
      <c r="N40" t="s">
        <v>125</v>
      </c>
    </row>
    <row r="41" spans="4:17" ht="15.5" thickTop="1" thickBot="1" x14ac:dyDescent="0.4">
      <c r="J41" s="11">
        <f>SUM(Table22[FTTC_GPON_25])</f>
        <v>0.49224161041270542</v>
      </c>
      <c r="K41">
        <f>J41*5000/29262</f>
        <v>8.4109358624274738E-2</v>
      </c>
      <c r="N41" s="11">
        <f>SUM(Table2225[FTTC_GPON_25])</f>
        <v>0.58274875704569928</v>
      </c>
    </row>
    <row r="42" spans="4:17" ht="15.5" thickTop="1" thickBot="1" x14ac:dyDescent="0.4">
      <c r="J42" s="11">
        <f>SUBTOTAL(109,Table22[FTTB_XGPON_50])</f>
        <v>0.5789063798208488</v>
      </c>
      <c r="K42" s="8">
        <f t="shared" ref="K42:K53" si="0">J42*5000/29262</f>
        <v>9.891777387411127E-2</v>
      </c>
      <c r="N42" s="11">
        <f>SUBTOTAL(109,Table2225[FTTB_XGPON_50])</f>
        <v>0.74719496984284595</v>
      </c>
    </row>
    <row r="43" spans="4:17" ht="15.5" thickTop="1" thickBot="1" x14ac:dyDescent="0.4">
      <c r="J43" s="11">
        <f>SUBTOTAL(109,Table22[FTTB_DWDM_50])</f>
        <v>0.58215129407531951</v>
      </c>
      <c r="K43" s="8">
        <f t="shared" si="0"/>
        <v>9.9472232601209673E-2</v>
      </c>
      <c r="N43" s="11">
        <f>SUBTOTAL(109,Table2225[FTTB_UDWDM_50])</f>
        <v>0.78430357763805614</v>
      </c>
    </row>
    <row r="44" spans="4:17" ht="15.5" thickTop="1" thickBot="1" x14ac:dyDescent="0.4">
      <c r="J44" s="11">
        <f>SUBTOTAL(109,Table22[FTTH_DWDM_100])</f>
        <v>0.46209105787546995</v>
      </c>
      <c r="K44" s="8">
        <f t="shared" si="0"/>
        <v>7.8957531589684563E-2</v>
      </c>
      <c r="N44" s="11">
        <f>SUBTOTAL(109,Table2225[FTTH_UDWDM_100])</f>
        <v>0.60899196497775476</v>
      </c>
    </row>
    <row r="45" spans="4:17" ht="15.5" thickTop="1" thickBot="1" x14ac:dyDescent="0.4">
      <c r="J45" s="11">
        <f>SUBTOTAL(109,Table22[FTTH_XGPON_100])</f>
        <v>0.45021997996363888</v>
      </c>
      <c r="K45" s="8">
        <f t="shared" si="0"/>
        <v>7.6929119671184279E-2</v>
      </c>
      <c r="N45" s="11">
        <f>SUBTOTAL(109,Table2225[FTTH_XGPON_100])</f>
        <v>0.59626735837978484</v>
      </c>
    </row>
    <row r="46" spans="4:17" ht="15" thickTop="1" x14ac:dyDescent="0.35">
      <c r="J46" s="11">
        <f>SUBTOTAL(109,Table22[FTTC_GPON_100])</f>
        <v>0.67492291894643885</v>
      </c>
      <c r="K46" s="8">
        <f t="shared" si="0"/>
        <v>0.1153241266739182</v>
      </c>
      <c r="N46" s="11">
        <f>SUBTOTAL(109,Table2225[FTTC_GPON_100])</f>
        <v>0.86498453112013485</v>
      </c>
    </row>
    <row r="47" spans="4:17" x14ac:dyDescent="0.35">
      <c r="J47" s="25">
        <f>SUBTOTAL(109,Table22[FTTB_XGPON_100])</f>
        <v>0.69545623826450687</v>
      </c>
      <c r="K47" s="8">
        <f t="shared" si="0"/>
        <v>0.11883265639131071</v>
      </c>
      <c r="N47" s="25">
        <f>SUBTOTAL(109,Table2225[FTTB_XGPON_100])</f>
        <v>0.89015054117514292</v>
      </c>
    </row>
    <row r="48" spans="4:17" ht="15" thickBot="1" x14ac:dyDescent="0.4">
      <c r="J48" s="25">
        <f>SUBTOTAL(109,Table22[FTTB_DWDM_100])</f>
        <v>0.81938295513690118</v>
      </c>
      <c r="K48" s="8">
        <f t="shared" si="0"/>
        <v>0.14000802322754788</v>
      </c>
      <c r="N48" s="25">
        <f>SUBTOTAL(109,Table2225[FTTB_UDWDM_100])</f>
        <v>0.9968552650040271</v>
      </c>
    </row>
    <row r="49" spans="10:14" ht="15.5" thickTop="1" thickBot="1" x14ac:dyDescent="0.4">
      <c r="J49" s="25">
        <f>SUBTOTAL(109,Table22[FTTC_Hybridpon_25])</f>
        <v>0.83142291519321987</v>
      </c>
      <c r="K49" s="8">
        <f t="shared" si="0"/>
        <v>0.14206529204996582</v>
      </c>
      <c r="M49" s="11"/>
      <c r="N49" s="25">
        <f>SUBTOTAL(109,Table2225[FTTC_Hybridpon_25])</f>
        <v>0.83142291519321987</v>
      </c>
    </row>
    <row r="50" spans="10:14" ht="15.5" thickTop="1" thickBot="1" x14ac:dyDescent="0.4">
      <c r="J50" s="11">
        <f>SUBTOTAL(109,Table22[FTTB_Hybridpon_50])</f>
        <v>0.61862811609322665</v>
      </c>
      <c r="K50" s="8">
        <f t="shared" si="0"/>
        <v>0.10570502974732189</v>
      </c>
      <c r="M50" s="11"/>
      <c r="N50" s="11">
        <f>SUBTOTAL(109,Table2225[FTTB_Hybridpon_50])</f>
        <v>0.61862811609322665</v>
      </c>
    </row>
    <row r="51" spans="10:14" ht="15.5" thickTop="1" thickBot="1" x14ac:dyDescent="0.4">
      <c r="J51" s="11">
        <f>SUBTOTAL(109,Table22[FTTH_Hybridpon_100])</f>
        <v>0.71225808775340016</v>
      </c>
      <c r="K51" s="8">
        <f t="shared" si="0"/>
        <v>0.12170358959630241</v>
      </c>
      <c r="M51" s="11"/>
      <c r="N51" s="11">
        <f>SUBTOTAL(109,Table2225[FTTH_Hybridpon_100])</f>
        <v>0.71225808775340016</v>
      </c>
    </row>
    <row r="52" spans="10:14" ht="15.5" thickTop="1" thickBot="1" x14ac:dyDescent="0.4">
      <c r="J52" s="11">
        <f>SUBTOTAL(109,Table22[FTTC_Hybridpon_100])</f>
        <v>0.97920924340919968</v>
      </c>
      <c r="K52" s="8">
        <f t="shared" si="0"/>
        <v>0.16731755235616153</v>
      </c>
      <c r="M52" s="11"/>
      <c r="N52" s="11">
        <f>SUBTOTAL(109,Table2225[FTTC_Hybridpon_100])</f>
        <v>0.97920924340919968</v>
      </c>
    </row>
    <row r="53" spans="10:14" ht="15.5" thickTop="1" thickBot="1" x14ac:dyDescent="0.4">
      <c r="J53" s="14">
        <f>SUBTOTAL(109,Table22[FTTB_Hybridpon_100])</f>
        <v>0.7657950621556967</v>
      </c>
      <c r="K53" s="8">
        <f t="shared" si="0"/>
        <v>0.13085145618134383</v>
      </c>
      <c r="M53" s="11"/>
      <c r="N53" s="14">
        <f>SUBTOTAL(109,Table2225[FTTB_Hybridpon_100])</f>
        <v>0.7657950621556967</v>
      </c>
    </row>
    <row r="54" spans="10:14" ht="15" thickTop="1" x14ac:dyDescent="0.35">
      <c r="M54" s="11"/>
    </row>
    <row r="55" spans="10:14" x14ac:dyDescent="0.35">
      <c r="M55" s="25"/>
    </row>
    <row r="56" spans="10:14" x14ac:dyDescent="0.35">
      <c r="M56" s="25"/>
    </row>
    <row r="57" spans="10:14" ht="15" thickBot="1" x14ac:dyDescent="0.4">
      <c r="M57" s="25"/>
    </row>
    <row r="58" spans="10:14" ht="15.5" thickTop="1" thickBot="1" x14ac:dyDescent="0.4">
      <c r="M58" s="11"/>
    </row>
    <row r="59" spans="10:14" ht="15.5" thickTop="1" thickBot="1" x14ac:dyDescent="0.4">
      <c r="M59" s="11"/>
    </row>
    <row r="60" spans="10:14" ht="15.5" thickTop="1" thickBot="1" x14ac:dyDescent="0.4">
      <c r="M60" s="11"/>
    </row>
    <row r="61" spans="10:14" ht="15" thickTop="1" x14ac:dyDescent="0.35">
      <c r="M61" s="14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3"/>
  <sheetViews>
    <sheetView workbookViewId="0">
      <selection activeCell="E25" sqref="E25"/>
    </sheetView>
  </sheetViews>
  <sheetFormatPr defaultRowHeight="14.5" x14ac:dyDescent="0.35"/>
  <cols>
    <col min="1" max="1" width="23.26953125" customWidth="1"/>
    <col min="2" max="3" width="21.26953125" customWidth="1"/>
    <col min="4" max="4" width="13" customWidth="1"/>
    <col min="5" max="5" width="21" customWidth="1"/>
    <col min="6" max="7" width="18" style="1" customWidth="1"/>
    <col min="8" max="8" width="33.81640625" style="1" customWidth="1"/>
    <col min="9" max="9" width="20.7265625" customWidth="1"/>
    <col min="10" max="10" width="21" customWidth="1"/>
    <col min="11" max="11" width="20" customWidth="1"/>
    <col min="12" max="12" width="17.1796875" customWidth="1"/>
    <col min="13" max="13" width="20.81640625" customWidth="1"/>
    <col min="14" max="14" width="24.1796875" customWidth="1"/>
    <col min="15" max="15" width="26.453125" customWidth="1"/>
    <col min="16" max="16" width="21.1796875" customWidth="1"/>
    <col min="17" max="17" width="14.81640625" customWidth="1"/>
    <col min="18" max="18" width="23.54296875" customWidth="1"/>
    <col min="19" max="19" width="19.7265625" customWidth="1"/>
    <col min="20" max="20" width="11.453125" customWidth="1"/>
    <col min="21" max="21" width="15" customWidth="1"/>
    <col min="22" max="23" width="16.7265625" customWidth="1"/>
    <col min="24" max="24" width="18.54296875" customWidth="1"/>
    <col min="25" max="25" width="18.7265625" customWidth="1"/>
    <col min="26" max="26" width="14.453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s="1" t="s">
        <v>34</v>
      </c>
      <c r="G1" s="1" t="s">
        <v>36</v>
      </c>
      <c r="H1" s="2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109</v>
      </c>
      <c r="Y1" t="s">
        <v>113</v>
      </c>
      <c r="Z1" t="s">
        <v>114</v>
      </c>
      <c r="AA1" t="s">
        <v>32</v>
      </c>
      <c r="AB1" t="s">
        <v>33</v>
      </c>
    </row>
    <row r="2" spans="1:28" x14ac:dyDescent="0.3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 s="8">
        <f t="shared" ref="N2:N10" si="0">0.15/50</f>
        <v>3.0000000000000001E-3</v>
      </c>
      <c r="O2" s="2">
        <f>Table2[[#This Row],[Yearly Energy Consumption in kWh]]*Table2[[#This Row],[CU/kWh]]</f>
        <v>1.5768000000000002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v>5</v>
      </c>
      <c r="W2" s="2">
        <f>Table2[[#This Row],[Cost per hour]]*Table2[[#This Row],[Total Time to Repair(h)]]*Table2[[#This Row],[Failures per year]]</f>
        <v>0.89702400000000004</v>
      </c>
      <c r="X2">
        <v>100</v>
      </c>
      <c r="Y2">
        <v>7.0000000000000007E-2</v>
      </c>
      <c r="Z2">
        <f>0.07+2*0.00027</f>
        <v>7.0540000000000005E-2</v>
      </c>
      <c r="AA2">
        <f>Table2[[#This Row],[Percentage of Business Users]]*Table2[[#This Row],[SLA CU per hour]]*Table2[[#This Row],[Failures per year]]*Table2[[#This Row],[Total Time to Repair(h)]]</f>
        <v>1.2558336000000001</v>
      </c>
      <c r="AB2">
        <f>Table2[[#This Row],[Percentage of ITS and business users]]*Table2[[#This Row],[SLA CU per hour]]*Table2[[#This Row],[Failures per year]]*Table2[[#This Row],[Total Time to Repair(h)]]</f>
        <v>1.2655214592000001</v>
      </c>
    </row>
    <row r="3" spans="1:28" x14ac:dyDescent="0.3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8">
        <f t="shared" ref="G3:G9" si="1">530/50</f>
        <v>10.6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256</v>
      </c>
      <c r="L3">
        <f>1.2*Table2[[#This Row],[Quantity]]</f>
        <v>374.4</v>
      </c>
      <c r="M3" s="1">
        <f>Table2[[#This Row],[Energy consumption in W]]*24*365/1000</f>
        <v>3279.7439999999997</v>
      </c>
      <c r="N3" s="8">
        <f t="shared" si="0"/>
        <v>3.0000000000000001E-3</v>
      </c>
      <c r="O3" s="2">
        <f>Table2[[#This Row],[Yearly Energy Consumption in kWh]]*Table2[[#This Row],[CU/kWh]]</f>
        <v>9.8392319999999991</v>
      </c>
      <c r="P3">
        <v>0</v>
      </c>
      <c r="Q3">
        <v>20</v>
      </c>
      <c r="R3" s="8">
        <f>Table2[[#This Row],[Quantity]]*(Table2[[#This Row],[FIT]]*24*365)/1000000000</f>
        <v>0.69967871999999998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8">
        <f t="shared" ref="V3:V10" si="2">250/50</f>
        <v>5</v>
      </c>
      <c r="W3" s="2">
        <f>Table2[[#This Row],[Cost per hour]]*Table2[[#This Row],[Total Time to Repair(h)]]*Table2[[#This Row],[Failures per year]]</f>
        <v>0</v>
      </c>
      <c r="X3" s="8">
        <v>100</v>
      </c>
      <c r="Y3" s="8">
        <v>7.0000000000000007E-2</v>
      </c>
      <c r="Z3" s="8">
        <f t="shared" ref="Z3:Z10" si="3">0.07+2*0.00027</f>
        <v>7.0540000000000005E-2</v>
      </c>
      <c r="AA3" s="8">
        <f>Table2[[#This Row],[Percentage of Business Users]]*Table2[[#This Row],[SLA CU per hour]]*Table2[[#This Row],[Failures per year]]*Table2[[#This Row],[Total Time to Repair(h)]]</f>
        <v>0</v>
      </c>
      <c r="AB3" s="8">
        <f>Table2[[#This Row],[Percentage of ITS and business users]]*Table2[[#This Row],[SLA CU per hour]]*Table2[[#This Row],[Failures per year]]*Table2[[#This Row],[Total Time to Repair(h)]]</f>
        <v>0</v>
      </c>
    </row>
    <row r="4" spans="1:28" x14ac:dyDescent="0.3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8">
        <f t="shared" si="1"/>
        <v>10.6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8">
        <f t="shared" si="0"/>
        <v>3.0000000000000001E-3</v>
      </c>
      <c r="O4" s="2">
        <f>Table2[[#This Row],[Yearly Energy Consumption in kWh]]*Table2[[#This Row],[CU/kWh]]</f>
        <v>2.1023999999999998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8">
        <f t="shared" si="2"/>
        <v>5</v>
      </c>
      <c r="W4" s="2">
        <f>Table2[[#This Row],[Cost per hour]]*Table2[[#This Row],[Total Time to Repair(h)]]*Table2[[#This Row],[Failures per year]]</f>
        <v>0</v>
      </c>
      <c r="X4" s="8">
        <v>100</v>
      </c>
      <c r="Y4" s="8">
        <v>7.0000000000000007E-2</v>
      </c>
      <c r="Z4" s="8">
        <f t="shared" si="3"/>
        <v>7.0540000000000005E-2</v>
      </c>
      <c r="AA4" s="8">
        <f>Table2[[#This Row],[Percentage of Business Users]]*Table2[[#This Row],[SLA CU per hour]]*Table2[[#This Row],[Failures per year]]*Table2[[#This Row],[Total Time to Repair(h)]]</f>
        <v>0</v>
      </c>
      <c r="AB4" s="8">
        <f>Table2[[#This Row],[Percentage of ITS and business users]]*Table2[[#This Row],[SLA CU per hour]]*Table2[[#This Row],[Failures per year]]*Table2[[#This Row],[Total Time to Repair(h)]]</f>
        <v>0</v>
      </c>
    </row>
    <row r="5" spans="1:28" x14ac:dyDescent="0.3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8">
        <f t="shared" si="1"/>
        <v>10.6</v>
      </c>
      <c r="H5" s="2">
        <f>Table2[[#This Row],[Rent per sqm per year]]*Table2[[#This Row],[Total Floor Space]]</f>
        <v>212</v>
      </c>
      <c r="I5">
        <v>24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8">
        <f t="shared" si="0"/>
        <v>3.0000000000000001E-3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8">
        <f t="shared" si="2"/>
        <v>5</v>
      </c>
      <c r="W5" s="2">
        <f>Table2[[#This Row],[Cost per hour]]*Table2[[#This Row],[Total Time to Repair(h)]]*Table2[[#This Row],[Failures per year]]</f>
        <v>0</v>
      </c>
      <c r="X5" s="8">
        <v>100</v>
      </c>
      <c r="Y5" s="8">
        <v>7.0000000000000007E-2</v>
      </c>
      <c r="Z5" s="8">
        <f t="shared" si="3"/>
        <v>7.0540000000000005E-2</v>
      </c>
      <c r="AA5" s="8">
        <f>Table2[[#This Row],[Percentage of Business Users]]*Table2[[#This Row],[SLA CU per hour]]*Table2[[#This Row],[Failures per year]]*Table2[[#This Row],[Total Time to Repair(h)]]</f>
        <v>0</v>
      </c>
      <c r="AB5" s="8">
        <f>Table2[[#This Row],[Percentage of ITS and business users]]*Table2[[#This Row],[SLA CU per hour]]*Table2[[#This Row],[Failures per year]]*Table2[[#This Row],[Total Time to Repair(h)]]</f>
        <v>0</v>
      </c>
    </row>
    <row r="6" spans="1:28" x14ac:dyDescent="0.3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8">
        <f t="shared" si="1"/>
        <v>10.6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8">
        <f t="shared" si="0"/>
        <v>3.0000000000000001E-3</v>
      </c>
      <c r="O6" s="2">
        <f>Table2[[#This Row],[Yearly Energy Consumption in kWh]]*Table2[[#This Row],[CU/kWh]]</f>
        <v>0</v>
      </c>
      <c r="P6">
        <v>2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0.2</v>
      </c>
      <c r="T6" s="1">
        <f>Table2[[#This Row],[MTTR]]+Table2[[#This Row],[Twice Travel Time]]</f>
        <v>6.2</v>
      </c>
      <c r="U6">
        <v>1</v>
      </c>
      <c r="V6" s="8">
        <f t="shared" si="2"/>
        <v>5</v>
      </c>
      <c r="W6" s="2">
        <f>Table2[[#This Row],[Cost per hour]]*Table2[[#This Row],[Total Time to Repair(h)]]*Table2[[#This Row],[Failures per year]]</f>
        <v>10.1672064</v>
      </c>
      <c r="X6" s="8">
        <v>100</v>
      </c>
      <c r="Y6" s="8">
        <v>7.0000000000000007E-2</v>
      </c>
      <c r="Z6" s="8">
        <f t="shared" si="3"/>
        <v>7.0540000000000005E-2</v>
      </c>
      <c r="AA6" s="8">
        <f>Table2[[#This Row],[Percentage of Business Users]]*Table2[[#This Row],[SLA CU per hour]]*Table2[[#This Row],[Failures per year]]*Table2[[#This Row],[Total Time to Repair(h)]]</f>
        <v>14.234088960000003</v>
      </c>
      <c r="AB6" s="8">
        <f>Table2[[#This Row],[Percentage of ITS and business users]]*Table2[[#This Row],[SLA CU per hour]]*Table2[[#This Row],[Failures per year]]*Table2[[#This Row],[Total Time to Repair(h)]]</f>
        <v>14.343894789120002</v>
      </c>
    </row>
    <row r="7" spans="1:28" x14ac:dyDescent="0.3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8">
        <f t="shared" si="1"/>
        <v>10.6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256</v>
      </c>
      <c r="L7">
        <f>1.2*Table2[[#This Row],[Quantity]]</f>
        <v>374.4</v>
      </c>
      <c r="M7" s="1">
        <f>Table2[[#This Row],[Energy consumption in W]]*24*365/1000</f>
        <v>3279.7439999999997</v>
      </c>
      <c r="N7" s="8">
        <f t="shared" si="0"/>
        <v>3.0000000000000001E-3</v>
      </c>
      <c r="O7" s="2">
        <f>Table2[[#This Row],[Yearly Energy Consumption in kWh]]*Table2[[#This Row],[CU/kWh]]</f>
        <v>9.8392319999999991</v>
      </c>
      <c r="P7">
        <v>4</v>
      </c>
      <c r="Q7">
        <v>20</v>
      </c>
      <c r="R7" s="8">
        <f>Table2[[#This Row],[Quantity]]*(Table2[[#This Row],[FIT]]*24*365)/1000000000</f>
        <v>0.69967871999999998</v>
      </c>
      <c r="S7" s="1">
        <f>2*Table2[[#This Row],[Mean dist in km from CO]]/Table2[[#This Row],[Avg Travel Speed]]</f>
        <v>0.4</v>
      </c>
      <c r="T7" s="1">
        <f>Table2[[#This Row],[MTTR]]+Table2[[#This Row],[Twice Travel Time]]</f>
        <v>0.4</v>
      </c>
      <c r="U7">
        <v>1</v>
      </c>
      <c r="V7" s="8">
        <f t="shared" si="2"/>
        <v>5</v>
      </c>
      <c r="W7" s="2">
        <f>Table2[[#This Row],[Cost per hour]]*Table2[[#This Row],[Total Time to Repair(h)]]*Table2[[#This Row],[Failures per year]]</f>
        <v>1.39935744</v>
      </c>
      <c r="X7" s="8">
        <v>100</v>
      </c>
      <c r="Y7" s="8">
        <v>7.0000000000000007E-2</v>
      </c>
      <c r="Z7" s="8">
        <f t="shared" si="3"/>
        <v>7.0540000000000005E-2</v>
      </c>
      <c r="AA7" s="8">
        <f>Table2[[#This Row],[Percentage of Business Users]]*Table2[[#This Row],[SLA CU per hour]]*Table2[[#This Row],[Failures per year]]*Table2[[#This Row],[Total Time to Repair(h)]]</f>
        <v>1.9591004160000001</v>
      </c>
      <c r="AB7" s="8">
        <f>Table2[[#This Row],[Percentage of ITS and business users]]*Table2[[#This Row],[SLA CU per hour]]*Table2[[#This Row],[Failures per year]]*Table2[[#This Row],[Total Time to Repair(h)]]</f>
        <v>1.9742134763520001</v>
      </c>
    </row>
    <row r="8" spans="1:28" x14ac:dyDescent="0.3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8">
        <f t="shared" si="1"/>
        <v>10.6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8">
        <f t="shared" si="0"/>
        <v>3.0000000000000001E-3</v>
      </c>
      <c r="O8" s="2">
        <f>Table2[[#This Row],[Yearly Energy Consumption in kWh]]*Table2[[#This Row],[CU/kWh]]</f>
        <v>261.53856000000002</v>
      </c>
      <c r="P8">
        <v>4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0.4</v>
      </c>
      <c r="T8" s="1">
        <f>Table2[[#This Row],[MTTR]]+Table2[[#This Row],[Twice Travel Time]]</f>
        <v>6.4</v>
      </c>
      <c r="U8">
        <v>1</v>
      </c>
      <c r="V8" s="8">
        <f t="shared" si="2"/>
        <v>5</v>
      </c>
      <c r="W8" s="2">
        <f>Table2[[#This Row],[Cost per hour]]*Table2[[#This Row],[Total Time to Repair(h)]]*Table2[[#This Row],[Failures per year]]</f>
        <v>178.54365695999999</v>
      </c>
      <c r="X8" s="8">
        <v>100</v>
      </c>
      <c r="Y8" s="8">
        <v>7.0000000000000007E-2</v>
      </c>
      <c r="Z8" s="8">
        <f t="shared" si="3"/>
        <v>7.0540000000000005E-2</v>
      </c>
      <c r="AA8" s="8">
        <f>Table2[[#This Row],[Percentage of Business Users]]*Table2[[#This Row],[SLA CU per hour]]*Table2[[#This Row],[Failures per year]]*Table2[[#This Row],[Total Time to Repair(h)]]</f>
        <v>249.96111974400003</v>
      </c>
      <c r="AB8" s="8">
        <f>Table2[[#This Row],[Percentage of ITS and business users]]*Table2[[#This Row],[SLA CU per hour]]*Table2[[#This Row],[Failures per year]]*Table2[[#This Row],[Total Time to Repair(h)]]</f>
        <v>251.88939123916799</v>
      </c>
    </row>
    <row r="9" spans="1:28" x14ac:dyDescent="0.35">
      <c r="A9" t="s">
        <v>10</v>
      </c>
      <c r="B9" t="s">
        <v>12</v>
      </c>
      <c r="C9">
        <f>24+25</f>
        <v>49</v>
      </c>
      <c r="D9">
        <v>1244</v>
      </c>
      <c r="E9">
        <v>0.5</v>
      </c>
      <c r="F9" s="1">
        <f>Table2[[#This Row],[Floor Space per component]]*Table2[[#This Row],[Quantity]]</f>
        <v>622</v>
      </c>
      <c r="G9" s="8">
        <f t="shared" si="1"/>
        <v>10.6</v>
      </c>
      <c r="H9" s="2">
        <f>Table2[[#This Row],[Rent per sqm per year]]*Table2[[#This Row],[Total Floor Space]]</f>
        <v>6593.2</v>
      </c>
      <c r="I9">
        <v>207.83333333333331</v>
      </c>
      <c r="J9">
        <v>24</v>
      </c>
      <c r="K9">
        <v>512</v>
      </c>
      <c r="L9">
        <f>50*Table2[[#This Row],[Quantity]]</f>
        <v>62200</v>
      </c>
      <c r="M9" s="1">
        <f>Table2[[#This Row],[Energy consumption in W]]*24*365/1000</f>
        <v>544872</v>
      </c>
      <c r="N9" s="8">
        <f t="shared" si="0"/>
        <v>3.0000000000000001E-3</v>
      </c>
      <c r="O9" s="2">
        <f>Table2[[#This Row],[Yearly Energy Consumption in kWh]]*Table2[[#This Row],[CU/kWh]]</f>
        <v>1634.616</v>
      </c>
      <c r="P9">
        <v>4</v>
      </c>
      <c r="Q9">
        <v>20</v>
      </c>
      <c r="R9" s="8">
        <f>Table2[[#This Row],[Quantity]]*(Table2[[#This Row],[FIT]]*24*365)/1000000000</f>
        <v>5.5794892799999998</v>
      </c>
      <c r="S9" s="1">
        <f>2*Table2[[#This Row],[Mean dist in km from CO]]/Table2[[#This Row],[Avg Travel Speed]]</f>
        <v>0.4</v>
      </c>
      <c r="T9" s="1">
        <f>Table2[[#This Row],[MTTR]]+Table2[[#This Row],[Twice Travel Time]]</f>
        <v>24.4</v>
      </c>
      <c r="U9">
        <v>1</v>
      </c>
      <c r="V9" s="8">
        <f t="shared" si="2"/>
        <v>5</v>
      </c>
      <c r="W9" s="2">
        <f>Table2[[#This Row],[Cost per hour]]*Table2[[#This Row],[Total Time to Repair(h)]]*Table2[[#This Row],[Failures per year]]</f>
        <v>680.69769215999997</v>
      </c>
      <c r="X9" s="8">
        <v>100</v>
      </c>
      <c r="Y9" s="8">
        <v>7.0000000000000007E-2</v>
      </c>
      <c r="Z9" s="8">
        <f t="shared" si="3"/>
        <v>7.0540000000000005E-2</v>
      </c>
      <c r="AA9" s="8">
        <f>Table2[[#This Row],[Percentage of Business Users]]*Table2[[#This Row],[SLA CU per hour]]*Table2[[#This Row],[Failures per year]]*Table2[[#This Row],[Total Time to Repair(h)]]</f>
        <v>952.97676902399996</v>
      </c>
      <c r="AB9" s="8">
        <f>Table2[[#This Row],[Percentage of ITS and business users]]*Table2[[#This Row],[SLA CU per hour]]*Table2[[#This Row],[Failures per year]]*Table2[[#This Row],[Total Time to Repair(h)]]</f>
        <v>960.32830409932785</v>
      </c>
    </row>
    <row r="10" spans="1:28" x14ac:dyDescent="0.3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8">
        <f t="shared" si="0"/>
        <v>3.0000000000000001E-3</v>
      </c>
      <c r="O10" s="2">
        <f>Table2[[#This Row],[Yearly Energy Consumption in kWh]]*Table2[[#This Row],[CU/kWh]]</f>
        <v>0</v>
      </c>
      <c r="P10">
        <v>6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0.6</v>
      </c>
      <c r="T10" s="1">
        <f>Table2[[#This Row],[MTTR]]+Table2[[#This Row],[Twice Travel Time]]</f>
        <v>0.6</v>
      </c>
      <c r="U10">
        <v>1</v>
      </c>
      <c r="V10" s="8">
        <f t="shared" si="2"/>
        <v>5</v>
      </c>
      <c r="W10" s="2">
        <f>Table2[[#This Row],[Cost per hour]]*Table2[[#This Row],[Total Time to Repair(h)]]*Table2[[#This Row],[Failures per year]]</f>
        <v>0</v>
      </c>
      <c r="X10" s="8">
        <v>100</v>
      </c>
      <c r="Y10" s="8">
        <v>7.0000000000000007E-2</v>
      </c>
      <c r="Z10" s="8">
        <f t="shared" si="3"/>
        <v>7.0540000000000005E-2</v>
      </c>
      <c r="AA10" s="8">
        <f>Table2[[#This Row],[Percentage of Business Users]]*Table2[[#This Row],[SLA CU per hour]]*Table2[[#This Row],[Failures per year]]*Table2[[#This Row],[Total Time to Repair(h)]]</f>
        <v>0</v>
      </c>
      <c r="AB10" s="8">
        <f>Table2[[#This Row],[Percentage of ITS and business users]]*Table2[[#This Row],[SLA CU per hour]]*Table2[[#This Row],[Failures per year]]*Table2[[#This Row],[Total Time to Repair(h)]]</f>
        <v>0</v>
      </c>
    </row>
    <row r="11" spans="1:28" x14ac:dyDescent="0.35">
      <c r="H11" s="33">
        <f>SUM(Table2[Total Rent cost per year])</f>
        <v>8925.2000000000007</v>
      </c>
      <c r="O11" s="33">
        <f>SUM(Table2[Energy Cost per year in CU])</f>
        <v>1919.5122240000001</v>
      </c>
      <c r="W11" s="33">
        <f>SUM(Table2[FM Cost])+L20</f>
        <v>2015.9788509076654</v>
      </c>
      <c r="AA11">
        <f>SUBTOTAL(109,Table2[FM Penalty Business])</f>
        <v>1220.3869117439999</v>
      </c>
      <c r="AB11">
        <f>SUBTOTAL(109,Table2[FM Penalty ITS])</f>
        <v>1229.801325063168</v>
      </c>
    </row>
    <row r="14" spans="1:28" x14ac:dyDescent="0.35">
      <c r="A14" t="s">
        <v>39</v>
      </c>
      <c r="B14" t="s">
        <v>17</v>
      </c>
      <c r="C14" t="s">
        <v>16</v>
      </c>
      <c r="D14" t="s">
        <v>40</v>
      </c>
      <c r="E14" t="s">
        <v>30</v>
      </c>
      <c r="F14" s="1" t="s">
        <v>44</v>
      </c>
      <c r="G14" s="1" t="s">
        <v>45</v>
      </c>
      <c r="H14" s="1" t="s">
        <v>47</v>
      </c>
      <c r="I14" t="s">
        <v>46</v>
      </c>
      <c r="J14" t="s">
        <v>48</v>
      </c>
      <c r="K14" t="s">
        <v>49</v>
      </c>
      <c r="L14" t="s">
        <v>50</v>
      </c>
      <c r="M14" t="s">
        <v>109</v>
      </c>
      <c r="N14" t="s">
        <v>115</v>
      </c>
      <c r="O14" t="s">
        <v>116</v>
      </c>
      <c r="P14" t="s">
        <v>117</v>
      </c>
      <c r="Q14" t="s">
        <v>118</v>
      </c>
    </row>
    <row r="15" spans="1:28" x14ac:dyDescent="0.35">
      <c r="A15" t="s">
        <v>41</v>
      </c>
      <c r="B15">
        <f>570*B29/1000</f>
        <v>97502.201320258406</v>
      </c>
      <c r="C15">
        <v>24</v>
      </c>
      <c r="D15">
        <v>2</v>
      </c>
      <c r="E15">
        <v>5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B15*24*365*D15*J15*E15/1000000000</f>
        <v>205.84274733927674</v>
      </c>
      <c r="M15">
        <v>100</v>
      </c>
      <c r="N15">
        <v>7.0000000000000007E-2</v>
      </c>
      <c r="O15">
        <f>0.07+2*0.00027</f>
        <v>7.0540000000000005E-2</v>
      </c>
      <c r="P15">
        <f>N15*M15*J15*B15*24*365/1000000000</f>
        <v>144.08992313749374</v>
      </c>
      <c r="Q15">
        <f>O15*M15*J15*B15*24*365/1000000000</f>
        <v>145.20147397312581</v>
      </c>
    </row>
    <row r="16" spans="1:28" x14ac:dyDescent="0.35">
      <c r="A16" t="s">
        <v>42</v>
      </c>
      <c r="B16">
        <f>570*C29/1000</f>
        <v>48782.100875533812</v>
      </c>
      <c r="C16">
        <v>24</v>
      </c>
      <c r="D16">
        <v>2</v>
      </c>
      <c r="E16">
        <v>5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>B16*24*365*D16*J16*E16/1000000000</f>
        <v>103.41415128806162</v>
      </c>
      <c r="M16">
        <v>100</v>
      </c>
      <c r="N16" s="8">
        <v>7.0000000000000007E-2</v>
      </c>
      <c r="O16" s="8">
        <f t="shared" ref="O16:O17" si="8">0.07+2*0.00027</f>
        <v>7.0540000000000005E-2</v>
      </c>
      <c r="P16" s="8">
        <f t="shared" ref="P16:P17" si="9">N16*M16*J16*B16*24*365/1000000000</f>
        <v>72.389905901643147</v>
      </c>
      <c r="Q16" s="8">
        <f t="shared" ref="Q16:Q17" si="10">O16*M16*J16*B16*24*365/1000000000</f>
        <v>72.948342318598677</v>
      </c>
    </row>
    <row r="17" spans="1:19" x14ac:dyDescent="0.35">
      <c r="A17" t="s">
        <v>43</v>
      </c>
      <c r="B17">
        <f>570*D29/1000</f>
        <v>390662.20119410474</v>
      </c>
      <c r="C17">
        <v>24</v>
      </c>
      <c r="D17">
        <v>2</v>
      </c>
      <c r="E17">
        <v>5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>B17*24*365*D17*J17*E17/1000000000</f>
        <v>835.01701532032712</v>
      </c>
      <c r="M17">
        <v>100</v>
      </c>
      <c r="N17" s="8">
        <v>7.0000000000000007E-2</v>
      </c>
      <c r="O17" s="8">
        <f t="shared" si="8"/>
        <v>7.0540000000000005E-2</v>
      </c>
      <c r="P17" s="8">
        <f t="shared" si="9"/>
        <v>584.5119107242291</v>
      </c>
      <c r="Q17" s="8">
        <f t="shared" si="10"/>
        <v>589.02100260695886</v>
      </c>
    </row>
    <row r="20" spans="1:19" x14ac:dyDescent="0.35">
      <c r="K20" t="s">
        <v>51</v>
      </c>
      <c r="L20">
        <f>SUM(L15:L17)</f>
        <v>1144.2739139476655</v>
      </c>
    </row>
    <row r="24" spans="1:19" x14ac:dyDescent="0.35">
      <c r="E24" t="s">
        <v>133</v>
      </c>
    </row>
    <row r="25" spans="1:19" x14ac:dyDescent="0.35">
      <c r="E25">
        <v>29262</v>
      </c>
      <c r="H25" s="1" t="s">
        <v>89</v>
      </c>
      <c r="I25" t="s">
        <v>110</v>
      </c>
      <c r="J25" t="s">
        <v>111</v>
      </c>
      <c r="K25" t="s">
        <v>112</v>
      </c>
    </row>
    <row r="26" spans="1:19" x14ac:dyDescent="0.35">
      <c r="H26" s="1" t="s">
        <v>134</v>
      </c>
      <c r="I26">
        <f>I39/$E$25</f>
        <v>0.30500991046408316</v>
      </c>
      <c r="J26" s="8">
        <f t="shared" ref="J26:K26" si="11">J39/$E$25</f>
        <v>0.30500991046408316</v>
      </c>
      <c r="K26" s="8">
        <f t="shared" si="11"/>
        <v>0.30500991046408316</v>
      </c>
    </row>
    <row r="27" spans="1:19" x14ac:dyDescent="0.35">
      <c r="H27" s="1" t="s">
        <v>135</v>
      </c>
      <c r="I27" s="8">
        <f t="shared" ref="I27:K30" si="12">I40/$E$25</f>
        <v>6.5597437769120359E-2</v>
      </c>
      <c r="J27" s="8">
        <f t="shared" si="12"/>
        <v>6.5597437769120359E-2</v>
      </c>
      <c r="K27" s="8">
        <f t="shared" si="12"/>
        <v>6.5597437769120359E-2</v>
      </c>
      <c r="Q27" t="s">
        <v>52</v>
      </c>
    </row>
    <row r="28" spans="1:19" x14ac:dyDescent="0.35">
      <c r="H28" s="1" t="s">
        <v>130</v>
      </c>
      <c r="I28" s="8">
        <f t="shared" si="12"/>
        <v>6.8894089635283484E-2</v>
      </c>
      <c r="J28" s="8">
        <f t="shared" si="12"/>
        <v>0.14970404198617082</v>
      </c>
      <c r="K28" s="8">
        <f t="shared" si="12"/>
        <v>0.15002577027949213</v>
      </c>
      <c r="Q28">
        <f>Table2[[#Totals],[Total Rent cost per year]]+Table2[[#Totals],[Energy Cost per year in CU]]+Table2[[#Totals],[FM Cost]]+L20</f>
        <v>14004.964988855332</v>
      </c>
    </row>
    <row r="29" spans="1:19" x14ac:dyDescent="0.35">
      <c r="B29" s="9">
        <v>171056.49354431301</v>
      </c>
      <c r="C29" s="9">
        <v>85582.633114971599</v>
      </c>
      <c r="D29" s="9">
        <v>685372.28279667499</v>
      </c>
      <c r="H29" s="1" t="s">
        <v>93</v>
      </c>
      <c r="I29" s="8">
        <f t="shared" si="12"/>
        <v>2.1975071893424351E-2</v>
      </c>
      <c r="J29" s="8">
        <f t="shared" si="12"/>
        <v>2.6015569510968718E-2</v>
      </c>
      <c r="K29" s="8">
        <f t="shared" si="12"/>
        <v>2.6031655925634781E-2</v>
      </c>
      <c r="S29">
        <v>11727.88547395296</v>
      </c>
    </row>
    <row r="30" spans="1:19" x14ac:dyDescent="0.35">
      <c r="H30" s="1" t="s">
        <v>94</v>
      </c>
      <c r="I30" s="8">
        <f t="shared" si="12"/>
        <v>3.0765100650794092E-2</v>
      </c>
      <c r="J30" s="8">
        <f t="shared" si="12"/>
        <v>3.6421797315356212E-2</v>
      </c>
      <c r="K30" s="8">
        <f t="shared" si="12"/>
        <v>3.6444318295888692E-2</v>
      </c>
    </row>
    <row r="31" spans="1:19" x14ac:dyDescent="0.35">
      <c r="I31" s="27">
        <f>SUM(I26:I30)</f>
        <v>0.49224161041270542</v>
      </c>
      <c r="J31" s="27">
        <f>SUM(J26:J30)</f>
        <v>0.58274875704569928</v>
      </c>
      <c r="K31" s="27">
        <f>SUM(K26:K30)</f>
        <v>0.58310909273421918</v>
      </c>
    </row>
    <row r="38" spans="8:11" x14ac:dyDescent="0.35">
      <c r="H38" s="8" t="s">
        <v>89</v>
      </c>
      <c r="I38" s="8" t="s">
        <v>110</v>
      </c>
      <c r="J38" s="8" t="s">
        <v>111</v>
      </c>
      <c r="K38" s="8" t="s">
        <v>112</v>
      </c>
    </row>
    <row r="39" spans="8:11" x14ac:dyDescent="0.35">
      <c r="H39" s="8" t="s">
        <v>134</v>
      </c>
      <c r="I39" s="8">
        <f>Table2[[#Totals],[Total Rent cost per year]]</f>
        <v>8925.2000000000007</v>
      </c>
      <c r="J39" s="8">
        <f>Table2[[#Totals],[Total Rent cost per year]]</f>
        <v>8925.2000000000007</v>
      </c>
      <c r="K39" s="8">
        <f>Table2[[#Totals],[Total Rent cost per year]]</f>
        <v>8925.2000000000007</v>
      </c>
    </row>
    <row r="40" spans="8:11" x14ac:dyDescent="0.35">
      <c r="H40" s="8" t="s">
        <v>135</v>
      </c>
      <c r="I40" s="8">
        <f>Table2[[#Totals],[Energy Cost per year in CU]]</f>
        <v>1919.5122240000001</v>
      </c>
      <c r="J40" s="8">
        <f>Table2[[#Totals],[Energy Cost per year in CU]]</f>
        <v>1919.5122240000001</v>
      </c>
      <c r="K40" s="8">
        <f>Table2[[#Totals],[Energy Cost per year in CU]]</f>
        <v>1919.5122240000001</v>
      </c>
    </row>
    <row r="41" spans="8:11" x14ac:dyDescent="0.35">
      <c r="H41" s="8" t="s">
        <v>130</v>
      </c>
      <c r="I41" s="8">
        <f>Table2[[#Totals],[FM Cost]]+L33</f>
        <v>2015.9788509076654</v>
      </c>
      <c r="J41" s="8">
        <f>Table2[[#Totals],[FM Cost]]+$L$20+Table2[[#Totals],[FM Penalty Business]]</f>
        <v>4380.6396765993304</v>
      </c>
      <c r="K41" s="8">
        <f>Table2[[#Totals],[FM Cost]]+$L$20+Table2[[#Totals],[FM Penalty ITS]]</f>
        <v>4390.0540899184989</v>
      </c>
    </row>
    <row r="42" spans="8:11" x14ac:dyDescent="0.35">
      <c r="H42" s="8" t="s">
        <v>93</v>
      </c>
      <c r="I42" s="8">
        <f>0.05*SUM(I39:I41)</f>
        <v>643.03455374538339</v>
      </c>
      <c r="J42" s="8">
        <f>0.05*SUM(J39:J41)</f>
        <v>761.26759502996663</v>
      </c>
      <c r="K42" s="8">
        <f>0.05*SUM(K39:K41)</f>
        <v>761.73831569592494</v>
      </c>
    </row>
    <row r="43" spans="8:11" x14ac:dyDescent="0.35">
      <c r="H43" s="8" t="s">
        <v>94</v>
      </c>
      <c r="I43" s="8">
        <f>0.07*SUM(I39:I41)</f>
        <v>900.24837524353677</v>
      </c>
      <c r="J43" s="8">
        <f>0.07*SUM(J39:J41)</f>
        <v>1065.7746330419534</v>
      </c>
      <c r="K43" s="8">
        <f>0.07*SUM(K39:K41)</f>
        <v>1066.4336419742949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"/>
  <sheetViews>
    <sheetView topLeftCell="G1" workbookViewId="0">
      <selection activeCell="J31" sqref="J31"/>
    </sheetView>
  </sheetViews>
  <sheetFormatPr defaultRowHeight="14.5" x14ac:dyDescent="0.35"/>
  <cols>
    <col min="1" max="1" width="23.26953125" customWidth="1"/>
    <col min="2" max="2" width="27.453125" customWidth="1"/>
    <col min="3" max="3" width="21.26953125" customWidth="1"/>
    <col min="4" max="4" width="21.1796875" customWidth="1"/>
    <col min="5" max="5" width="31.453125" customWidth="1"/>
    <col min="6" max="6" width="25" customWidth="1"/>
    <col min="7" max="7" width="22.54296875" customWidth="1"/>
    <col min="8" max="8" width="23.81640625" customWidth="1"/>
    <col min="9" max="9" width="25.54296875" customWidth="1"/>
    <col min="10" max="10" width="18.26953125" customWidth="1"/>
    <col min="12" max="12" width="25.7265625" customWidth="1"/>
    <col min="13" max="13" width="34.1796875" customWidth="1"/>
    <col min="14" max="14" width="10.7265625" customWidth="1"/>
    <col min="15" max="15" width="26.26953125" customWidth="1"/>
    <col min="16" max="16" width="25" customWidth="1"/>
    <col min="17" max="17" width="18.26953125" customWidth="1"/>
    <col min="18" max="18" width="17.81640625" customWidth="1"/>
    <col min="19" max="19" width="19" customWidth="1"/>
    <col min="20" max="20" width="23.453125" customWidth="1"/>
    <col min="21" max="21" width="19.26953125" customWidth="1"/>
    <col min="22" max="22" width="15" customWidth="1"/>
    <col min="23" max="23" width="19.26953125" customWidth="1"/>
    <col min="24" max="24" width="23.54296875" customWidth="1"/>
    <col min="25" max="25" width="21.26953125" customWidth="1"/>
    <col min="26" max="26" width="16.1796875" customWidth="1"/>
    <col min="27" max="27" width="14" customWidth="1"/>
    <col min="28" max="28" width="11.26953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t="s">
        <v>3</v>
      </c>
      <c r="B2" t="s">
        <v>58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0.15/50</f>
        <v>3.0000000000000001E-3</v>
      </c>
      <c r="O2">
        <f>Table3[[#This Row],[Yearly Energy Consumption in kWh]]*Table3[[#This Row],[CU/kWh]]</f>
        <v>141.91200000000001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250/50</f>
        <v>5</v>
      </c>
      <c r="W2">
        <f>Table3[[#This Row],[Cost per hour]]*Table3[[#This Row],[Total Time to Repair(h)]]*Table3[[#This Row],[Failures per year]]</f>
        <v>1.2109824</v>
      </c>
      <c r="X2">
        <v>100</v>
      </c>
      <c r="Y2">
        <v>7.0000000000000007E-2</v>
      </c>
      <c r="Z2">
        <f>0.07+2*0.00027</f>
        <v>7.0540000000000005E-2</v>
      </c>
      <c r="AA2">
        <f>Table3[[#This Row],[Percentage of Business Users]]*Table3[[#This Row],[SLA CU per hour]]*Table3[[#This Row],[Failures per year]]*Table3[[#This Row],[Total Time to Repair(h)]]</f>
        <v>1.6953753600000001</v>
      </c>
      <c r="AB2">
        <f>Table3[[#This Row],[Percentage of ITS and business users]]*Table3[[#This Row],[SLA CU per hour]]*Table3[[#This Row],[Failures per year]]*Table3[[#This Row],[Total Time to Repair(h)]]</f>
        <v>1.7084539699200001</v>
      </c>
    </row>
    <row r="3" spans="1:28" x14ac:dyDescent="0.35">
      <c r="A3" t="s">
        <v>3</v>
      </c>
      <c r="B3" t="s">
        <v>59</v>
      </c>
      <c r="C3">
        <v>12</v>
      </c>
      <c r="D3">
        <v>156</v>
      </c>
      <c r="E3">
        <v>0.1</v>
      </c>
      <c r="F3" s="6">
        <f>Table3[[#This Row],[Floor Space per component]]*Table3[[#This Row],[Quantity]]</f>
        <v>15.600000000000001</v>
      </c>
      <c r="G3">
        <v>10.6</v>
      </c>
      <c r="H3" s="6">
        <f>Table3[[#This Row],[Rent per sqm per year]]*Table3[[#This Row],[Total Floor Space]]</f>
        <v>165.36</v>
      </c>
      <c r="I3" s="8">
        <v>0</v>
      </c>
      <c r="J3">
        <v>0</v>
      </c>
      <c r="K3">
        <v>256</v>
      </c>
      <c r="L3">
        <f>4.5*Table3[[#This Row],[Quantity]]</f>
        <v>702</v>
      </c>
      <c r="M3" s="6">
        <f>Table3[[#This Row],[Energy consumption in W]]*24*365/1000</f>
        <v>6149.52</v>
      </c>
      <c r="N3" s="8">
        <f t="shared" ref="N3:N7" si="0">0.15/50</f>
        <v>3.0000000000000001E-3</v>
      </c>
      <c r="O3" s="6">
        <f>Table3[[#This Row],[Yearly Energy Consumption in kWh]]*Table3[[#This Row],[CU/kWh]]</f>
        <v>18.448560000000001</v>
      </c>
      <c r="P3">
        <v>0</v>
      </c>
      <c r="Q3" s="6">
        <v>20</v>
      </c>
      <c r="R3" s="8">
        <f>Table3[[#This Row],[Quantity]]*(Table3[[#This Row],[FIT]]*24*365)/1000000000</f>
        <v>0.34983935999999999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8">
        <f t="shared" ref="V3:V10" si="1">250/50</f>
        <v>5</v>
      </c>
      <c r="W3" s="6">
        <f>Table3[[#This Row],[Cost per hour]]*Table3[[#This Row],[Total Time to Repair(h)]]*Table3[[#This Row],[Failures per year]]</f>
        <v>0</v>
      </c>
      <c r="X3" s="8">
        <v>100</v>
      </c>
      <c r="Y3" s="8">
        <v>7.0000000000000007E-2</v>
      </c>
      <c r="Z3" s="8">
        <f t="shared" ref="Z3:Z10" si="2">0.07+2*0.00027</f>
        <v>7.0540000000000005E-2</v>
      </c>
      <c r="AA3" s="8">
        <f>Table3[[#This Row],[Percentage of Business Users]]*Table3[[#This Row],[SLA CU per hour]]*Table3[[#This Row],[Failures per year]]*Table3[[#This Row],[Total Time to Repair(h)]]</f>
        <v>0</v>
      </c>
      <c r="AB3" s="8">
        <f>Table3[[#This Row],[Percentage of ITS and business users]]*Table3[[#This Row],[SLA CU per hour]]*Table3[[#This Row],[Failures per year]]*Table3[[#This Row],[Total Time to Repair(h)]]</f>
        <v>0</v>
      </c>
    </row>
    <row r="4" spans="1:28" x14ac:dyDescent="0.3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8">
        <f t="shared" si="0"/>
        <v>3.0000000000000001E-3</v>
      </c>
      <c r="O4" s="6">
        <f>Table3[[#This Row],[Yearly Energy Consumption in kWh]]*Table3[[#This Row],[CU/kWh]]</f>
        <v>31.536000000000001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8">
        <f t="shared" si="1"/>
        <v>5</v>
      </c>
      <c r="W4" s="6">
        <f>Table3[[#This Row],[Cost per hour]]*Table3[[#This Row],[Total Time to Repair(h)]]*Table3[[#This Row],[Failures per year]]</f>
        <v>0</v>
      </c>
      <c r="X4" s="8">
        <v>100</v>
      </c>
      <c r="Y4" s="8">
        <v>7.0000000000000007E-2</v>
      </c>
      <c r="Z4" s="8">
        <f t="shared" si="2"/>
        <v>7.0540000000000005E-2</v>
      </c>
      <c r="AA4" s="8">
        <f>Table3[[#This Row],[Percentage of Business Users]]*Table3[[#This Row],[SLA CU per hour]]*Table3[[#This Row],[Failures per year]]*Table3[[#This Row],[Total Time to Repair(h)]]</f>
        <v>0</v>
      </c>
      <c r="AB4" s="8">
        <f>Table3[[#This Row],[Percentage of ITS and business users]]*Table3[[#This Row],[SLA CU per hour]]*Table3[[#This Row],[Failures per year]]*Table3[[#This Row],[Total Time to Repair(h)]]</f>
        <v>0</v>
      </c>
    </row>
    <row r="5" spans="1:28" x14ac:dyDescent="0.3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24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8">
        <f t="shared" si="0"/>
        <v>3.0000000000000001E-3</v>
      </c>
      <c r="O5" s="6">
        <f>Table3[[#This Row],[Yearly Energy Consumption in kWh]]*Table3[[#This Row],[CU/kWh]]</f>
        <v>2.6280000000000001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8">
        <f t="shared" si="1"/>
        <v>5</v>
      </c>
      <c r="W5" s="6">
        <f>Table3[[#This Row],[Cost per hour]]*Table3[[#This Row],[Total Time to Repair(h)]]*Table3[[#This Row],[Failures per year]]</f>
        <v>0</v>
      </c>
      <c r="X5" s="8">
        <v>100</v>
      </c>
      <c r="Y5" s="8">
        <v>7.0000000000000007E-2</v>
      </c>
      <c r="Z5" s="8">
        <f t="shared" si="2"/>
        <v>7.0540000000000005E-2</v>
      </c>
      <c r="AA5" s="8">
        <f>Table3[[#This Row],[Percentage of Business Users]]*Table3[[#This Row],[SLA CU per hour]]*Table3[[#This Row],[Failures per year]]*Table3[[#This Row],[Total Time to Repair(h)]]</f>
        <v>0</v>
      </c>
      <c r="AB5" s="8">
        <f>Table3[[#This Row],[Percentage of ITS and business users]]*Table3[[#This Row],[SLA CU per hour]]*Table3[[#This Row],[Failures per year]]*Table3[[#This Row],[Total Time to Repair(h)]]</f>
        <v>0</v>
      </c>
    </row>
    <row r="6" spans="1:28" x14ac:dyDescent="0.35">
      <c r="A6" t="s">
        <v>8</v>
      </c>
      <c r="B6" t="s">
        <v>9</v>
      </c>
      <c r="C6">
        <v>1.8</v>
      </c>
      <c r="D6">
        <v>156</v>
      </c>
      <c r="E6">
        <v>0.1</v>
      </c>
      <c r="F6" s="6">
        <f>Table3[[#This Row],[Floor Space per component]]*Table3[[#This Row],[Quantity]]</f>
        <v>15.600000000000001</v>
      </c>
      <c r="G6">
        <v>10.6</v>
      </c>
      <c r="H6" s="6">
        <f>Table3[[#This Row],[Rent per sqm per year]]*Table3[[#This Row],[Total Floor Space]]</f>
        <v>165.36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8">
        <f t="shared" si="0"/>
        <v>3.0000000000000001E-3</v>
      </c>
      <c r="O6" s="6">
        <f>Table3[[#This Row],[Yearly Energy Consumption in kWh]]*Table3[[#This Row],[CU/kWh]]</f>
        <v>0</v>
      </c>
      <c r="P6">
        <v>2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0.2</v>
      </c>
      <c r="T6" s="6">
        <f>Table3[[#This Row],[MTTR]]+Table3[[#This Row],[Twice Travel Time]]</f>
        <v>6.2</v>
      </c>
      <c r="U6" s="6">
        <v>1</v>
      </c>
      <c r="V6" s="8">
        <f t="shared" si="1"/>
        <v>5</v>
      </c>
      <c r="W6" s="6">
        <f>Table3[[#This Row],[Cost per hour]]*Table3[[#This Row],[Total Time to Repair(h)]]*Table3[[#This Row],[Failures per year]]</f>
        <v>2.1181679999999998</v>
      </c>
      <c r="X6" s="8">
        <v>100</v>
      </c>
      <c r="Y6" s="8">
        <v>7.0000000000000007E-2</v>
      </c>
      <c r="Z6" s="8">
        <f t="shared" si="2"/>
        <v>7.0540000000000005E-2</v>
      </c>
      <c r="AA6" s="8">
        <f>Table3[[#This Row],[Percentage of Business Users]]*Table3[[#This Row],[SLA CU per hour]]*Table3[[#This Row],[Failures per year]]*Table3[[#This Row],[Total Time to Repair(h)]]</f>
        <v>2.9654352000000004</v>
      </c>
      <c r="AB6" s="8">
        <f>Table3[[#This Row],[Percentage of ITS and business users]]*Table3[[#This Row],[SLA CU per hour]]*Table3[[#This Row],[Failures per year]]*Table3[[#This Row],[Total Time to Repair(h)]]</f>
        <v>2.9883114144</v>
      </c>
    </row>
    <row r="7" spans="1:28" x14ac:dyDescent="0.35">
      <c r="A7" t="s">
        <v>8</v>
      </c>
      <c r="B7" t="s">
        <v>59</v>
      </c>
      <c r="C7">
        <v>12</v>
      </c>
      <c r="D7">
        <v>156</v>
      </c>
      <c r="E7">
        <v>0.1</v>
      </c>
      <c r="F7" s="6">
        <f>Table3[[#This Row],[Floor Space per component]]*Table3[[#This Row],[Quantity]]</f>
        <v>15.600000000000001</v>
      </c>
      <c r="G7">
        <v>10.6</v>
      </c>
      <c r="H7" s="6">
        <f>Table3[[#This Row],[Rent per sqm per year]]*Table3[[#This Row],[Total Floor Space]]</f>
        <v>165.36</v>
      </c>
      <c r="I7">
        <v>0</v>
      </c>
      <c r="J7">
        <v>0</v>
      </c>
      <c r="K7">
        <v>256</v>
      </c>
      <c r="L7">
        <f>4.5*Table3[[#This Row],[Quantity]]</f>
        <v>702</v>
      </c>
      <c r="M7" s="6">
        <f>Table3[[#This Row],[Energy consumption in W]]*24*365/1000</f>
        <v>6149.52</v>
      </c>
      <c r="N7" s="8">
        <f t="shared" si="0"/>
        <v>3.0000000000000001E-3</v>
      </c>
      <c r="O7" s="6">
        <f>Table3[[#This Row],[Yearly Energy Consumption in kWh]]*Table3[[#This Row],[CU/kWh]]</f>
        <v>18.448560000000001</v>
      </c>
      <c r="P7">
        <v>2</v>
      </c>
      <c r="Q7" s="6">
        <v>20</v>
      </c>
      <c r="R7" s="8">
        <f>Table3[[#This Row],[Quantity]]*(Table3[[#This Row],[FIT]]*24*365)/1000000000</f>
        <v>0.34983935999999999</v>
      </c>
      <c r="S7" s="6">
        <f>2*Table3[[#This Row],[Mean dist in km from CO]]/Table3[[#This Row],[Avg Travel Speed]]</f>
        <v>0.2</v>
      </c>
      <c r="T7" s="6">
        <f>Table3[[#This Row],[MTTR]]+Table3[[#This Row],[Twice Travel Time]]</f>
        <v>0.2</v>
      </c>
      <c r="U7" s="6">
        <v>1</v>
      </c>
      <c r="V7" s="8">
        <f t="shared" si="1"/>
        <v>5</v>
      </c>
      <c r="W7" s="6">
        <f>Table3[[#This Row],[Cost per hour]]*Table3[[#This Row],[Total Time to Repair(h)]]*Table3[[#This Row],[Failures per year]]</f>
        <v>0.34983935999999999</v>
      </c>
      <c r="X7" s="8">
        <v>100</v>
      </c>
      <c r="Y7" s="8">
        <v>7.0000000000000007E-2</v>
      </c>
      <c r="Z7" s="8">
        <f t="shared" si="2"/>
        <v>7.0540000000000005E-2</v>
      </c>
      <c r="AA7" s="8">
        <f>Table3[[#This Row],[Percentage of Business Users]]*Table3[[#This Row],[SLA CU per hour]]*Table3[[#This Row],[Failures per year]]*Table3[[#This Row],[Total Time to Repair(h)]]</f>
        <v>0.48977510400000002</v>
      </c>
      <c r="AB7" s="8">
        <f>Table3[[#This Row],[Percentage of ITS and business users]]*Table3[[#This Row],[SLA CU per hour]]*Table3[[#This Row],[Failures per year]]*Table3[[#This Row],[Total Time to Repair(h)]]</f>
        <v>0.49355336908800002</v>
      </c>
    </row>
    <row r="8" spans="1:28" x14ac:dyDescent="0.35">
      <c r="A8" t="s">
        <v>10</v>
      </c>
      <c r="B8" t="s">
        <v>9</v>
      </c>
      <c r="C8">
        <v>1.8</v>
      </c>
      <c r="D8">
        <v>610</v>
      </c>
      <c r="E8">
        <v>0.1</v>
      </c>
      <c r="F8" s="6">
        <f>Table3[[#This Row],[Floor Space per component]]*Table3[[#This Row],[Quantity]]</f>
        <v>61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8">
        <f>0.15/50</f>
        <v>3.0000000000000001E-3</v>
      </c>
      <c r="O8" s="6">
        <f>Table3[[#This Row],[Yearly Energy Consumption in kWh]]*Table3[[#This Row],[CU/kWh]]</f>
        <v>0</v>
      </c>
      <c r="P8">
        <v>4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0.4</v>
      </c>
      <c r="T8" s="6">
        <f>Table3[[#This Row],[MTTR]]+Table3[[#This Row],[Twice Travel Time]]</f>
        <v>6.4</v>
      </c>
      <c r="U8" s="6">
        <v>1</v>
      </c>
      <c r="V8" s="8">
        <f t="shared" si="1"/>
        <v>5</v>
      </c>
      <c r="W8" s="6">
        <f>Table3[[#This Row],[Cost per hour]]*Table3[[#This Row],[Total Time to Repair(h)]]*Table3[[#This Row],[Failures per year]]</f>
        <v>8.5497599999999991</v>
      </c>
      <c r="X8" s="8">
        <v>100</v>
      </c>
      <c r="Y8" s="8">
        <v>7.0000000000000007E-2</v>
      </c>
      <c r="Z8" s="8">
        <f t="shared" si="2"/>
        <v>7.0540000000000005E-2</v>
      </c>
      <c r="AA8" s="8">
        <f>Table3[[#This Row],[Percentage of Business Users]]*Table3[[#This Row],[SLA CU per hour]]*Table3[[#This Row],[Failures per year]]*Table3[[#This Row],[Total Time to Repair(h)]]</f>
        <v>11.969664000000002</v>
      </c>
      <c r="AB8" s="8">
        <f>Table3[[#This Row],[Percentage of ITS and business users]]*Table3[[#This Row],[SLA CU per hour]]*Table3[[#This Row],[Failures per year]]*Table3[[#This Row],[Total Time to Repair(h)]]</f>
        <v>12.062001408</v>
      </c>
    </row>
    <row r="9" spans="1:28" x14ac:dyDescent="0.35">
      <c r="A9" t="s">
        <v>13</v>
      </c>
      <c r="B9" t="s">
        <v>60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512</v>
      </c>
      <c r="L9">
        <f>50*Table3[[#This Row],[Quantity]]</f>
        <v>250000</v>
      </c>
      <c r="M9" s="6">
        <f>Table3[[#This Row],[Energy consumption in W]]*24*365/1000</f>
        <v>2190000</v>
      </c>
      <c r="N9" s="8">
        <f t="shared" ref="N9:N10" si="3">0.15/50</f>
        <v>3.0000000000000001E-3</v>
      </c>
      <c r="O9" s="6">
        <f>Table3[[#This Row],[Yearly Energy Consumption in kWh]]*Table3[[#This Row],[CU/kWh]]</f>
        <v>6570</v>
      </c>
      <c r="P9">
        <v>6</v>
      </c>
      <c r="Q9" s="6">
        <v>20</v>
      </c>
      <c r="R9" s="8">
        <f>Table3[[#This Row],[Quantity]]*(Table3[[#This Row],[FIT]]*24*365)/1000000000</f>
        <v>22.425599999999999</v>
      </c>
      <c r="S9" s="6">
        <f>2*Table3[[#This Row],[Mean dist in km from CO]]/Table3[[#This Row],[Avg Travel Speed]]</f>
        <v>0.6</v>
      </c>
      <c r="T9" s="6">
        <f>Table3[[#This Row],[MTTR]]+Table3[[#This Row],[Twice Travel Time]]</f>
        <v>24.6</v>
      </c>
      <c r="U9" s="6">
        <v>1</v>
      </c>
      <c r="V9" s="8">
        <f t="shared" si="1"/>
        <v>5</v>
      </c>
      <c r="W9" s="6">
        <f>Table3[[#This Row],[Cost per hour]]*Table3[[#This Row],[Total Time to Repair(h)]]*Table3[[#This Row],[Failures per year]]</f>
        <v>2758.3487999999998</v>
      </c>
      <c r="X9" s="8">
        <v>100</v>
      </c>
      <c r="Y9" s="8">
        <v>7.0000000000000007E-2</v>
      </c>
      <c r="Z9" s="8">
        <f t="shared" si="2"/>
        <v>7.0540000000000005E-2</v>
      </c>
      <c r="AA9" s="8">
        <f>Table3[[#This Row],[Percentage of Business Users]]*Table3[[#This Row],[SLA CU per hour]]*Table3[[#This Row],[Failures per year]]*Table3[[#This Row],[Total Time to Repair(h)]]</f>
        <v>3861.6883200000007</v>
      </c>
      <c r="AB9" s="8">
        <f>Table3[[#This Row],[Percentage of ITS and business users]]*Table3[[#This Row],[SLA CU per hour]]*Table3[[#This Row],[Failures per year]]*Table3[[#This Row],[Total Time to Repair(h)]]</f>
        <v>3891.4784870400003</v>
      </c>
    </row>
    <row r="10" spans="1:28" x14ac:dyDescent="0.35">
      <c r="A10" t="s">
        <v>13</v>
      </c>
      <c r="B10" t="s">
        <v>61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8">
        <f t="shared" si="3"/>
        <v>3.0000000000000001E-3</v>
      </c>
      <c r="O10" s="6">
        <f>Table3[[#This Row],[Yearly Energy Consumption in kWh]]*Table3[[#This Row],[CU/kWh]]</f>
        <v>854.1</v>
      </c>
      <c r="P10">
        <v>6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0.6</v>
      </c>
      <c r="T10" s="6">
        <f>Table3[[#This Row],[MTTR]]+Table3[[#This Row],[Twice Travel Time]]</f>
        <v>6.6</v>
      </c>
      <c r="U10" s="6">
        <v>1</v>
      </c>
      <c r="V10" s="8">
        <f t="shared" si="1"/>
        <v>5</v>
      </c>
      <c r="W10" s="6">
        <f>Table3[[#This Row],[Cost per hour]]*Table3[[#This Row],[Total Time to Repair(h)]]*Table3[[#This Row],[Failures per year]]</f>
        <v>370.0224</v>
      </c>
      <c r="X10" s="8">
        <v>100</v>
      </c>
      <c r="Y10" s="8">
        <v>7.0000000000000007E-2</v>
      </c>
      <c r="Z10" s="8">
        <f t="shared" si="2"/>
        <v>7.0540000000000005E-2</v>
      </c>
      <c r="AA10" s="8">
        <f>Table3[[#This Row],[Percentage of Business Users]]*Table3[[#This Row],[SLA CU per hour]]*Table3[[#This Row],[Failures per year]]*Table3[[#This Row],[Total Time to Repair(h)]]</f>
        <v>518.03136000000006</v>
      </c>
      <c r="AB10" s="8">
        <f>Table3[[#This Row],[Percentage of ITS and business users]]*Table3[[#This Row],[SLA CU per hour]]*Table3[[#This Row],[Failures per year]]*Table3[[#This Row],[Total Time to Repair(h)]]</f>
        <v>522.02760191999994</v>
      </c>
    </row>
    <row r="11" spans="1:28" x14ac:dyDescent="0.35">
      <c r="H11">
        <f>SUM(Table3[Total Rent cost per year])</f>
        <v>3570.0800000000004</v>
      </c>
      <c r="O11">
        <f>SUBTOTAL(109,Table3[Energy Cost per year in CU])</f>
        <v>7637.07312</v>
      </c>
      <c r="W11">
        <f>SUBTOTAL(109,Table3[FM Cost])</f>
        <v>3140.5999497599996</v>
      </c>
      <c r="AA11">
        <f>SUBTOTAL(109,Table3[FM Penalty Business])</f>
        <v>4396.8399296640009</v>
      </c>
      <c r="AB11">
        <f>SUBTOTAL(109,Table3[FM Penalty ITS])</f>
        <v>4430.7584091214085</v>
      </c>
    </row>
    <row r="14" spans="1:28" x14ac:dyDescent="0.35">
      <c r="A14" t="s">
        <v>38</v>
      </c>
      <c r="B14" t="s">
        <v>63</v>
      </c>
      <c r="C14" t="s">
        <v>64</v>
      </c>
      <c r="D14" t="s">
        <v>17</v>
      </c>
      <c r="E14" t="s">
        <v>65</v>
      </c>
      <c r="F14" t="s">
        <v>26</v>
      </c>
      <c r="G14" t="s">
        <v>66</v>
      </c>
      <c r="H14" t="s">
        <v>67</v>
      </c>
      <c r="I14" t="s">
        <v>68</v>
      </c>
    </row>
    <row r="15" spans="1:28" x14ac:dyDescent="0.35">
      <c r="B15" s="7">
        <f>171056.493544313/1000</f>
        <v>171.05649354431301</v>
      </c>
      <c r="C15">
        <v>570</v>
      </c>
      <c r="E15">
        <v>20</v>
      </c>
    </row>
    <row r="16" spans="1:28" x14ac:dyDescent="0.35">
      <c r="B16" s="7">
        <f>85582.6331149716/1000</f>
        <v>85.5826331149716</v>
      </c>
      <c r="C16">
        <v>570</v>
      </c>
      <c r="E16">
        <v>20</v>
      </c>
    </row>
    <row r="17" spans="1:16" x14ac:dyDescent="0.35">
      <c r="B17" s="7">
        <f>384090.367674523/1000</f>
        <v>384.09036767452295</v>
      </c>
      <c r="C17">
        <v>570</v>
      </c>
      <c r="E17">
        <v>20</v>
      </c>
      <c r="M17" t="s">
        <v>69</v>
      </c>
    </row>
    <row r="18" spans="1:16" x14ac:dyDescent="0.35">
      <c r="M18">
        <f>Table3[[#Totals],[Total Rent cost per year]]+Table3[[#Totals],[Energy Cost per year in CU]]+Table3[[#Totals],[FM Cost]]+I23</f>
        <v>15124.962934212212</v>
      </c>
    </row>
    <row r="19" spans="1:16" x14ac:dyDescent="0.3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109</v>
      </c>
      <c r="K19" s="8" t="s">
        <v>115</v>
      </c>
      <c r="L19" s="8" t="s">
        <v>116</v>
      </c>
      <c r="M19" s="8" t="s">
        <v>117</v>
      </c>
      <c r="N19" s="8" t="s">
        <v>118</v>
      </c>
    </row>
    <row r="20" spans="1:16" x14ac:dyDescent="0.35">
      <c r="A20" t="s">
        <v>41</v>
      </c>
      <c r="B20">
        <f>C15*B15</f>
        <v>97502.20132025842</v>
      </c>
      <c r="C20" s="15">
        <v>24</v>
      </c>
      <c r="D20">
        <v>2</v>
      </c>
      <c r="E20">
        <v>5</v>
      </c>
      <c r="F20">
        <v>1</v>
      </c>
      <c r="G20">
        <f>2*F20/20</f>
        <v>0.1</v>
      </c>
      <c r="H20">
        <f>G20+C20</f>
        <v>24.1</v>
      </c>
      <c r="I20">
        <f>B20*24*365*D20*E20*FTTB_XGPON_50!H20/1000000000</f>
        <v>205.84274733927677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144.08992313749377</v>
      </c>
      <c r="N20" s="8">
        <f>L20*J20*H20*B20*24*365/1000000000</f>
        <v>144.60453000584195</v>
      </c>
    </row>
    <row r="21" spans="1:16" x14ac:dyDescent="0.35">
      <c r="A21" t="s">
        <v>42</v>
      </c>
      <c r="B21" s="8">
        <f>C16*B16</f>
        <v>48782.100875533812</v>
      </c>
      <c r="C21" s="15">
        <v>24</v>
      </c>
      <c r="D21">
        <v>2</v>
      </c>
      <c r="E21">
        <v>5</v>
      </c>
      <c r="F21">
        <v>2</v>
      </c>
      <c r="G21" s="8">
        <f t="shared" ref="G21:G22" si="4">2*F21/20</f>
        <v>0.2</v>
      </c>
      <c r="H21" s="8">
        <f t="shared" ref="H21:H22" si="5">G21+C21</f>
        <v>24.2</v>
      </c>
      <c r="I21" s="8">
        <f>B21*24*365*D21*E21*FTTB_XGPON_50!H21/1000000000</f>
        <v>103.41415128806162</v>
      </c>
      <c r="J21" s="8">
        <v>100</v>
      </c>
      <c r="K21" s="8">
        <v>7.0000000000000007E-2</v>
      </c>
      <c r="L21" s="8">
        <v>7.0250000000000007E-2</v>
      </c>
      <c r="M21" s="8">
        <f t="shared" ref="M21:M22" si="6">K21*J21*H21*B21*24*365/1000000000</f>
        <v>72.389905901643147</v>
      </c>
      <c r="N21" s="8">
        <f t="shared" ref="N21:N22" si="7">L21*J21*H21*B21*24*365/1000000000</f>
        <v>72.648441279863292</v>
      </c>
    </row>
    <row r="22" spans="1:16" x14ac:dyDescent="0.35">
      <c r="A22" t="s">
        <v>62</v>
      </c>
      <c r="B22" s="8">
        <f>C17*B17</f>
        <v>218931.50957447808</v>
      </c>
      <c r="C22" s="15">
        <v>24</v>
      </c>
      <c r="D22">
        <v>2</v>
      </c>
      <c r="E22">
        <v>5</v>
      </c>
      <c r="F22">
        <v>4</v>
      </c>
      <c r="G22" s="8">
        <f t="shared" si="4"/>
        <v>0.4</v>
      </c>
      <c r="H22" s="8">
        <f t="shared" si="5"/>
        <v>24.4</v>
      </c>
      <c r="I22" s="8">
        <f>B22*24*365*D22*E22*FTTB_XGPON_50!H22/1000000000</f>
        <v>467.95296582487242</v>
      </c>
      <c r="J22" s="8">
        <v>100</v>
      </c>
      <c r="K22" s="8">
        <v>7.0000000000000007E-2</v>
      </c>
      <c r="L22" s="8">
        <v>7.0250000000000007E-2</v>
      </c>
      <c r="M22" s="8">
        <f t="shared" si="6"/>
        <v>327.56707607741072</v>
      </c>
      <c r="N22" s="8">
        <f t="shared" si="7"/>
        <v>328.73695849197281</v>
      </c>
    </row>
    <row r="23" spans="1:16" x14ac:dyDescent="0.35">
      <c r="I23">
        <f>SUM(I20:I22)</f>
        <v>777.20986445221081</v>
      </c>
    </row>
    <row r="25" spans="1:16" x14ac:dyDescent="0.35">
      <c r="M25" s="8" t="s">
        <v>89</v>
      </c>
      <c r="N25" s="8" t="s">
        <v>110</v>
      </c>
      <c r="O25" t="s">
        <v>111</v>
      </c>
      <c r="P25" t="s">
        <v>119</v>
      </c>
    </row>
    <row r="26" spans="1:16" x14ac:dyDescent="0.35">
      <c r="M26" s="8" t="s">
        <v>90</v>
      </c>
      <c r="N26" s="8">
        <f>N41/$J$31</f>
        <v>0.12200396418563325</v>
      </c>
      <c r="O26" s="8">
        <f t="shared" ref="O26:P26" si="8">O41/$J$31</f>
        <v>0.12200396418563325</v>
      </c>
      <c r="P26" s="8">
        <f t="shared" si="8"/>
        <v>0.12200396418563325</v>
      </c>
    </row>
    <row r="27" spans="1:16" x14ac:dyDescent="0.35">
      <c r="M27" s="8" t="s">
        <v>91</v>
      </c>
      <c r="N27" s="8">
        <f t="shared" ref="N27:P30" si="9">N42/$J$31</f>
        <v>0.26098944433053106</v>
      </c>
      <c r="O27" s="8">
        <f t="shared" si="9"/>
        <v>0.26098944433053106</v>
      </c>
      <c r="P27" s="8">
        <f t="shared" si="9"/>
        <v>0.26098944433053106</v>
      </c>
    </row>
    <row r="28" spans="1:16" x14ac:dyDescent="0.35">
      <c r="M28" s="8" t="s">
        <v>92</v>
      </c>
      <c r="N28" s="8">
        <f t="shared" si="9"/>
        <v>0.13388728775245062</v>
      </c>
      <c r="O28" s="8">
        <f t="shared" si="9"/>
        <v>0.28414495741494811</v>
      </c>
      <c r="P28" s="8">
        <f t="shared" si="9"/>
        <v>0.28530408800948737</v>
      </c>
    </row>
    <row r="29" spans="1:16" x14ac:dyDescent="0.35">
      <c r="M29" s="8" t="s">
        <v>93</v>
      </c>
      <c r="N29" s="8">
        <f t="shared" si="9"/>
        <v>2.5844034813430752E-2</v>
      </c>
      <c r="O29" s="8">
        <f t="shared" si="9"/>
        <v>3.335691829655562E-2</v>
      </c>
      <c r="P29" s="8">
        <f t="shared" si="9"/>
        <v>3.3414874826282588E-2</v>
      </c>
    </row>
    <row r="30" spans="1:16" x14ac:dyDescent="0.35">
      <c r="J30" t="s">
        <v>136</v>
      </c>
      <c r="M30" s="8" t="s">
        <v>94</v>
      </c>
      <c r="N30" s="8">
        <f t="shared" si="9"/>
        <v>3.618164873880305E-2</v>
      </c>
      <c r="O30" s="8">
        <f t="shared" si="9"/>
        <v>4.6699685615177872E-2</v>
      </c>
      <c r="P30" s="8">
        <f t="shared" si="9"/>
        <v>4.6780824756795625E-2</v>
      </c>
    </row>
    <row r="31" spans="1:16" x14ac:dyDescent="0.35">
      <c r="J31" s="8">
        <v>29262</v>
      </c>
      <c r="N31" s="27">
        <f>SUM(N26:N30)</f>
        <v>0.5789063798208488</v>
      </c>
      <c r="O31" s="27">
        <f>SUM(O26:O30)</f>
        <v>0.74719496984284595</v>
      </c>
      <c r="P31" s="27">
        <f>SUM(P26:P30)</f>
        <v>0.74849319610872977</v>
      </c>
    </row>
    <row r="32" spans="1:16" x14ac:dyDescent="0.35">
      <c r="B32" s="7"/>
      <c r="C32" s="7"/>
      <c r="D32" s="7"/>
    </row>
    <row r="40" spans="13:16" x14ac:dyDescent="0.35">
      <c r="M40" s="8" t="s">
        <v>89</v>
      </c>
      <c r="N40" s="8" t="s">
        <v>110</v>
      </c>
      <c r="O40" s="8" t="s">
        <v>111</v>
      </c>
      <c r="P40" s="8" t="s">
        <v>119</v>
      </c>
    </row>
    <row r="41" spans="13:16" x14ac:dyDescent="0.35">
      <c r="M41" s="8" t="s">
        <v>90</v>
      </c>
      <c r="N41" s="8">
        <f>Table3[[#Totals],[Total Rent cost per year]]</f>
        <v>3570.0800000000004</v>
      </c>
      <c r="O41" s="8">
        <f>Table3[[#Totals],[Total Rent cost per year]]</f>
        <v>3570.0800000000004</v>
      </c>
      <c r="P41" s="8">
        <f>Table3[[#Totals],[Total Rent cost per year]]</f>
        <v>3570.0800000000004</v>
      </c>
    </row>
    <row r="42" spans="13:16" x14ac:dyDescent="0.35">
      <c r="M42" s="8" t="s">
        <v>91</v>
      </c>
      <c r="N42" s="8">
        <f>Table3[[#Totals],[Energy Cost per year in CU]]</f>
        <v>7637.07312</v>
      </c>
      <c r="O42" s="8">
        <f>Table3[[#Totals],[Energy Cost per year in CU]]</f>
        <v>7637.07312</v>
      </c>
      <c r="P42" s="8">
        <f>Table3[[#Totals],[Energy Cost per year in CU]]</f>
        <v>7637.07312</v>
      </c>
    </row>
    <row r="43" spans="13:16" x14ac:dyDescent="0.35">
      <c r="M43" s="8" t="s">
        <v>92</v>
      </c>
      <c r="N43" s="8">
        <f>Table3[[#Totals],[FM Cost]]+$I$23</f>
        <v>3917.8098142122103</v>
      </c>
      <c r="O43" s="8">
        <f>Table3[[#Totals],[FM Cost]]+$I$23+Table3[[#Totals],[FM Penalty Business]]+SUM(M35:M37)</f>
        <v>8314.6497438762108</v>
      </c>
      <c r="P43" s="8">
        <f>Table3[[#Totals],[FM Cost]]+$I$23+Table3[[#Totals],[FM Penalty ITS]]+SUM(N35:N37)</f>
        <v>8348.5682233336192</v>
      </c>
    </row>
    <row r="44" spans="13:16" x14ac:dyDescent="0.35">
      <c r="M44" s="8" t="s">
        <v>93</v>
      </c>
      <c r="N44" s="8">
        <f>0.05*SUM(N41:N43)</f>
        <v>756.24814671061063</v>
      </c>
      <c r="O44" s="8">
        <f>0.05*SUM(O41:O43)</f>
        <v>976.0901431938106</v>
      </c>
      <c r="P44" s="8">
        <f>0.05*SUM(P41:P43)</f>
        <v>977.78606716668116</v>
      </c>
    </row>
    <row r="45" spans="13:16" x14ac:dyDescent="0.35">
      <c r="M45" s="8" t="s">
        <v>94</v>
      </c>
      <c r="N45" s="8">
        <f>0.07*SUM(N41:N43)</f>
        <v>1058.7474053948549</v>
      </c>
      <c r="O45" s="8">
        <f>0.07*SUM(O41:O43)</f>
        <v>1366.526200471335</v>
      </c>
      <c r="P45" s="8">
        <f>0.07*SUM(P41:P43)</f>
        <v>1368.9004940333537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8"/>
  <sheetViews>
    <sheetView topLeftCell="F7" workbookViewId="0">
      <selection activeCell="K35" sqref="K35"/>
    </sheetView>
  </sheetViews>
  <sheetFormatPr defaultRowHeight="14.5" x14ac:dyDescent="0.35"/>
  <cols>
    <col min="1" max="1" width="23.54296875" customWidth="1"/>
    <col min="2" max="2" width="19.1796875" customWidth="1"/>
    <col min="3" max="3" width="20.1796875" customWidth="1"/>
    <col min="4" max="4" width="16.453125" customWidth="1"/>
    <col min="5" max="5" width="26" customWidth="1"/>
    <col min="6" max="6" width="17.26953125" customWidth="1"/>
    <col min="7" max="7" width="21.26953125" customWidth="1"/>
    <col min="8" max="8" width="22.7265625" customWidth="1"/>
    <col min="9" max="9" width="24" customWidth="1"/>
    <col min="10" max="10" width="15.1796875" customWidth="1"/>
    <col min="11" max="11" width="21.7265625" customWidth="1"/>
    <col min="12" max="12" width="24.453125" customWidth="1"/>
    <col min="13" max="13" width="32.26953125" customWidth="1"/>
    <col min="14" max="14" width="17" customWidth="1"/>
    <col min="15" max="15" width="25" customWidth="1"/>
    <col min="16" max="16" width="23.7265625" customWidth="1"/>
    <col min="17" max="17" width="17.26953125" customWidth="1"/>
    <col min="18" max="18" width="16.54296875" customWidth="1"/>
    <col min="19" max="19" width="17.7265625" customWidth="1"/>
    <col min="20" max="20" width="22.1796875" customWidth="1"/>
    <col min="21" max="21" width="18.26953125" customWidth="1"/>
    <col min="22" max="22" width="14.26953125" customWidth="1"/>
    <col min="23" max="23" width="9.7265625" customWidth="1"/>
    <col min="24" max="24" width="18.1796875" customWidth="1"/>
    <col min="27" max="27" width="22.5429687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s="16" t="s">
        <v>3</v>
      </c>
      <c r="B2" s="17" t="s">
        <v>70</v>
      </c>
      <c r="C2" s="18">
        <v>16</v>
      </c>
      <c r="D2" s="18">
        <v>3</v>
      </c>
      <c r="E2">
        <v>0.1</v>
      </c>
      <c r="F2">
        <f>E2*D2</f>
        <v>0.30000000000000004</v>
      </c>
      <c r="G2">
        <v>10.6</v>
      </c>
      <c r="H2">
        <f>G2*F2</f>
        <v>3.18</v>
      </c>
      <c r="I2">
        <v>1</v>
      </c>
      <c r="J2">
        <v>4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0.15/50</f>
        <v>3.0000000000000001E-3</v>
      </c>
      <c r="O2">
        <f>Table1[[#This Row],[Yearly Energy Consumption in kWh]]*Table1[[#This Row],[CU/kWh]]</f>
        <v>0.94608000000000003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4</v>
      </c>
      <c r="U2">
        <v>1</v>
      </c>
      <c r="V2">
        <v>5</v>
      </c>
      <c r="W2">
        <f>Table1[[#This Row],[Cost per hour]]*Table1[[#This Row],[No. Of technicians]]*Table1[[#This Row],[Total Time to Repair(h)]]*Table1[[#This Row],[Failures per year]]</f>
        <v>0.1345536</v>
      </c>
      <c r="X2">
        <v>100</v>
      </c>
      <c r="Y2">
        <v>7.0000000000000007E-2</v>
      </c>
      <c r="Z2">
        <v>7.0540000000000005E-2</v>
      </c>
      <c r="AA2">
        <f>Table1[[#This Row],[Percentage of Business Users]]*Table1[[#This Row],[SLA CU per hour]]*Table1[[#This Row],[Failures per year]]*Table1[[#This Row],[Total Time to Repair(h)]]</f>
        <v>0.18837504000000002</v>
      </c>
      <c r="AB2">
        <f>Table1[[#This Row],[Percentage of ITS and business users]]*Table1[[#This Row],[SLA CU per hour]]*Table1[[#This Row],[Failures per year]]*Table1[[#This Row],[Total Time to Repair(h)]]</f>
        <v>0.18982821888000001</v>
      </c>
    </row>
    <row r="3" spans="1:28" x14ac:dyDescent="0.35">
      <c r="A3" s="19" t="s">
        <v>3</v>
      </c>
      <c r="B3" s="20" t="s">
        <v>71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4</v>
      </c>
      <c r="K3">
        <v>50</v>
      </c>
      <c r="L3">
        <f>5*D3*80</f>
        <v>26000</v>
      </c>
      <c r="M3" s="8">
        <f>Table1[[#This Row],[Energy consumption in W]]*24*365/1000</f>
        <v>227760</v>
      </c>
      <c r="N3" s="8">
        <f t="shared" ref="N3:N10" si="2">0.15/50</f>
        <v>3.0000000000000001E-3</v>
      </c>
      <c r="O3" s="8">
        <f>Table1[[#This Row],[Yearly Energy Consumption in kWh]]*Table1[[#This Row],[CU/kWh]]</f>
        <v>683.28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4</v>
      </c>
      <c r="U3">
        <v>1</v>
      </c>
      <c r="V3" s="8">
        <v>5</v>
      </c>
      <c r="W3" s="8">
        <f>Table1[[#This Row],[Cost per hour]]*Table1[[#This Row],[No. Of technicians]]*Table1[[#This Row],[Total Time to Repair(h)]]*Table1[[#This Row],[Failures per year]]</f>
        <v>0.56940000000000002</v>
      </c>
      <c r="X3">
        <v>100</v>
      </c>
      <c r="Y3" s="8">
        <v>7.0000000000000007E-2</v>
      </c>
      <c r="Z3" s="8">
        <v>7.0540000000000005E-2</v>
      </c>
      <c r="AA3" s="8">
        <f>Table1[[#This Row],[Percentage of Business Users]]*Table1[[#This Row],[SLA CU per hour]]*Table1[[#This Row],[Failures per year]]*Table1[[#This Row],[Total Time to Repair(h)]]</f>
        <v>0.79716000000000009</v>
      </c>
      <c r="AB3" s="8">
        <f>Table1[[#This Row],[Percentage of ITS and business users]]*Table1[[#This Row],[SLA CU per hour]]*Table1[[#This Row],[Failures per year]]*Table1[[#This Row],[Total Time to Repair(h)]]</f>
        <v>0.80330952</v>
      </c>
    </row>
    <row r="4" spans="1:28" x14ac:dyDescent="0.35">
      <c r="A4" s="16" t="s">
        <v>3</v>
      </c>
      <c r="B4" s="17" t="s">
        <v>72</v>
      </c>
      <c r="C4" s="18">
        <v>63</v>
      </c>
      <c r="D4" s="18">
        <v>65</v>
      </c>
      <c r="E4">
        <v>0.1</v>
      </c>
      <c r="F4" s="8">
        <f t="shared" si="0"/>
        <v>6.5</v>
      </c>
      <c r="G4" s="8">
        <v>10.6</v>
      </c>
      <c r="H4" s="8">
        <f t="shared" si="1"/>
        <v>68.899999999999991</v>
      </c>
      <c r="I4">
        <v>1</v>
      </c>
      <c r="J4">
        <v>4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3.0000000000000001E-3</v>
      </c>
      <c r="O4" s="8">
        <f>Table1[[#This Row],[Yearly Energy Consumption in kWh]]*Table1[[#This Row],[CU/kWh]]</f>
        <v>79.47072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4</v>
      </c>
      <c r="U4">
        <v>1</v>
      </c>
      <c r="V4" s="8">
        <v>5</v>
      </c>
      <c r="W4" s="8">
        <f>Table1[[#This Row],[Cost per hour]]*Table1[[#This Row],[No. Of technicians]]*Table1[[#This Row],[Total Time to Repair(h)]]*Table1[[#This Row],[Failures per year]]</f>
        <v>0.56940000000000002</v>
      </c>
      <c r="X4" s="8">
        <v>100</v>
      </c>
      <c r="Y4" s="8">
        <v>7.0000000000000007E-2</v>
      </c>
      <c r="Z4" s="8">
        <v>7.0540000000000005E-2</v>
      </c>
      <c r="AA4" s="8">
        <f>Table1[[#This Row],[Percentage of Business Users]]*Table1[[#This Row],[SLA CU per hour]]*Table1[[#This Row],[Failures per year]]*Table1[[#This Row],[Total Time to Repair(h)]]</f>
        <v>0.79716000000000009</v>
      </c>
      <c r="AB4" s="8">
        <f>Table1[[#This Row],[Percentage of ITS and business users]]*Table1[[#This Row],[SLA CU per hour]]*Table1[[#This Row],[Failures per year]]*Table1[[#This Row],[Total Time to Repair(h)]]</f>
        <v>0.80330952</v>
      </c>
    </row>
    <row r="5" spans="1:28" x14ac:dyDescent="0.35">
      <c r="A5" s="19" t="s">
        <v>3</v>
      </c>
      <c r="B5" s="20" t="s">
        <v>73</v>
      </c>
      <c r="C5" s="21">
        <v>2.2999999999999998</v>
      </c>
      <c r="D5" s="21">
        <v>65</v>
      </c>
      <c r="E5">
        <v>0.1</v>
      </c>
      <c r="F5" s="8">
        <f t="shared" si="0"/>
        <v>6.5</v>
      </c>
      <c r="G5" s="8">
        <v>10.6</v>
      </c>
      <c r="H5" s="8">
        <f t="shared" si="1"/>
        <v>68.899999999999991</v>
      </c>
      <c r="I5">
        <v>1</v>
      </c>
      <c r="J5">
        <v>4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3.0000000000000001E-3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4</v>
      </c>
      <c r="U5">
        <v>1</v>
      </c>
      <c r="V5" s="8">
        <v>5</v>
      </c>
      <c r="W5" s="8">
        <f>Table1[[#This Row],[Cost per hour]]*Table1[[#This Row],[No. Of technicians]]*Table1[[#This Row],[Total Time to Repair(h)]]*Table1[[#This Row],[Failures per year]]</f>
        <v>0.56940000000000002</v>
      </c>
      <c r="X5" s="8">
        <v>100</v>
      </c>
      <c r="Y5" s="8">
        <v>7.0000000000000007E-2</v>
      </c>
      <c r="Z5" s="8">
        <v>7.0540000000000005E-2</v>
      </c>
      <c r="AA5" s="8">
        <f>Table1[[#This Row],[Percentage of Business Users]]*Table1[[#This Row],[SLA CU per hour]]*Table1[[#This Row],[Failures per year]]*Table1[[#This Row],[Total Time to Repair(h)]]</f>
        <v>0.79716000000000009</v>
      </c>
      <c r="AB5" s="8">
        <f>Table1[[#This Row],[Percentage of ITS and business users]]*Table1[[#This Row],[SLA CU per hour]]*Table1[[#This Row],[Failures per year]]*Table1[[#This Row],[Total Time to Repair(h)]]</f>
        <v>0.80330952</v>
      </c>
    </row>
    <row r="6" spans="1:28" x14ac:dyDescent="0.35">
      <c r="A6" s="16" t="s">
        <v>3</v>
      </c>
      <c r="B6" s="17" t="s">
        <v>74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1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3.0000000000000001E-3</v>
      </c>
      <c r="O6" s="8">
        <f>Table1[[#This Row],[Yearly Energy Consumption in kWh]]*Table1[[#This Row],[CU/kWh]]</f>
        <v>40.9968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5</v>
      </c>
      <c r="W6" s="8">
        <f>Table1[[#This Row],[Cost per hour]]*Table1[[#This Row],[No. Of technicians]]*Table1[[#This Row],[Total Time to Repair(h)]]*Table1[[#This Row],[Failures per year]]</f>
        <v>0</v>
      </c>
      <c r="X6" s="8">
        <v>100</v>
      </c>
      <c r="Y6" s="8">
        <v>7.0000000000000007E-2</v>
      </c>
      <c r="Z6" s="8">
        <v>7.0540000000000005E-2</v>
      </c>
      <c r="AA6" s="8">
        <f>Table1[[#This Row],[Percentage of Business Users]]*Table1[[#This Row],[SLA CU per hour]]*Table1[[#This Row],[Failures per year]]*Table1[[#This Row],[Total Time to Repair(h)]]</f>
        <v>0</v>
      </c>
      <c r="AB6" s="8">
        <f>Table1[[#This Row],[Percentage of ITS and business users]]*Table1[[#This Row],[SLA CU per hour]]*Table1[[#This Row],[Failures per year]]*Table1[[#This Row],[Total Time to Repair(h)]]</f>
        <v>0</v>
      </c>
    </row>
    <row r="7" spans="1:28" x14ac:dyDescent="0.35">
      <c r="A7" s="19" t="s">
        <v>3</v>
      </c>
      <c r="B7" s="20" t="s">
        <v>75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3.0000000000000001E-3</v>
      </c>
      <c r="O7" s="8">
        <f>Table1[[#This Row],[Yearly Energy Consumption in kWh]]*Table1[[#This Row],[CU/kWh]]</f>
        <v>1.3140000000000001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5</v>
      </c>
      <c r="W7" s="8">
        <f>Table1[[#This Row],[Cost per hour]]*Table1[[#This Row],[No. Of technicians]]*Table1[[#This Row],[Total Time to Repair(h)]]*Table1[[#This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Table1[[#This Row],[Percentage of Business Users]]*Table1[[#This Row],[SLA CU per hour]]*Table1[[#This Row],[Failures per year]]*Table1[[#This Row],[Total Time to Repair(h)]]</f>
        <v>0</v>
      </c>
      <c r="AB7" s="8">
        <f>Table1[[#This Row],[Percentage of ITS and business users]]*Table1[[#This Row],[SLA CU per hour]]*Table1[[#This Row],[Failures per year]]*Table1[[#This Row],[Total Time to Repair(h)]]</f>
        <v>0</v>
      </c>
    </row>
    <row r="8" spans="1:28" x14ac:dyDescent="0.35">
      <c r="A8" s="16" t="s">
        <v>8</v>
      </c>
      <c r="B8" s="17" t="s">
        <v>76</v>
      </c>
      <c r="C8" s="18">
        <f>80*0.3</f>
        <v>24</v>
      </c>
      <c r="D8" s="18">
        <v>65</v>
      </c>
      <c r="E8">
        <v>0.1</v>
      </c>
      <c r="F8" s="8">
        <f t="shared" si="0"/>
        <v>6.5</v>
      </c>
      <c r="G8" s="8">
        <v>10.6</v>
      </c>
      <c r="H8" s="8">
        <f t="shared" si="1"/>
        <v>68.899999999999991</v>
      </c>
      <c r="I8">
        <f>1/6*D8</f>
        <v>10.833333333333332</v>
      </c>
      <c r="J8">
        <v>12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3.0000000000000001E-3</v>
      </c>
      <c r="O8" s="8">
        <f>Table1[[#This Row],[Yearly Energy Consumption in kWh]]*Table1[[#This Row],[CU/kWh]]</f>
        <v>0</v>
      </c>
      <c r="P8">
        <v>4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0.4</v>
      </c>
      <c r="T8" s="8">
        <f>Table1[[#This Row],[MTTR]]+Table1[[#This Row],[Twice Travel Time]]</f>
        <v>12.4</v>
      </c>
      <c r="U8">
        <v>1</v>
      </c>
      <c r="V8" s="8">
        <v>5</v>
      </c>
      <c r="W8" s="8">
        <f>Table1[[#This Row],[Cost per hour]]*Table1[[#This Row],[No. Of technicians]]*Table1[[#This Row],[Total Time to Repair(h)]]*Table1[[#This Row],[Failures per year]]</f>
        <v>7.0605599999999997</v>
      </c>
      <c r="X8" s="8">
        <v>100</v>
      </c>
      <c r="Y8" s="8">
        <v>7.0000000000000007E-2</v>
      </c>
      <c r="Z8" s="8">
        <v>7.0540000000000005E-2</v>
      </c>
      <c r="AA8" s="8">
        <f>Table1[[#This Row],[Percentage of Business Users]]*Table1[[#This Row],[SLA CU per hour]]*Table1[[#This Row],[Failures per year]]*Table1[[#This Row],[Total Time to Repair(h)]]</f>
        <v>9.8847840000000016</v>
      </c>
      <c r="AB8" s="8">
        <f>Table1[[#This Row],[Percentage of ITS and business users]]*Table1[[#This Row],[SLA CU per hour]]*Table1[[#This Row],[Failures per year]]*Table1[[#This Row],[Total Time to Repair(h)]]</f>
        <v>9.9610380480000007</v>
      </c>
    </row>
    <row r="9" spans="1:28" x14ac:dyDescent="0.35">
      <c r="A9" s="19" t="s">
        <v>13</v>
      </c>
      <c r="B9" s="20" t="s">
        <v>60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512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3.0000000000000001E-3</v>
      </c>
      <c r="O9" s="8">
        <f>Table1[[#This Row],[Yearly Energy Consumption in kWh]]*Table1[[#This Row],[CU/kWh]]</f>
        <v>6570</v>
      </c>
      <c r="P9">
        <v>6</v>
      </c>
      <c r="Q9">
        <v>20</v>
      </c>
      <c r="R9" s="8">
        <f>Table1[[#This Row],[Quantity]]*Table1[[#This Row],[FIT]]*24*365/1000000000</f>
        <v>22.425599999999999</v>
      </c>
      <c r="S9" s="8">
        <f>2*Table1[[#This Row],[Mean dist in km from CO]]/Table1[[#This Row],[Avg Travel Speed]]</f>
        <v>0.6</v>
      </c>
      <c r="T9" s="8">
        <f>Table1[[#This Row],[MTTR]]+Table1[[#This Row],[Twice Travel Time]]</f>
        <v>24.6</v>
      </c>
      <c r="U9">
        <v>1</v>
      </c>
      <c r="V9" s="8">
        <v>5</v>
      </c>
      <c r="W9" s="8">
        <f>Table1[[#This Row],[Cost per hour]]*Table1[[#This Row],[No. Of technicians]]*Table1[[#This Row],[Total Time to Repair(h)]]*Table1[[#This Row],[Failures per year]]</f>
        <v>2758.3487999999998</v>
      </c>
      <c r="X9" s="8">
        <v>100</v>
      </c>
      <c r="Y9" s="8">
        <v>7.0000000000000007E-2</v>
      </c>
      <c r="Z9" s="8">
        <v>7.0540000000000005E-2</v>
      </c>
      <c r="AA9" s="8">
        <f>Table1[[#This Row],[Percentage of Business Users]]*Table1[[#This Row],[SLA CU per hour]]*Table1[[#This Row],[Failures per year]]*Table1[[#This Row],[Total Time to Repair(h)]]</f>
        <v>3861.6883200000007</v>
      </c>
      <c r="AB9" s="8">
        <f>Table1[[#This Row],[Percentage of ITS and business users]]*Table1[[#This Row],[SLA CU per hour]]*Table1[[#This Row],[Failures per year]]*Table1[[#This Row],[Total Time to Repair(h)]]</f>
        <v>3891.4784870400003</v>
      </c>
    </row>
    <row r="10" spans="1:28" x14ac:dyDescent="0.35">
      <c r="A10" s="16" t="s">
        <v>13</v>
      </c>
      <c r="B10" s="17" t="s">
        <v>77</v>
      </c>
      <c r="C10" s="18">
        <v>1.86</v>
      </c>
      <c r="D10" s="18">
        <v>5000</v>
      </c>
      <c r="E10">
        <v>1</v>
      </c>
      <c r="F10" s="8">
        <f t="shared" si="0"/>
        <v>5000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3.0000000000000001E-3</v>
      </c>
      <c r="O10" s="8">
        <f>Table1[[#This Row],[Yearly Energy Consumption in kWh]]*Table1[[#This Row],[CU/kWh]]</f>
        <v>617.58000000000004</v>
      </c>
      <c r="P10">
        <v>6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0.6</v>
      </c>
      <c r="T10" s="8">
        <f>Table1[[#This Row],[MTTR]]+Table1[[#This Row],[Twice Travel Time]]</f>
        <v>6.6</v>
      </c>
      <c r="U10">
        <v>1</v>
      </c>
      <c r="V10" s="8">
        <v>5</v>
      </c>
      <c r="W10" s="8">
        <f>Table1[[#This Row],[Cost per hour]]*Table1[[#This Row],[No. Of technicians]]*Table1[[#This Row],[Total Time to Repair(h)]]*Table1[[#This Row],[Failures per year]]</f>
        <v>370.0224</v>
      </c>
      <c r="X10" s="8">
        <v>100</v>
      </c>
      <c r="Y10" s="8">
        <v>7.0000000000000007E-2</v>
      </c>
      <c r="Z10" s="8">
        <v>7.0540000000000005E-2</v>
      </c>
      <c r="AA10" s="8">
        <f>Table1[[#This Row],[Percentage of Business Users]]*Table1[[#This Row],[SLA CU per hour]]*Table1[[#This Row],[Failures per year]]*Table1[[#This Row],[Total Time to Repair(h)]]</f>
        <v>518.03136000000006</v>
      </c>
      <c r="AB10" s="8">
        <f>Table1[[#This Row],[Percentage of ITS and business users]]*Table1[[#This Row],[SLA CU per hour]]*Table1[[#This Row],[Failures per year]]*Table1[[#This Row],[Total Time to Repair(h)]]</f>
        <v>522.02760191999994</v>
      </c>
    </row>
    <row r="11" spans="1:28" x14ac:dyDescent="0.35">
      <c r="B11" s="34"/>
      <c r="C11" s="35"/>
      <c r="D11" s="35"/>
      <c r="E11" s="22"/>
      <c r="F11" s="22"/>
      <c r="G11" s="22"/>
      <c r="H11" s="22">
        <f>SUBTOTAL(109,Table1[Total Rent cost per year])</f>
        <v>4078.88</v>
      </c>
      <c r="I11" s="22"/>
      <c r="J11" s="22"/>
      <c r="K11" s="22"/>
      <c r="L11" s="22"/>
      <c r="M11" s="22"/>
      <c r="N11" s="22"/>
      <c r="O11" s="22">
        <f>SUBTOTAL(109,Table1[Energy Cost per year in CU])</f>
        <v>7993.5875999999998</v>
      </c>
      <c r="P11" s="22"/>
      <c r="Q11" s="22"/>
      <c r="R11" s="22"/>
      <c r="S11" s="22"/>
      <c r="T11" s="22"/>
      <c r="U11" s="22"/>
      <c r="V11" s="22"/>
      <c r="W11" s="22">
        <f>SUM(Table1[FM Cost])</f>
        <v>3137.2745135999994</v>
      </c>
      <c r="X11" s="22"/>
      <c r="Y11" s="22"/>
      <c r="Z11" s="22"/>
      <c r="AA11" s="22">
        <f>SUBTOTAL(109,Table1[FM Penalty Business])</f>
        <v>4392.1843190400004</v>
      </c>
      <c r="AB11" s="22">
        <f>SUBTOTAL(109,Table1[FM Penalty ITS])</f>
        <v>4426.0668837868798</v>
      </c>
    </row>
    <row r="13" spans="1:28" x14ac:dyDescent="0.35">
      <c r="M13" t="s">
        <v>69</v>
      </c>
    </row>
    <row r="14" spans="1:28" x14ac:dyDescent="0.35">
      <c r="M14">
        <f>Table1[[#Totals],[Total Rent cost per year]]+Table1[[#Totals],[Energy Cost per year in CU]]+Table1[[#Totals],[FM Cost]]+J20</f>
        <v>16099.14718885714</v>
      </c>
    </row>
    <row r="17" spans="1:15" x14ac:dyDescent="0.35">
      <c r="A17" s="8" t="s">
        <v>39</v>
      </c>
      <c r="B17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109</v>
      </c>
      <c r="L17" s="8" t="s">
        <v>115</v>
      </c>
      <c r="M17" s="8" t="s">
        <v>116</v>
      </c>
      <c r="N17" s="8" t="s">
        <v>117</v>
      </c>
      <c r="O17" s="8" t="s">
        <v>118</v>
      </c>
    </row>
    <row r="18" spans="1:15" x14ac:dyDescent="0.35">
      <c r="A18" t="s">
        <v>41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2</v>
      </c>
      <c r="F18">
        <v>5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87.388197392478176</v>
      </c>
      <c r="K18" s="8">
        <v>100</v>
      </c>
      <c r="L18">
        <v>7.0000000000000007E-2</v>
      </c>
      <c r="M18">
        <v>7.0540000000000005E-2</v>
      </c>
      <c r="N18">
        <f>L18*K18*I18*C18*24*365/1000000000</f>
        <v>61.171738174734742</v>
      </c>
      <c r="O18">
        <f>M18*K18*I18*C18*24*365/1000000000</f>
        <v>61.643634440654118</v>
      </c>
    </row>
    <row r="19" spans="1:15" x14ac:dyDescent="0.35">
      <c r="A19" t="s">
        <v>62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2</v>
      </c>
      <c r="F19">
        <v>5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802.01687786466141</v>
      </c>
      <c r="K19" s="8">
        <v>100</v>
      </c>
      <c r="L19" s="8">
        <v>7.0000000000000007E-2</v>
      </c>
      <c r="M19" s="8">
        <v>7.0540000000000005E-2</v>
      </c>
      <c r="N19" s="8">
        <f>L19*K19*I19*C19*24*365/1000000000</f>
        <v>561.41181450526301</v>
      </c>
      <c r="O19" s="8">
        <f>M19*K19*I19*C19*24*365/1000000000</f>
        <v>565.74270564573214</v>
      </c>
    </row>
    <row r="20" spans="1:15" x14ac:dyDescent="0.35">
      <c r="J20">
        <f>SUM(J18:J19)</f>
        <v>889.40507525713963</v>
      </c>
      <c r="K20" s="8"/>
      <c r="L20" s="8"/>
    </row>
    <row r="33" spans="11:16" x14ac:dyDescent="0.35">
      <c r="M33" s="8" t="s">
        <v>89</v>
      </c>
      <c r="N33" s="8" t="s">
        <v>110</v>
      </c>
      <c r="O33" t="s">
        <v>111</v>
      </c>
      <c r="P33" t="s">
        <v>119</v>
      </c>
    </row>
    <row r="34" spans="11:16" x14ac:dyDescent="0.35">
      <c r="K34" t="s">
        <v>136</v>
      </c>
      <c r="M34" s="8" t="s">
        <v>90</v>
      </c>
      <c r="N34" s="8">
        <f>N44/$K$35</f>
        <v>0.13939170254938146</v>
      </c>
      <c r="O34" s="8">
        <f t="shared" ref="O34:P34" si="3">O44/$K$35</f>
        <v>0.13939170254938146</v>
      </c>
      <c r="P34" s="8">
        <f t="shared" si="3"/>
        <v>0.13939170254938146</v>
      </c>
    </row>
    <row r="35" spans="11:16" x14ac:dyDescent="0.35">
      <c r="K35" s="8">
        <v>29262</v>
      </c>
      <c r="M35" s="8" t="s">
        <v>91</v>
      </c>
      <c r="N35" s="8">
        <f t="shared" ref="N35:P38" si="4">N45/$K$35</f>
        <v>0.27317297518966577</v>
      </c>
      <c r="O35" s="8">
        <f t="shared" si="4"/>
        <v>0.27317297518966577</v>
      </c>
      <c r="P35" s="8">
        <f t="shared" si="4"/>
        <v>0.27317297518966577</v>
      </c>
    </row>
    <row r="36" spans="11:16" x14ac:dyDescent="0.35">
      <c r="M36" s="8" t="s">
        <v>92</v>
      </c>
      <c r="N36" s="8">
        <f t="shared" si="4"/>
        <v>0.1072132633996309</v>
      </c>
      <c r="O36" s="8">
        <f t="shared" si="4"/>
        <v>0.28770637372350283</v>
      </c>
      <c r="P36" s="8">
        <f t="shared" si="4"/>
        <v>0.28886427696821881</v>
      </c>
    </row>
    <row r="37" spans="11:16" x14ac:dyDescent="0.35">
      <c r="M37" s="8" t="s">
        <v>93</v>
      </c>
      <c r="N37" s="8">
        <f t="shared" si="4"/>
        <v>2.5988897056933909E-2</v>
      </c>
      <c r="O37" s="8">
        <f t="shared" si="4"/>
        <v>3.50135525731275E-2</v>
      </c>
      <c r="P37" s="8">
        <f t="shared" si="4"/>
        <v>3.5071447735363304E-2</v>
      </c>
    </row>
    <row r="38" spans="11:16" x14ac:dyDescent="0.35">
      <c r="M38" s="8" t="s">
        <v>94</v>
      </c>
      <c r="N38" s="8">
        <f t="shared" si="4"/>
        <v>3.638445587970747E-2</v>
      </c>
      <c r="O38" s="8">
        <f t="shared" si="4"/>
        <v>4.9018973602378509E-2</v>
      </c>
      <c r="P38" s="8">
        <f t="shared" si="4"/>
        <v>4.9100026829508626E-2</v>
      </c>
    </row>
    <row r="39" spans="11:16" x14ac:dyDescent="0.35">
      <c r="M39" s="8"/>
      <c r="N39" s="27">
        <f>SUM(N34:N38)</f>
        <v>0.58215129407531951</v>
      </c>
      <c r="O39" s="27">
        <f>SUM(O34:O38)</f>
        <v>0.78430357763805614</v>
      </c>
      <c r="P39" s="27">
        <f>SUM(P34:P38)</f>
        <v>0.78560042927213802</v>
      </c>
    </row>
    <row r="43" spans="11:16" x14ac:dyDescent="0.35">
      <c r="M43" s="8" t="s">
        <v>89</v>
      </c>
      <c r="N43" s="8" t="s">
        <v>110</v>
      </c>
      <c r="O43" s="8" t="s">
        <v>111</v>
      </c>
      <c r="P43" s="8" t="s">
        <v>119</v>
      </c>
    </row>
    <row r="44" spans="11:16" x14ac:dyDescent="0.35">
      <c r="M44" s="8" t="s">
        <v>90</v>
      </c>
      <c r="N44" s="8">
        <f>Table1[[#Totals],[Total Rent cost per year]]</f>
        <v>4078.88</v>
      </c>
      <c r="O44" s="8">
        <f>Table1[[#Totals],[Total Rent cost per year]]</f>
        <v>4078.88</v>
      </c>
      <c r="P44" s="8">
        <f>Table1[[#Totals],[Total Rent cost per year]]</f>
        <v>4078.88</v>
      </c>
    </row>
    <row r="45" spans="11:16" x14ac:dyDescent="0.35">
      <c r="M45" s="8" t="s">
        <v>91</v>
      </c>
      <c r="N45" s="8">
        <f>Table1[[#Totals],[Energy Cost per year in CU]]</f>
        <v>7993.5875999999998</v>
      </c>
      <c r="O45" s="8">
        <f>Table1[[#Totals],[Energy Cost per year in CU]]</f>
        <v>7993.5875999999998</v>
      </c>
      <c r="P45" s="8">
        <f>Table1[[#Totals],[Energy Cost per year in CU]]</f>
        <v>7993.5875999999998</v>
      </c>
    </row>
    <row r="46" spans="11:16" x14ac:dyDescent="0.35">
      <c r="M46" s="8" t="s">
        <v>92</v>
      </c>
      <c r="N46" s="8">
        <f>Table1[[#Totals],[FM Cost]]+J30</f>
        <v>3137.2745135999994</v>
      </c>
      <c r="O46" s="8">
        <f>Table1[[#Totals],[FM Cost]]+$J$20+N28+N29+Table1[[#Totals],[FM Penalty Business]]</f>
        <v>8418.8639078971391</v>
      </c>
      <c r="P46" s="8">
        <f>Table1[[#Totals],[FM Cost]]+$J$20+O28+O29+Table1[[#Totals],[FM Penalty ITS]]</f>
        <v>8452.7464726440194</v>
      </c>
    </row>
    <row r="47" spans="11:16" x14ac:dyDescent="0.35">
      <c r="M47" s="8" t="s">
        <v>93</v>
      </c>
      <c r="N47" s="8">
        <f>0.05*SUM(N44:N46)</f>
        <v>760.48710568000001</v>
      </c>
      <c r="O47" s="8">
        <f>0.05*SUM(O44:O46)</f>
        <v>1024.566575394857</v>
      </c>
      <c r="P47" s="8">
        <f>0.05*SUM(P44:P46)</f>
        <v>1026.2607036322011</v>
      </c>
    </row>
    <row r="48" spans="11:16" x14ac:dyDescent="0.35">
      <c r="M48" s="8" t="s">
        <v>94</v>
      </c>
      <c r="N48" s="8">
        <f>0.07*SUM(N44:N46)</f>
        <v>1064.681947952</v>
      </c>
      <c r="O48" s="8">
        <f>0.07*SUM(O44:O46)</f>
        <v>1434.3932055527998</v>
      </c>
      <c r="P48" s="8">
        <f>0.07*SUM(P44:P46)</f>
        <v>1436.7649850850814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opLeftCell="D1" workbookViewId="0">
      <selection activeCell="I24" sqref="I24"/>
    </sheetView>
  </sheetViews>
  <sheetFormatPr defaultRowHeight="14.5" x14ac:dyDescent="0.35"/>
  <cols>
    <col min="1" max="1" width="22.1796875" customWidth="1"/>
    <col min="2" max="2" width="25.26953125" customWidth="1"/>
    <col min="3" max="3" width="25" customWidth="1"/>
    <col min="4" max="4" width="22.26953125" customWidth="1"/>
    <col min="5" max="5" width="26" customWidth="1"/>
    <col min="6" max="6" width="17.26953125" customWidth="1"/>
    <col min="7" max="7" width="21.26953125" customWidth="1"/>
    <col min="8" max="8" width="22.7265625" customWidth="1"/>
    <col min="9" max="9" width="17.7265625" customWidth="1"/>
    <col min="12" max="12" width="21.7265625" customWidth="1"/>
    <col min="13" max="13" width="16.1796875" customWidth="1"/>
    <col min="16" max="16" width="14.816406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s="10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t="s">
        <v>3</v>
      </c>
      <c r="B2" s="24" t="s">
        <v>70</v>
      </c>
      <c r="C2">
        <v>16</v>
      </c>
      <c r="D2" s="23">
        <f>3*2</f>
        <v>6</v>
      </c>
      <c r="E2">
        <v>0.1</v>
      </c>
      <c r="F2">
        <f>Table4[[#This Row],[Quantity]]*Table4[[#This Row],[Floor Space per component]]</f>
        <v>0.60000000000000009</v>
      </c>
      <c r="G2">
        <v>10.6</v>
      </c>
      <c r="H2">
        <f>G2*F2</f>
        <v>6.36</v>
      </c>
      <c r="I2" s="8">
        <v>0</v>
      </c>
      <c r="J2" s="8">
        <v>2</v>
      </c>
      <c r="K2" s="8">
        <v>256</v>
      </c>
      <c r="L2" s="8">
        <f>12*E2</f>
        <v>1.2000000000000002</v>
      </c>
      <c r="M2" s="8">
        <f>Table4[[#This Row],[Energy consumption in W]]*24*365/1000</f>
        <v>10.512000000000002</v>
      </c>
      <c r="N2" s="8">
        <f>0.15/50</f>
        <v>3.0000000000000001E-3</v>
      </c>
      <c r="O2" s="8">
        <f>Table4[[#This Row],[Yearly Energy Consumption in kWh]]*Table4[[#This Row],[CU/kWh]]</f>
        <v>3.1536000000000008E-2</v>
      </c>
      <c r="P2" s="8">
        <v>0</v>
      </c>
      <c r="Q2" s="8">
        <v>20</v>
      </c>
      <c r="R2" s="8">
        <f>Table4[[#This Row],[Quantity]]*Table4[[#This Row],[FIT]]*24*365/1000000000</f>
        <v>1.345536E-2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5</v>
      </c>
      <c r="W2" s="8">
        <f>Table4[[#This Row],[Cost per hour]]*Table4[[#This Row],[No. Of technicians]]*Table4[[#This Row],[Total Time to Repair(h)]]*Table4[[#This Row],[Failures per year]]</f>
        <v>0.1345536</v>
      </c>
      <c r="X2" s="8">
        <v>100</v>
      </c>
      <c r="Y2" s="8">
        <v>7.0000000000000007E-2</v>
      </c>
      <c r="Z2" s="8">
        <v>7.0540000000000005E-2</v>
      </c>
      <c r="AA2" s="8">
        <f>Table4[[#This Row],[Percentage of Business Users]]*Table4[[#This Row],[SLA CU per hour]]*Table4[[#This Row],[Failures per year]]*Table4[[#This Row],[Total Time to Repair(h)]]</f>
        <v>0.18837504000000002</v>
      </c>
      <c r="AB2" s="8">
        <f>Table4[[#This Row],[Percentage of ITS and business users]]*Table4[[#This Row],[SLA CU per hour]]*Table4[[#This Row],[Failures per year]]*Table4[[#This Row],[Total Time to Repair(h)]]</f>
        <v>0.18982821888000001</v>
      </c>
    </row>
    <row r="3" spans="1:28" x14ac:dyDescent="0.35">
      <c r="A3" t="s">
        <v>3</v>
      </c>
      <c r="B3" s="24" t="s">
        <v>71</v>
      </c>
      <c r="C3">
        <v>8.8000000000000007</v>
      </c>
      <c r="D3" s="23">
        <f>65*2</f>
        <v>130</v>
      </c>
      <c r="E3">
        <v>5</v>
      </c>
      <c r="F3" s="8">
        <f>Table4[[#This Row],[Quantity]]*Table4[[#This Row],[Floor Space per component]]</f>
        <v>650</v>
      </c>
      <c r="G3">
        <v>10.6</v>
      </c>
      <c r="H3" s="8">
        <f t="shared" ref="H3:H10" si="0">G3*F3</f>
        <v>6890</v>
      </c>
      <c r="I3" s="8">
        <f>0.5+(1/6*D3)</f>
        <v>22.166666666666664</v>
      </c>
      <c r="J3" s="8">
        <v>2</v>
      </c>
      <c r="K3" s="8">
        <v>50</v>
      </c>
      <c r="L3" s="8">
        <f>5*80*Table4[[#This Row],[Quantity]]</f>
        <v>52000</v>
      </c>
      <c r="M3" s="8">
        <f>Table4[[#This Row],[Energy consumption in W]]*24*365/1000</f>
        <v>455520</v>
      </c>
      <c r="N3" s="8">
        <f t="shared" ref="N3:N8" si="1">0.15/50</f>
        <v>3.0000000000000001E-3</v>
      </c>
      <c r="O3" s="8">
        <f>Table4[[#This Row],[Yearly Energy Consumption in kWh]]*Table4[[#This Row],[CU/kWh]]</f>
        <v>1366.56</v>
      </c>
      <c r="P3" s="8">
        <v>0</v>
      </c>
      <c r="Q3" s="8">
        <v>20</v>
      </c>
      <c r="R3" s="8">
        <f>Table4[[#This Row],[Quantity]]*Table4[[#This Row],[FIT]]*24*365/1000000000</f>
        <v>5.6939999999999998E-2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5</v>
      </c>
      <c r="W3" s="8">
        <f>Table4[[#This Row],[Cost per hour]]*Table4[[#This Row],[No. Of technicians]]*Table4[[#This Row],[Total Time to Repair(h)]]*Table4[[#This Row],[Failures per year]]</f>
        <v>0.56940000000000002</v>
      </c>
      <c r="X3" s="8">
        <v>100</v>
      </c>
      <c r="Y3" s="8">
        <v>7.0000000000000007E-2</v>
      </c>
      <c r="Z3" s="8">
        <v>7.0540000000000005E-2</v>
      </c>
      <c r="AA3" s="8">
        <f>Table4[[#This Row],[Percentage of Business Users]]*Table4[[#This Row],[SLA CU per hour]]*Table4[[#This Row],[Failures per year]]*Table4[[#This Row],[Total Time to Repair(h)]]</f>
        <v>0.79716000000000009</v>
      </c>
      <c r="AB3" s="8">
        <f>Table4[[#This Row],[Percentage of ITS and business users]]*Table4[[#This Row],[SLA CU per hour]]*Table4[[#This Row],[Failures per year]]*Table4[[#This Row],[Total Time to Repair(h)]]</f>
        <v>0.80330952</v>
      </c>
    </row>
    <row r="4" spans="1:28" x14ac:dyDescent="0.35">
      <c r="A4" t="s">
        <v>3</v>
      </c>
      <c r="B4" s="24" t="s">
        <v>72</v>
      </c>
      <c r="C4">
        <v>63</v>
      </c>
      <c r="D4" s="23">
        <f>65*2</f>
        <v>130</v>
      </c>
      <c r="E4">
        <v>0.1</v>
      </c>
      <c r="F4" s="8">
        <f>Table4[[#This Row],[Quantity]]*Table4[[#This Row],[Floor Space per component]]</f>
        <v>13</v>
      </c>
      <c r="G4">
        <v>10.6</v>
      </c>
      <c r="H4" s="8">
        <f t="shared" si="0"/>
        <v>137.79999999999998</v>
      </c>
      <c r="I4" s="8">
        <f t="shared" ref="I4:I10" si="2">0.5+(1/6*D4)</f>
        <v>22.166666666666664</v>
      </c>
      <c r="J4" s="8">
        <v>2</v>
      </c>
      <c r="K4" s="8">
        <v>50</v>
      </c>
      <c r="L4" s="8">
        <f>48*D4</f>
        <v>6240</v>
      </c>
      <c r="M4" s="8">
        <f>Table4[[#This Row],[Energy consumption in W]]*24*365/1000</f>
        <v>54662.400000000001</v>
      </c>
      <c r="N4" s="8">
        <f t="shared" si="1"/>
        <v>3.0000000000000001E-3</v>
      </c>
      <c r="O4" s="8">
        <f>Table4[[#This Row],[Yearly Energy Consumption in kWh]]*Table4[[#This Row],[CU/kWh]]</f>
        <v>163.9872</v>
      </c>
      <c r="P4" s="8">
        <v>0</v>
      </c>
      <c r="Q4" s="8">
        <v>20</v>
      </c>
      <c r="R4" s="8">
        <f>Table4[[#This Row],[Quantity]]*Table4[[#This Row],[FIT]]*24*365/1000000000</f>
        <v>5.6939999999999998E-2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5</v>
      </c>
      <c r="W4" s="8">
        <f>Table4[[#This Row],[Cost per hour]]*Table4[[#This Row],[No. Of technicians]]*Table4[[#This Row],[Total Time to Repair(h)]]*Table4[[#This Row],[Failures per year]]</f>
        <v>0.56940000000000002</v>
      </c>
      <c r="X4" s="8">
        <v>100</v>
      </c>
      <c r="Y4" s="8">
        <v>7.0000000000000007E-2</v>
      </c>
      <c r="Z4" s="8">
        <v>7.0540000000000005E-2</v>
      </c>
      <c r="AA4" s="8">
        <f>Table4[[#This Row],[Percentage of Business Users]]*Table4[[#This Row],[SLA CU per hour]]*Table4[[#This Row],[Failures per year]]*Table4[[#This Row],[Total Time to Repair(h)]]</f>
        <v>0.79716000000000009</v>
      </c>
      <c r="AB4" s="8">
        <f>Table4[[#This Row],[Percentage of ITS and business users]]*Table4[[#This Row],[SLA CU per hour]]*Table4[[#This Row],[Failures per year]]*Table4[[#This Row],[Total Time to Repair(h)]]</f>
        <v>0.80330952</v>
      </c>
    </row>
    <row r="5" spans="1:28" x14ac:dyDescent="0.35">
      <c r="A5" t="s">
        <v>3</v>
      </c>
      <c r="B5" s="24" t="s">
        <v>73</v>
      </c>
      <c r="C5">
        <v>2.2999999999999998</v>
      </c>
      <c r="D5" s="23">
        <f>65*2</f>
        <v>130</v>
      </c>
      <c r="E5">
        <v>0.1</v>
      </c>
      <c r="F5" s="8">
        <f>Table4[[#This Row],[Quantity]]*Table4[[#This Row],[Floor Space per component]]</f>
        <v>13</v>
      </c>
      <c r="G5">
        <v>10.6</v>
      </c>
      <c r="H5" s="8">
        <f t="shared" si="0"/>
        <v>137.79999999999998</v>
      </c>
      <c r="I5" s="8">
        <f t="shared" si="2"/>
        <v>22.166666666666664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3.0000000000000001E-3</v>
      </c>
      <c r="O5" s="8">
        <f>Table4[[#This Row],[Yearly Energy Consumption in kWh]]*Table4[[#This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5.6939999999999998E-2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5</v>
      </c>
      <c r="W5" s="8">
        <f>Table4[[#This Row],[Cost per hour]]*Table4[[#This Row],[No. Of technicians]]*Table4[[#This Row],[Total Time to Repair(h)]]*Table4[[#This Row],[Failures per year]]</f>
        <v>0.56940000000000002</v>
      </c>
      <c r="X5" s="8">
        <v>100</v>
      </c>
      <c r="Y5" s="8">
        <v>7.0000000000000007E-2</v>
      </c>
      <c r="Z5" s="8">
        <v>7.0540000000000005E-2</v>
      </c>
      <c r="AA5" s="8">
        <f>Table4[[#This Row],[Percentage of Business Users]]*Table4[[#This Row],[SLA CU per hour]]*Table4[[#This Row],[Failures per year]]*Table4[[#This Row],[Total Time to Repair(h)]]</f>
        <v>0.79716000000000009</v>
      </c>
      <c r="AB5" s="8">
        <f>Table4[[#This Row],[Percentage of ITS and business users]]*Table4[[#This Row],[SLA CU per hour]]*Table4[[#This Row],[Failures per year]]*Table4[[#This Row],[Total Time to Repair(h)]]</f>
        <v>0.80330952</v>
      </c>
    </row>
    <row r="6" spans="1:28" x14ac:dyDescent="0.35">
      <c r="A6" t="s">
        <v>3</v>
      </c>
      <c r="B6" s="24" t="s">
        <v>74</v>
      </c>
      <c r="C6">
        <v>2.2222222222222223E-2</v>
      </c>
      <c r="D6" s="23">
        <v>3120</v>
      </c>
      <c r="E6">
        <v>0</v>
      </c>
      <c r="F6" s="8">
        <f>Table4[[#This Row],[Quantity]]*Table4[[#This Row],[Floor Space per component]]</f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3.0000000000000001E-3</v>
      </c>
      <c r="O6" s="8">
        <f>Table4[[#This Row],[Yearly Energy Consumption in kWh]]*Table4[[#This Row],[CU/kWh]]</f>
        <v>81.993600000000001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5</v>
      </c>
      <c r="W6" s="8">
        <f>Table4[[#This Row],[Cost per hour]]*Table4[[#This Row],[No. Of technicians]]*Table4[[#This Row],[Total Time to Repair(h)]]*Table4[[#This Row],[Failures per year]]</f>
        <v>0</v>
      </c>
      <c r="X6" s="8">
        <v>100</v>
      </c>
      <c r="Y6" s="8">
        <v>7.0000000000000007E-2</v>
      </c>
      <c r="Z6" s="8">
        <v>7.0540000000000005E-2</v>
      </c>
      <c r="AA6" s="8">
        <f>Table4[[#This Row],[Percentage of Business Users]]*Table4[[#This Row],[SLA CU per hour]]*Table4[[#This Row],[Failures per year]]*Table4[[#This Row],[Total Time to Repair(h)]]</f>
        <v>0</v>
      </c>
      <c r="AB6" s="8">
        <f>Table4[[#This Row],[Percentage of ITS and business users]]*Table4[[#This Row],[SLA CU per hour]]*Table4[[#This Row],[Failures per year]]*Table4[[#This Row],[Total Time to Repair(h)]]</f>
        <v>0</v>
      </c>
    </row>
    <row r="7" spans="1:28" x14ac:dyDescent="0.35">
      <c r="A7" t="s">
        <v>3</v>
      </c>
      <c r="B7" s="24" t="s">
        <v>75</v>
      </c>
      <c r="C7">
        <v>400</v>
      </c>
      <c r="D7" s="23">
        <v>2</v>
      </c>
      <c r="E7">
        <v>40</v>
      </c>
      <c r="F7" s="8">
        <f>Table4[[#This Row],[Quantity]]*Table4[[#This Row],[Floor Space per component]]</f>
        <v>80</v>
      </c>
      <c r="G7">
        <v>10.6</v>
      </c>
      <c r="H7" s="8">
        <f t="shared" si="0"/>
        <v>848</v>
      </c>
      <c r="I7" s="8">
        <f t="shared" si="2"/>
        <v>0.83333333333333326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3.0000000000000001E-3</v>
      </c>
      <c r="O7" s="8">
        <f>Table4[[#This Row],[Yearly Energy Consumption in kWh]]*Table4[[#This Row],[CU/kWh]]</f>
        <v>1.3140000000000001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5</v>
      </c>
      <c r="W7" s="8">
        <f>Table4[[#This Row],[Cost per hour]]*Table4[[#This Row],[No. Of technicians]]*Table4[[#This Row],[Total Time to Repair(h)]]*Table4[[#This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Table4[[#This Row],[Percentage of Business Users]]*Table4[[#This Row],[SLA CU per hour]]*Table4[[#This Row],[Failures per year]]*Table4[[#This Row],[Total Time to Repair(h)]]</f>
        <v>0</v>
      </c>
      <c r="AB7" s="8">
        <f>Table4[[#This Row],[Percentage of ITS and business users]]*Table4[[#This Row],[SLA CU per hour]]*Table4[[#This Row],[Failures per year]]*Table4[[#This Row],[Total Time to Repair(h)]]</f>
        <v>0</v>
      </c>
    </row>
    <row r="8" spans="1:28" x14ac:dyDescent="0.35">
      <c r="A8" t="s">
        <v>8</v>
      </c>
      <c r="B8" s="24" t="s">
        <v>76</v>
      </c>
      <c r="C8">
        <v>24</v>
      </c>
      <c r="D8" s="23">
        <f>65*2</f>
        <v>130</v>
      </c>
      <c r="E8">
        <v>0.1</v>
      </c>
      <c r="F8" s="8">
        <f>Table4[[#This Row],[Quantity]]*Table4[[#This Row],[Floor Space per component]]</f>
        <v>13</v>
      </c>
      <c r="G8">
        <v>10.6</v>
      </c>
      <c r="H8" s="8">
        <f t="shared" si="0"/>
        <v>137.79999999999998</v>
      </c>
      <c r="I8" s="8">
        <f t="shared" si="2"/>
        <v>22.166666666666664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3.0000000000000001E-3</v>
      </c>
      <c r="O8" s="8">
        <f>Table4[[#This Row],[Yearly Energy Consumption in kWh]]*Table4[[#This Row],[CU/kWh]]</f>
        <v>0</v>
      </c>
      <c r="P8" s="8">
        <v>2</v>
      </c>
      <c r="Q8" s="8">
        <v>20</v>
      </c>
      <c r="R8" s="8">
        <f>Table4[[#This Row],[Quantity]]*Table4[[#This Row],[FIT]]*24*365/1000000000</f>
        <v>0.22775999999999999</v>
      </c>
      <c r="S8" s="8">
        <f>2*Table4[[#This Row],[Mean dist in km from CO]]/Table4[[#This Row],[Avg Travel Speed]]</f>
        <v>0.2</v>
      </c>
      <c r="T8" s="8">
        <f>Table4[[#This Row],[MTTR]]+Table4[[#This Row],[Twice Travel Time]]</f>
        <v>6.2</v>
      </c>
      <c r="U8" s="8">
        <v>1</v>
      </c>
      <c r="V8" s="8">
        <v>5</v>
      </c>
      <c r="W8" s="8">
        <f>Table4[[#This Row],[Cost per hour]]*Table4[[#This Row],[No. Of technicians]]*Table4[[#This Row],[Total Time to Repair(h)]]*Table4[[#This Row],[Failures per year]]</f>
        <v>7.0605599999999997</v>
      </c>
      <c r="X8" s="8">
        <v>100</v>
      </c>
      <c r="Y8" s="8">
        <v>7.0000000000000007E-2</v>
      </c>
      <c r="Z8" s="8">
        <v>7.0540000000000005E-2</v>
      </c>
      <c r="AA8" s="8">
        <f>Table4[[#This Row],[Percentage of Business Users]]*Table4[[#This Row],[SLA CU per hour]]*Table4[[#This Row],[Failures per year]]*Table4[[#This Row],[Total Time to Repair(h)]]</f>
        <v>9.8847840000000016</v>
      </c>
      <c r="AB8" s="8">
        <f>Table4[[#This Row],[Percentage of ITS and business users]]*Table4[[#This Row],[SLA CU per hour]]*Table4[[#This Row],[Failures per year]]*Table4[[#This Row],[Total Time to Repair(h)]]</f>
        <v>9.9610380480000007</v>
      </c>
    </row>
    <row r="9" spans="1:28" x14ac:dyDescent="0.35">
      <c r="A9" t="s">
        <v>13</v>
      </c>
      <c r="B9" s="24" t="s">
        <v>78</v>
      </c>
      <c r="C9">
        <v>1.8</v>
      </c>
      <c r="D9" s="23">
        <v>5000</v>
      </c>
      <c r="E9">
        <v>0.5</v>
      </c>
      <c r="F9" s="8">
        <f>Table4[[#This Row],[Quantity]]*Table4[[#This Row],[Floor Space per component]]</f>
        <v>2500</v>
      </c>
      <c r="G9">
        <v>0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25</v>
      </c>
      <c r="M9" s="8">
        <f>Table4[[#This Row],[Energy consumption in W]]*24*365/1000</f>
        <v>219</v>
      </c>
      <c r="N9" s="8">
        <v>0</v>
      </c>
      <c r="O9" s="8">
        <f>Table4[[#This Row],[Yearly Energy Consumption in kWh]]*Table4[[#This Row],[CU/kWh]]</f>
        <v>0</v>
      </c>
      <c r="P9" s="8">
        <v>6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0.6</v>
      </c>
      <c r="T9" s="8">
        <f>Table4[[#This Row],[MTTR]]+Table4[[#This Row],[Twice Travel Time]]</f>
        <v>6.6</v>
      </c>
      <c r="U9" s="8">
        <v>1</v>
      </c>
      <c r="V9" s="8">
        <v>5</v>
      </c>
      <c r="W9" s="8">
        <f>Table4[[#This Row],[Cost per hour]]*Table4[[#This Row],[No. Of technicians]]*Table4[[#This Row],[Total Time to Repair(h)]]*Table4[[#This Row],[Failures per year]]</f>
        <v>72.27</v>
      </c>
      <c r="X9" s="8">
        <v>100</v>
      </c>
      <c r="Y9" s="8">
        <v>7.0000000000000007E-2</v>
      </c>
      <c r="Z9" s="8">
        <v>7.0540000000000005E-2</v>
      </c>
      <c r="AA9" s="8">
        <f>Table4[[#This Row],[Percentage of Business Users]]*Table4[[#This Row],[SLA CU per hour]]*Table4[[#This Row],[Failures per year]]*Table4[[#This Row],[Total Time to Repair(h)]]</f>
        <v>101.17800000000001</v>
      </c>
      <c r="AB9" s="8">
        <f>Table4[[#This Row],[Percentage of ITS and business users]]*Table4[[#This Row],[SLA CU per hour]]*Table4[[#This Row],[Failures per year]]*Table4[[#This Row],[Total Time to Repair(h)]]</f>
        <v>101.95851599999999</v>
      </c>
    </row>
    <row r="10" spans="1:28" x14ac:dyDescent="0.35">
      <c r="A10" t="s">
        <v>13</v>
      </c>
      <c r="B10" s="24" t="s">
        <v>79</v>
      </c>
      <c r="C10">
        <v>1.86</v>
      </c>
      <c r="D10" s="23">
        <v>30000</v>
      </c>
      <c r="E10">
        <v>0.5</v>
      </c>
      <c r="F10" s="8">
        <f>Table4[[#This Row],[Quantity]]*Table4[[#This Row],[Floor Space per component]]</f>
        <v>15000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2.35</v>
      </c>
      <c r="M10" s="8">
        <f>Table4[[#This Row],[Energy consumption in W]]*24*365/1000</f>
        <v>20.586000000000002</v>
      </c>
      <c r="N10" s="8">
        <v>0</v>
      </c>
      <c r="O10" s="8">
        <f>Table4[[#This Row],[Yearly Energy Consumption in kWh]]*Table4[[#This Row],[CU/kWh]]</f>
        <v>0</v>
      </c>
      <c r="P10" s="8">
        <v>6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0.6</v>
      </c>
      <c r="T10" s="8">
        <f>Table4[[#This Row],[MTTR]]+Table4[[#This Row],[Twice Travel Time]]</f>
        <v>6.6</v>
      </c>
      <c r="U10" s="8">
        <v>1</v>
      </c>
      <c r="V10" s="8">
        <v>5</v>
      </c>
      <c r="W10" s="8">
        <f>Table4[[#This Row],[Cost per hour]]*Table4[[#This Row],[No. Of technicians]]*Table4[[#This Row],[Total Time to Repair(h)]]*Table4[[#This Row],[Failures per year]]</f>
        <v>2220.1343999999999</v>
      </c>
      <c r="X10" s="8">
        <v>100</v>
      </c>
      <c r="Y10" s="8">
        <v>7.0000000000000007E-2</v>
      </c>
      <c r="Z10" s="8">
        <v>7.0540000000000005E-2</v>
      </c>
      <c r="AA10" s="8">
        <f>Table4[[#This Row],[Percentage of Business Users]]*Table4[[#This Row],[SLA CU per hour]]*Table4[[#This Row],[Failures per year]]*Table4[[#This Row],[Total Time to Repair(h)]]</f>
        <v>3108.1881600000002</v>
      </c>
      <c r="AB10" s="8">
        <f>Table4[[#This Row],[Percentage of ITS and business users]]*Table4[[#This Row],[SLA CU per hour]]*Table4[[#This Row],[Failures per year]]*Table4[[#This Row],[Total Time to Repair(h)]]</f>
        <v>3132.1656115199994</v>
      </c>
    </row>
    <row r="11" spans="1:28" x14ac:dyDescent="0.35">
      <c r="H11">
        <f>SUBTOTAL(109,Table4[Total Rent cost per year])</f>
        <v>8157.76</v>
      </c>
      <c r="O11">
        <f>SUBTOTAL(109,Table4[Energy Cost per year in CU])</f>
        <v>1613.886336</v>
      </c>
      <c r="W11">
        <f>SUM(Table4[FM Cost])</f>
        <v>2301.3077135999997</v>
      </c>
      <c r="AA11">
        <f>SUBTOTAL(109,Table4[FM Penalty Business])</f>
        <v>3221.8307990400003</v>
      </c>
      <c r="AB11">
        <f>SUBTOTAL(109,Table4[FM Penalty ITS])</f>
        <v>3246.6849223468794</v>
      </c>
    </row>
    <row r="13" spans="1:28" x14ac:dyDescent="0.35">
      <c r="Q13" t="s">
        <v>69</v>
      </c>
    </row>
    <row r="14" spans="1:28" x14ac:dyDescent="0.35">
      <c r="Q14">
        <f>Table4[[#Totals],[Total Rent cost per year]]+Table4[[#Totals],[Energy Cost per year in CU]]+Table4[[#Totals],[FM Cost]]+J18</f>
        <v>12688.709680597713</v>
      </c>
    </row>
    <row r="15" spans="1:28" x14ac:dyDescent="0.3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K15" s="8" t="s">
        <v>109</v>
      </c>
      <c r="L15" s="8" t="s">
        <v>115</v>
      </c>
      <c r="M15" s="8" t="s">
        <v>116</v>
      </c>
      <c r="N15" s="8" t="s">
        <v>117</v>
      </c>
      <c r="O15" s="8" t="s">
        <v>118</v>
      </c>
    </row>
    <row r="16" spans="1:28" x14ac:dyDescent="0.35">
      <c r="A16" s="8" t="s">
        <v>41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K16" s="8">
        <v>100</v>
      </c>
      <c r="L16" s="8">
        <v>7.0000000000000007E-2</v>
      </c>
      <c r="M16" s="8">
        <v>7.0540000000000005E-2</v>
      </c>
      <c r="N16" s="8">
        <f>L16*K16*I16*C16*24*365/1000000000</f>
        <v>61.171738174734742</v>
      </c>
      <c r="O16" s="8">
        <f>M16*K16*I16*C16*24*365/1000000000</f>
        <v>61.643634440654118</v>
      </c>
    </row>
    <row r="17" spans="1:16" x14ac:dyDescent="0.35">
      <c r="A17" s="8" t="s">
        <v>62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  <c r="K17" s="8">
        <v>100</v>
      </c>
      <c r="L17" s="8">
        <v>7.0000000000000007E-2</v>
      </c>
      <c r="M17" s="8">
        <v>7.0540000000000005E-2</v>
      </c>
      <c r="N17" s="8">
        <f>L17*K17*I17*C17*24*365/1000000000</f>
        <v>1073.1149505052626</v>
      </c>
      <c r="O17" s="8">
        <f>M17*K17*I17*C17*24*365/1000000000</f>
        <v>1081.3932658377321</v>
      </c>
    </row>
    <row r="18" spans="1:16" x14ac:dyDescent="0.35">
      <c r="J18">
        <f>SUM(J16:J17)</f>
        <v>615.75563099771284</v>
      </c>
    </row>
    <row r="20" spans="1:16" x14ac:dyDescent="0.35">
      <c r="M20" s="8" t="s">
        <v>89</v>
      </c>
      <c r="N20" s="8" t="s">
        <v>110</v>
      </c>
      <c r="O20" t="s">
        <v>111</v>
      </c>
      <c r="P20" t="s">
        <v>119</v>
      </c>
    </row>
    <row r="21" spans="1:16" x14ac:dyDescent="0.35">
      <c r="M21" s="8" t="s">
        <v>90</v>
      </c>
      <c r="N21" s="8">
        <f>N31/$I$24</f>
        <v>0.27878340509876293</v>
      </c>
      <c r="O21" s="8">
        <f t="shared" ref="O21:P21" si="3">O31/$I$24</f>
        <v>0.27878340509876293</v>
      </c>
      <c r="P21" s="8">
        <f t="shared" si="3"/>
        <v>0.27878340509876293</v>
      </c>
    </row>
    <row r="22" spans="1:16" x14ac:dyDescent="0.35">
      <c r="M22" s="8" t="s">
        <v>91</v>
      </c>
      <c r="N22" s="8">
        <f t="shared" ref="N22:P25" si="4">N32/$I$24</f>
        <v>5.5152974369489439E-2</v>
      </c>
      <c r="O22" s="8">
        <f t="shared" si="4"/>
        <v>5.5152974369489439E-2</v>
      </c>
      <c r="P22" s="8">
        <f t="shared" si="4"/>
        <v>5.5152974369489439E-2</v>
      </c>
    </row>
    <row r="23" spans="1:16" x14ac:dyDescent="0.35">
      <c r="I23" t="s">
        <v>136</v>
      </c>
      <c r="M23" s="8" t="s">
        <v>92</v>
      </c>
      <c r="N23" s="8">
        <f t="shared" si="4"/>
        <v>7.8644922206274337E-2</v>
      </c>
      <c r="O23" s="8">
        <f t="shared" si="4"/>
        <v>0.20980644640474297</v>
      </c>
      <c r="P23" s="8">
        <f t="shared" si="4"/>
        <v>0.2106608317582383</v>
      </c>
    </row>
    <row r="24" spans="1:16" x14ac:dyDescent="0.35">
      <c r="I24" s="8">
        <v>29262</v>
      </c>
      <c r="M24" s="8" t="s">
        <v>93</v>
      </c>
      <c r="N24" s="8">
        <f t="shared" si="4"/>
        <v>2.0629065083726337E-2</v>
      </c>
      <c r="O24" s="8">
        <f t="shared" si="4"/>
        <v>2.7187141293649769E-2</v>
      </c>
      <c r="P24" s="8">
        <f t="shared" si="4"/>
        <v>2.7229860561324534E-2</v>
      </c>
    </row>
    <row r="25" spans="1:16" x14ac:dyDescent="0.35">
      <c r="M25" s="8" t="s">
        <v>94</v>
      </c>
      <c r="N25" s="8">
        <f t="shared" si="4"/>
        <v>2.8880691117216868E-2</v>
      </c>
      <c r="O25" s="8">
        <f t="shared" si="4"/>
        <v>3.8061997811109673E-2</v>
      </c>
      <c r="P25" s="8">
        <f t="shared" si="4"/>
        <v>3.8121804785854349E-2</v>
      </c>
    </row>
    <row r="26" spans="1:16" x14ac:dyDescent="0.35">
      <c r="M26" s="8"/>
      <c r="N26" s="27">
        <f>SUM(N21:N25)</f>
        <v>0.46209105787546995</v>
      </c>
      <c r="O26" s="27">
        <f>SUM(O21:O25)</f>
        <v>0.60899196497775476</v>
      </c>
      <c r="P26" s="27">
        <f>SUM(P21:P25)</f>
        <v>0.60994887657366958</v>
      </c>
    </row>
    <row r="30" spans="1:16" x14ac:dyDescent="0.35">
      <c r="M30" s="8" t="s">
        <v>89</v>
      </c>
      <c r="N30" s="8" t="s">
        <v>110</v>
      </c>
      <c r="O30" s="8" t="s">
        <v>111</v>
      </c>
      <c r="P30" s="8" t="s">
        <v>119</v>
      </c>
    </row>
    <row r="31" spans="1:16" x14ac:dyDescent="0.35">
      <c r="M31" s="8" t="s">
        <v>90</v>
      </c>
      <c r="N31" s="8">
        <f>Table4[[#Totals],[Total Rent cost per year]]</f>
        <v>8157.76</v>
      </c>
      <c r="O31" s="8">
        <f>Table4[[#Totals],[Total Rent cost per year]]</f>
        <v>8157.76</v>
      </c>
      <c r="P31" s="8">
        <f>Table4[[#Totals],[Total Rent cost per year]]</f>
        <v>8157.76</v>
      </c>
    </row>
    <row r="32" spans="1:16" x14ac:dyDescent="0.35">
      <c r="M32" s="8" t="s">
        <v>91</v>
      </c>
      <c r="N32" s="8">
        <f>Table4[[#Totals],[Energy Cost per year in CU]]</f>
        <v>1613.886336</v>
      </c>
      <c r="O32" s="8">
        <f>Table4[[#Totals],[Energy Cost per year in CU]]</f>
        <v>1613.886336</v>
      </c>
      <c r="P32" s="8">
        <f>Table4[[#Totals],[Energy Cost per year in CU]]</f>
        <v>1613.886336</v>
      </c>
    </row>
    <row r="33" spans="13:16" x14ac:dyDescent="0.35">
      <c r="M33" s="8" t="s">
        <v>92</v>
      </c>
      <c r="N33" s="8">
        <f>Table4[[#Totals],[FM Cost]]+J28</f>
        <v>2301.3077135999997</v>
      </c>
      <c r="O33" s="8">
        <f>Table4[[#Totals],[FM Cost]]+$J$18+N26+N27+Table4[[#Totals],[FM Penalty Business]]</f>
        <v>6139.3562346955887</v>
      </c>
      <c r="P33" s="8">
        <f>Table4[[#Totals],[FM Cost]]+$J$18+O26+O27+Table4[[#Totals],[FM Penalty ITS]]</f>
        <v>6164.3572589095693</v>
      </c>
    </row>
    <row r="34" spans="13:16" x14ac:dyDescent="0.35">
      <c r="M34" s="8" t="s">
        <v>93</v>
      </c>
      <c r="N34" s="8">
        <f>0.05*SUM(N31:N33)</f>
        <v>603.64770248000002</v>
      </c>
      <c r="O34" s="8">
        <f>0.05*SUM(O31:O33)</f>
        <v>795.55012853477956</v>
      </c>
      <c r="P34" s="8">
        <f>0.05*SUM(P31:P33)</f>
        <v>796.80017974547854</v>
      </c>
    </row>
    <row r="35" spans="13:16" x14ac:dyDescent="0.35">
      <c r="M35" s="8" t="s">
        <v>94</v>
      </c>
      <c r="N35" s="8">
        <f>0.07*SUM(N31:N33)</f>
        <v>845.10678347199996</v>
      </c>
      <c r="O35" s="8">
        <f>0.07*SUM(O31:O33)</f>
        <v>1113.7701799486913</v>
      </c>
      <c r="P35" s="8">
        <f>0.07*SUM(P31:P33)</f>
        <v>1115.52025164367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0"/>
  <sheetViews>
    <sheetView topLeftCell="F1" workbookViewId="0">
      <selection activeCell="I37" sqref="I37"/>
    </sheetView>
  </sheetViews>
  <sheetFormatPr defaultColWidth="8.81640625" defaultRowHeight="14.5" x14ac:dyDescent="0.35"/>
  <cols>
    <col min="1" max="1" width="23.26953125" style="8" customWidth="1"/>
    <col min="2" max="2" width="27.453125" style="8" customWidth="1"/>
    <col min="3" max="3" width="21.26953125" style="8" customWidth="1"/>
    <col min="4" max="4" width="21.1796875" style="8" customWidth="1"/>
    <col min="5" max="5" width="31.453125" style="8" customWidth="1"/>
    <col min="6" max="6" width="25" style="8" customWidth="1"/>
    <col min="7" max="7" width="22.54296875" style="8" customWidth="1"/>
    <col min="8" max="8" width="23.81640625" style="8" customWidth="1"/>
    <col min="9" max="9" width="25.54296875" style="8" customWidth="1"/>
    <col min="10" max="10" width="18.26953125" style="8" customWidth="1"/>
    <col min="11" max="11" width="8.81640625" style="8"/>
    <col min="12" max="12" width="25.7265625" style="8" customWidth="1"/>
    <col min="13" max="13" width="34.1796875" style="8" customWidth="1"/>
    <col min="14" max="14" width="10.7265625" style="8" customWidth="1"/>
    <col min="15" max="15" width="26.26953125" style="8" customWidth="1"/>
    <col min="16" max="16" width="25" style="8" customWidth="1"/>
    <col min="17" max="17" width="18.26953125" style="8" customWidth="1"/>
    <col min="18" max="18" width="17.81640625" style="8" customWidth="1"/>
    <col min="19" max="19" width="19" style="8" customWidth="1"/>
    <col min="20" max="20" width="23.453125" style="8" customWidth="1"/>
    <col min="21" max="21" width="19.26953125" style="8" customWidth="1"/>
    <col min="22" max="22" width="15" style="8" customWidth="1"/>
    <col min="23" max="23" width="19.26953125" style="8" customWidth="1"/>
    <col min="24" max="24" width="23.54296875" style="8" customWidth="1"/>
    <col min="25" max="25" width="21.26953125" style="8" customWidth="1"/>
    <col min="26" max="26" width="16.1796875" style="8" customWidth="1"/>
    <col min="27" max="27" width="21.453125" style="8" customWidth="1"/>
    <col min="28" max="16384" width="8.81640625" style="8"/>
  </cols>
  <sheetData>
    <row r="1" spans="1:28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s="8" t="s">
        <v>3</v>
      </c>
      <c r="B2" s="24" t="s">
        <v>58</v>
      </c>
      <c r="C2" s="8">
        <v>80</v>
      </c>
      <c r="D2" s="23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0.15/50</f>
        <v>3.0000000000000001E-3</v>
      </c>
      <c r="O2" s="8">
        <f>Table36[[#This Row],[Yearly Energy Consumption in kWh]]*Table36[[#This Row],[CU/kWh]]</f>
        <v>283.82400000000001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250/50</f>
        <v>5</v>
      </c>
      <c r="W2" s="8">
        <f>Table36[[#This Row],[Cost per hour]]*Table36[[#This Row],[Total Time to Repair(h)]]*Table36[[#This Row],[Failures per year]]</f>
        <v>2.4219648</v>
      </c>
      <c r="X2" s="8">
        <v>100</v>
      </c>
      <c r="Y2" s="8">
        <v>7.0000000000000007E-2</v>
      </c>
      <c r="Z2" s="8">
        <v>7.0540000000000005E-2</v>
      </c>
      <c r="AA2" s="8">
        <f>Table36[[#This Row],[Percentage of Business Users]]*Table36[[#This Row],[SLA CU per hour]]*Table36[[#This Row],[Failures per year]]*Table36[[#This Row],[Total Time to Repair(h)]]</f>
        <v>3.3907507200000002</v>
      </c>
      <c r="AB2" s="8">
        <f>Table36[[#This Row],[Percentage of ITS and business users]]*Table36[[#This Row],[SLA CU per hour]]*Table36[[#This Row],[Failures per year]]*Table36[[#This Row],[Total Time to Repair(h)]]</f>
        <v>3.4169079398400002</v>
      </c>
    </row>
    <row r="3" spans="1:28" x14ac:dyDescent="0.35">
      <c r="A3" s="8" t="s">
        <v>3</v>
      </c>
      <c r="B3" s="24" t="s">
        <v>59</v>
      </c>
      <c r="C3" s="8">
        <v>12</v>
      </c>
      <c r="D3" s="23">
        <f>156*2</f>
        <v>312</v>
      </c>
      <c r="E3" s="8">
        <v>0.1</v>
      </c>
      <c r="F3" s="8">
        <f>Table36[[#This Row],[Floor Space per component]]*Table36[[#This Row],[Quantity]]</f>
        <v>31.200000000000003</v>
      </c>
      <c r="G3" s="8">
        <v>10.6</v>
      </c>
      <c r="H3" s="8">
        <f>Table36[[#This Row],[Rent per sqm per year]]*Table36[[#This Row],[Total Floor Space]]</f>
        <v>330.72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0.15/50</f>
        <v>3.0000000000000001E-3</v>
      </c>
      <c r="O3" s="8">
        <f>Table36[[#This Row],[Yearly Energy Consumption in kWh]]*Table36[[#This Row],[CU/kWh]]</f>
        <v>819.93600000000004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250/50</f>
        <v>5</v>
      </c>
      <c r="W3" s="8">
        <f>Table36[[#This Row],[Cost per hour]]*Table36[[#This Row],[Total Time to Repair(h)]]*Table36[[#This Row],[Failures per year]]</f>
        <v>0</v>
      </c>
      <c r="X3" s="8">
        <v>100</v>
      </c>
      <c r="Y3" s="8">
        <v>7.0000000000000007E-2</v>
      </c>
      <c r="Z3" s="8">
        <v>7.0540000000000005E-2</v>
      </c>
      <c r="AA3" s="8">
        <f>Table36[[#This Row],[Percentage of Business Users]]*Table36[[#This Row],[SLA CU per hour]]*Table36[[#This Row],[Failures per year]]*Table36[[#This Row],[Total Time to Repair(h)]]</f>
        <v>0</v>
      </c>
      <c r="AB3" s="8">
        <f>Table36[[#This Row],[Percentage of ITS and business users]]*Table36[[#This Row],[SLA CU per hour]]*Table36[[#This Row],[Failures per year]]*Table36[[#This Row],[Total Time to Repair(h)]]</f>
        <v>0</v>
      </c>
    </row>
    <row r="4" spans="1:28" x14ac:dyDescent="0.35">
      <c r="A4" s="8" t="s">
        <v>3</v>
      </c>
      <c r="B4" s="24" t="s">
        <v>6</v>
      </c>
      <c r="C4" s="8">
        <v>1.1111111E-2</v>
      </c>
      <c r="D4" s="23">
        <v>3120</v>
      </c>
      <c r="E4" s="8">
        <v>0</v>
      </c>
      <c r="F4" s="8">
        <f>Table36[[#This Row],[Floor Space per component]]*Table36[[#This Row],[Quantity]]</f>
        <v>0</v>
      </c>
      <c r="G4" s="8">
        <v>10.6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3.0000000000000001E-3</v>
      </c>
      <c r="O4" s="8">
        <f>Table36[[#This Row],[Yearly Energy Consumption in kWh]]*Table36[[#This Row],[CU/kWh]]</f>
        <v>81.993600000000001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5</v>
      </c>
      <c r="W4" s="8">
        <f>Table36[[#This Row],[Cost per hour]]*Table36[[#This Row],[Total Time to Repair(h)]]*Table36[[#This Row],[Failures per year]]</f>
        <v>0</v>
      </c>
      <c r="X4" s="8">
        <v>100</v>
      </c>
      <c r="Y4" s="8">
        <v>7.0000000000000007E-2</v>
      </c>
      <c r="Z4" s="8">
        <v>7.0540000000000005E-2</v>
      </c>
      <c r="AA4" s="8">
        <f>Table36[[#This Row],[Percentage of Business Users]]*Table36[[#This Row],[SLA CU per hour]]*Table36[[#This Row],[Failures per year]]*Table36[[#This Row],[Total Time to Repair(h)]]</f>
        <v>0</v>
      </c>
      <c r="AB4" s="8">
        <f>Table36[[#This Row],[Percentage of ITS and business users]]*Table36[[#This Row],[SLA CU per hour]]*Table36[[#This Row],[Failures per year]]*Table36[[#This Row],[Total Time to Repair(h)]]</f>
        <v>0</v>
      </c>
    </row>
    <row r="5" spans="1:28" x14ac:dyDescent="0.35">
      <c r="A5" s="8" t="s">
        <v>3</v>
      </c>
      <c r="B5" s="24" t="s">
        <v>7</v>
      </c>
      <c r="C5" s="8">
        <v>200</v>
      </c>
      <c r="D5" s="23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24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3.0000000000000001E-3</v>
      </c>
      <c r="O5" s="8">
        <f>Table36[[#This Row],[Yearly Energy Consumption in kWh]]*Table36[[#This Row],[CU/kWh]]</f>
        <v>2.6280000000000001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5</v>
      </c>
      <c r="W5" s="8">
        <f>Table36[[#This Row],[Cost per hour]]*Table36[[#This Row],[Total Time to Repair(h)]]*Table36[[#This Row],[Failures per year]]</f>
        <v>0</v>
      </c>
      <c r="X5" s="8">
        <v>100</v>
      </c>
      <c r="Y5" s="8">
        <v>7.0000000000000007E-2</v>
      </c>
      <c r="Z5" s="8">
        <v>7.0540000000000005E-2</v>
      </c>
      <c r="AA5" s="8">
        <f>Table36[[#This Row],[Percentage of Business Users]]*Table36[[#This Row],[SLA CU per hour]]*Table36[[#This Row],[Failures per year]]*Table36[[#This Row],[Total Time to Repair(h)]]</f>
        <v>0</v>
      </c>
      <c r="AB5" s="8">
        <f>Table36[[#This Row],[Percentage of ITS and business users]]*Table36[[#This Row],[SLA CU per hour]]*Table36[[#This Row],[Failures per year]]*Table36[[#This Row],[Total Time to Repair(h)]]</f>
        <v>0</v>
      </c>
    </row>
    <row r="6" spans="1:28" x14ac:dyDescent="0.35">
      <c r="A6" s="8" t="s">
        <v>8</v>
      </c>
      <c r="B6" s="24" t="s">
        <v>9</v>
      </c>
      <c r="C6" s="8">
        <v>1.8</v>
      </c>
      <c r="D6" s="23">
        <f>156*2</f>
        <v>312</v>
      </c>
      <c r="E6" s="8">
        <v>0.1</v>
      </c>
      <c r="F6" s="8">
        <f>Table36[[#This Row],[Floor Space per component]]*Table36[[#This Row],[Quantity]]</f>
        <v>31.200000000000003</v>
      </c>
      <c r="G6" s="8">
        <v>10.6</v>
      </c>
      <c r="H6" s="8">
        <f>Table36[[#This Row],[Rent per sqm per year]]*Table36[[#This Row],[Total Floor Space]]</f>
        <v>330.72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3.0000000000000001E-3</v>
      </c>
      <c r="O6" s="8">
        <f>Table36[[#This Row],[Yearly Energy Consumption in kWh]]*Table36[[#This Row],[CU/kWh]]</f>
        <v>0</v>
      </c>
      <c r="P6" s="8">
        <v>2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0.2</v>
      </c>
      <c r="T6" s="8">
        <f>Table36[[#This Row],[MTTR]]+Table36[[#This Row],[Twice Travel Time]]</f>
        <v>6.2</v>
      </c>
      <c r="U6" s="8">
        <v>1</v>
      </c>
      <c r="V6" s="8">
        <f t="shared" si="1"/>
        <v>5</v>
      </c>
      <c r="W6" s="8">
        <f>Table36[[#This Row],[Cost per hour]]*Table36[[#This Row],[Total Time to Repair(h)]]*Table36[[#This Row],[Failures per year]]</f>
        <v>4.2363359999999997</v>
      </c>
      <c r="X6" s="8">
        <v>100</v>
      </c>
      <c r="Y6" s="8">
        <v>7.0000000000000007E-2</v>
      </c>
      <c r="Z6" s="8">
        <v>7.0540000000000005E-2</v>
      </c>
      <c r="AA6" s="8">
        <f>Table36[[#This Row],[Percentage of Business Users]]*Table36[[#This Row],[SLA CU per hour]]*Table36[[#This Row],[Failures per year]]*Table36[[#This Row],[Total Time to Repair(h)]]</f>
        <v>5.9308704000000008</v>
      </c>
      <c r="AB6" s="8">
        <f>Table36[[#This Row],[Percentage of ITS and business users]]*Table36[[#This Row],[SLA CU per hour]]*Table36[[#This Row],[Failures per year]]*Table36[[#This Row],[Total Time to Repair(h)]]</f>
        <v>5.9766228288000001</v>
      </c>
    </row>
    <row r="7" spans="1:28" x14ac:dyDescent="0.35">
      <c r="A7" s="8" t="s">
        <v>8</v>
      </c>
      <c r="B7" s="24" t="s">
        <v>59</v>
      </c>
      <c r="C7" s="8">
        <v>12</v>
      </c>
      <c r="D7" s="23">
        <f>156*2</f>
        <v>312</v>
      </c>
      <c r="E7" s="8">
        <v>0.1</v>
      </c>
      <c r="F7" s="8">
        <f>Table36[[#This Row],[Floor Space per component]]*Table36[[#This Row],[Quantity]]</f>
        <v>31.200000000000003</v>
      </c>
      <c r="G7" s="8">
        <v>10.6</v>
      </c>
      <c r="H7" s="8">
        <f>Table36[[#This Row],[Rent per sqm per year]]*Table36[[#This Row],[Total Floor Space]]</f>
        <v>330.72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3.0000000000000001E-3</v>
      </c>
      <c r="O7" s="8">
        <f>Table36[[#This Row],[Yearly Energy Consumption in kWh]]*Table36[[#This Row],[CU/kWh]]</f>
        <v>36.897120000000001</v>
      </c>
      <c r="P7" s="8">
        <v>2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0.2</v>
      </c>
      <c r="T7" s="8">
        <f>Table36[[#This Row],[MTTR]]+Table36[[#This Row],[Twice Travel Time]]</f>
        <v>0.2</v>
      </c>
      <c r="U7" s="8">
        <v>1</v>
      </c>
      <c r="V7" s="8">
        <f t="shared" si="1"/>
        <v>5</v>
      </c>
      <c r="W7" s="8">
        <f>Table36[[#This Row],[Cost per hour]]*Table36[[#This Row],[Total Time to Repair(h)]]*Table36[[#This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Table36[[#This Row],[Percentage of Business Users]]*Table36[[#This Row],[SLA CU per hour]]*Table36[[#This Row],[Failures per year]]*Table36[[#This Row],[Total Time to Repair(h)]]</f>
        <v>0</v>
      </c>
      <c r="AB7" s="8">
        <f>Table36[[#This Row],[Percentage of ITS and business users]]*Table36[[#This Row],[SLA CU per hour]]*Table36[[#This Row],[Failures per year]]*Table36[[#This Row],[Total Time to Repair(h)]]</f>
        <v>0</v>
      </c>
    </row>
    <row r="8" spans="1:28" x14ac:dyDescent="0.35">
      <c r="A8" s="8" t="s">
        <v>10</v>
      </c>
      <c r="B8" s="24" t="s">
        <v>9</v>
      </c>
      <c r="C8" s="8">
        <v>1.8</v>
      </c>
      <c r="D8" s="23">
        <f>610*2</f>
        <v>1220</v>
      </c>
      <c r="E8" s="8">
        <v>0.1</v>
      </c>
      <c r="F8" s="8">
        <f>Table36[[#This Row],[Floor Space per component]]*Table36[[#This Row],[Quantity]]</f>
        <v>122</v>
      </c>
      <c r="G8" s="8">
        <v>10.6</v>
      </c>
      <c r="H8" s="8">
        <f>Table36[[#This Row],[Rent per sqm per year]]*Table36[[#This Row],[Total Floor Space]]</f>
        <v>1293.2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3.0000000000000001E-3</v>
      </c>
      <c r="O8" s="8">
        <f>Table36[[#This Row],[Yearly Energy Consumption in kWh]]*Table36[[#This Row],[CU/kWh]]</f>
        <v>0</v>
      </c>
      <c r="P8" s="8">
        <v>4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0.4</v>
      </c>
      <c r="T8" s="8">
        <f>Table36[[#This Row],[MTTR]]+Table36[[#This Row],[Twice Travel Time]]</f>
        <v>6.4</v>
      </c>
      <c r="U8" s="8">
        <v>1</v>
      </c>
      <c r="V8" s="8">
        <f t="shared" si="1"/>
        <v>5</v>
      </c>
      <c r="W8" s="8">
        <f>Table36[[#This Row],[Cost per hour]]*Table36[[#This Row],[Total Time to Repair(h)]]*Table36[[#This Row],[Failures per year]]</f>
        <v>17.099519999999998</v>
      </c>
      <c r="X8" s="8">
        <v>100</v>
      </c>
      <c r="Y8" s="8">
        <v>7.0000000000000007E-2</v>
      </c>
      <c r="Z8" s="8">
        <v>7.0540000000000005E-2</v>
      </c>
      <c r="AA8" s="8">
        <f>Table36[[#This Row],[Percentage of Business Users]]*Table36[[#This Row],[SLA CU per hour]]*Table36[[#This Row],[Failures per year]]*Table36[[#This Row],[Total Time to Repair(h)]]</f>
        <v>23.939328000000003</v>
      </c>
      <c r="AB8" s="8">
        <f>Table36[[#This Row],[Percentage of ITS and business users]]*Table36[[#This Row],[SLA CU per hour]]*Table36[[#This Row],[Failures per year]]*Table36[[#This Row],[Total Time to Repair(h)]]</f>
        <v>24.124002816000001</v>
      </c>
    </row>
    <row r="9" spans="1:28" x14ac:dyDescent="0.35">
      <c r="A9" s="8" t="s">
        <v>13</v>
      </c>
      <c r="B9" s="24" t="s">
        <v>9</v>
      </c>
      <c r="C9" s="8">
        <v>10</v>
      </c>
      <c r="D9" s="23">
        <v>5000</v>
      </c>
      <c r="E9" s="8">
        <v>0.1</v>
      </c>
      <c r="F9" s="8">
        <f>Table36[[#This Row],[Floor Space per component]]*Table36[[#This Row],[Quantity]]</f>
        <v>500</v>
      </c>
      <c r="G9" s="8">
        <v>0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3.0000000000000001E-3</v>
      </c>
      <c r="O9" s="8">
        <f>Table36[[#This Row],[Yearly Energy Consumption in kWh]]*Table36[[#This Row],[CU/kWh]]</f>
        <v>0</v>
      </c>
      <c r="P9" s="8">
        <v>6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0.6</v>
      </c>
      <c r="T9" s="8">
        <f>Table36[[#This Row],[MTTR]]+Table36[[#This Row],[Twice Travel Time]]</f>
        <v>6.6</v>
      </c>
      <c r="U9" s="8">
        <v>1</v>
      </c>
      <c r="V9" s="8">
        <f t="shared" si="1"/>
        <v>5</v>
      </c>
      <c r="W9" s="8">
        <f>Table36[[#This Row],[Cost per hour]]*Table36[[#This Row],[Total Time to Repair(h)]]*Table36[[#This Row],[Failures per year]]</f>
        <v>72.27</v>
      </c>
      <c r="X9" s="8">
        <v>100</v>
      </c>
      <c r="Y9" s="8">
        <v>7.0000000000000007E-2</v>
      </c>
      <c r="Z9" s="8">
        <v>7.0540000000000005E-2</v>
      </c>
      <c r="AA9" s="8">
        <f>Table36[[#This Row],[Percentage of Business Users]]*Table36[[#This Row],[SLA CU per hour]]*Table36[[#This Row],[Failures per year]]*Table36[[#This Row],[Total Time to Repair(h)]]</f>
        <v>101.17800000000001</v>
      </c>
      <c r="AB9" s="8">
        <f>Table36[[#This Row],[Percentage of ITS and business users]]*Table36[[#This Row],[SLA CU per hour]]*Table36[[#This Row],[Failures per year]]*Table36[[#This Row],[Total Time to Repair(h)]]</f>
        <v>101.95851599999999</v>
      </c>
    </row>
    <row r="10" spans="1:28" x14ac:dyDescent="0.35">
      <c r="A10" s="8" t="s">
        <v>13</v>
      </c>
      <c r="B10" s="24" t="s">
        <v>61</v>
      </c>
      <c r="C10" s="8">
        <v>2.1</v>
      </c>
      <c r="D10" s="23">
        <v>30000</v>
      </c>
      <c r="E10" s="8">
        <v>0.5</v>
      </c>
      <c r="F10" s="8">
        <f>Table36[[#This Row],[Floor Space per component]]*Table36[[#This Row],[Quantity]]</f>
        <v>15000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3.0000000000000001E-3</v>
      </c>
      <c r="O10" s="8">
        <f>Table36[[#This Row],[Yearly Energy Consumption in kWh]]*Table36[[#This Row],[CU/kWh]]</f>
        <v>0</v>
      </c>
      <c r="P10" s="8">
        <v>6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0.6</v>
      </c>
      <c r="T10" s="8">
        <f>Table36[[#This Row],[MTTR]]+Table36[[#This Row],[Twice Travel Time]]</f>
        <v>6.6</v>
      </c>
      <c r="U10" s="8">
        <v>1</v>
      </c>
      <c r="V10" s="8">
        <f t="shared" si="1"/>
        <v>5</v>
      </c>
      <c r="W10" s="8">
        <f>Table36[[#This Row],[Cost per hour]]*Table36[[#This Row],[Total Time to Repair(h)]]*Table36[[#This Row],[Failures per year]]</f>
        <v>2220.1343999999999</v>
      </c>
      <c r="X10" s="8">
        <v>100</v>
      </c>
      <c r="Y10" s="8">
        <v>7.0000000000000007E-2</v>
      </c>
      <c r="Z10" s="8">
        <v>7.0540000000000005E-2</v>
      </c>
      <c r="AA10" s="8">
        <f>Table36[[#This Row],[Percentage of Business Users]]*Table36[[#This Row],[SLA CU per hour]]*Table36[[#This Row],[Failures per year]]*Table36[[#This Row],[Total Time to Repair(h)]]</f>
        <v>3108.1881600000002</v>
      </c>
      <c r="AB10" s="8">
        <f>Table36[[#This Row],[Percentage of ITS and business users]]*Table36[[#This Row],[SLA CU per hour]]*Table36[[#This Row],[Failures per year]]*Table36[[#This Row],[Total Time to Repair(h)]]</f>
        <v>3132.1656115199994</v>
      </c>
    </row>
    <row r="11" spans="1:28" x14ac:dyDescent="0.35">
      <c r="H11" s="8">
        <f>SUM(Table36[Total Rent cost per year])</f>
        <v>8221.36</v>
      </c>
      <c r="O11" s="8">
        <f>SUBTOTAL(109,Table36[Energy Cost per year in CU])</f>
        <v>1225.27872</v>
      </c>
      <c r="W11" s="8">
        <f>SUBTOTAL(109,Table36[FM Cost])</f>
        <v>2316.1622207999999</v>
      </c>
      <c r="AA11" s="8">
        <f>SUBTOTAL(109,Table36[FM Penalty Business])</f>
        <v>3242.6271091200001</v>
      </c>
      <c r="AB11" s="8">
        <f>SUBTOTAL(109,Table36[FM Penalty ITS])</f>
        <v>3267.6416611046393</v>
      </c>
    </row>
    <row r="14" spans="1:28" x14ac:dyDescent="0.3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  <c r="M14" s="8" t="s">
        <v>69</v>
      </c>
    </row>
    <row r="15" spans="1:28" x14ac:dyDescent="0.35">
      <c r="B15" s="9">
        <f>171056.493544313/1000</f>
        <v>171.05649354431301</v>
      </c>
      <c r="C15" s="8">
        <v>570</v>
      </c>
      <c r="E15" s="8">
        <v>20</v>
      </c>
      <c r="M15" s="8">
        <f>Table36[[#Totals],[Total Rent cost per year]]+Table36[[#Totals],[Energy Cost per year in CU]]+Table36[[#Totals],[FM Cost]]+I23</f>
        <v>12335.92239169184</v>
      </c>
    </row>
    <row r="16" spans="1:28" x14ac:dyDescent="0.35">
      <c r="B16" s="9">
        <f>85582.6331149716/1000</f>
        <v>85.5826331149716</v>
      </c>
      <c r="C16" s="8">
        <v>570</v>
      </c>
      <c r="E16" s="8">
        <v>20</v>
      </c>
    </row>
    <row r="17" spans="1:19" x14ac:dyDescent="0.35">
      <c r="B17" s="9">
        <f>(384090.367674523+20*30000)/1000</f>
        <v>984.09036767452301</v>
      </c>
      <c r="C17" s="8">
        <v>570</v>
      </c>
      <c r="E17" s="8">
        <v>20</v>
      </c>
    </row>
    <row r="19" spans="1:19" x14ac:dyDescent="0.3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109</v>
      </c>
      <c r="K19" s="8" t="s">
        <v>115</v>
      </c>
      <c r="L19" s="8" t="s">
        <v>116</v>
      </c>
      <c r="M19" s="8" t="s">
        <v>117</v>
      </c>
      <c r="N19" s="8" t="s">
        <v>118</v>
      </c>
      <c r="O19" s="8" t="s">
        <v>109</v>
      </c>
      <c r="P19" s="8" t="s">
        <v>115</v>
      </c>
      <c r="Q19" s="8" t="s">
        <v>116</v>
      </c>
      <c r="R19" s="8" t="s">
        <v>117</v>
      </c>
      <c r="S19" s="8" t="s">
        <v>118</v>
      </c>
    </row>
    <row r="20" spans="1:19" x14ac:dyDescent="0.35">
      <c r="A20" s="8" t="s">
        <v>41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  <c r="O20" s="8">
        <v>100</v>
      </c>
      <c r="P20" s="8">
        <v>7.0000000000000007E-2</v>
      </c>
      <c r="Q20" s="8">
        <v>7.0250000000000007E-2</v>
      </c>
      <c r="R20" s="8">
        <f>P20*O20*M20*G20*24*365/1000000000</f>
        <v>1.7671188173582237E-5</v>
      </c>
      <c r="S20" s="8">
        <f>Q20*O20*M20*G20*24*365/1000000000</f>
        <v>1.773429955991646E-5</v>
      </c>
    </row>
    <row r="21" spans="1:19" x14ac:dyDescent="0.35">
      <c r="A21" s="8" t="s">
        <v>42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" si="4">K21*J21*H21*B21*24*365/1000000000</f>
        <v>1.4477981180328632</v>
      </c>
      <c r="N21" s="8">
        <f t="shared" ref="N21:N22" si="5">L21*J21*H21*B21*24*365/1000000000</f>
        <v>1.4529688255972659</v>
      </c>
      <c r="O21" s="8">
        <v>100</v>
      </c>
      <c r="P21" s="8">
        <v>7.0000000000000007E-2</v>
      </c>
      <c r="Q21" s="8">
        <v>7.0250000000000007E-2</v>
      </c>
      <c r="R21" s="8">
        <f t="shared" ref="R21:R22" si="6">P21*O21*M21*G21*24*365/1000000000</f>
        <v>1.7755796119555034E-5</v>
      </c>
      <c r="S21" s="8">
        <f t="shared" ref="S21:S22" si="7">Q21*O21*M21*G21*24*365/1000000000</f>
        <v>1.7819209677124875E-5</v>
      </c>
    </row>
    <row r="22" spans="1:19" x14ac:dyDescent="0.35">
      <c r="A22" s="8" t="s">
        <v>62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J22" s="8">
        <v>2</v>
      </c>
      <c r="K22" s="8">
        <v>7.0000000000000007E-2</v>
      </c>
      <c r="L22" s="8">
        <v>7.0250000000000007E-2</v>
      </c>
      <c r="M22" s="8">
        <f>K22*J22*H22*B22*24*365/1000000000</f>
        <v>16.785404241548214</v>
      </c>
      <c r="N22" s="8">
        <f t="shared" si="5"/>
        <v>16.845352113839461</v>
      </c>
      <c r="O22" s="8">
        <v>100</v>
      </c>
      <c r="P22" s="8">
        <v>7.0000000000000007E-2</v>
      </c>
      <c r="Q22" s="8">
        <v>7.0250000000000007E-2</v>
      </c>
      <c r="R22" s="8">
        <f t="shared" si="6"/>
        <v>4.1171239523669472E-4</v>
      </c>
      <c r="S22" s="8">
        <f t="shared" si="7"/>
        <v>4.1318279664825426E-4</v>
      </c>
    </row>
    <row r="23" spans="1:19" x14ac:dyDescent="0.35">
      <c r="I23" s="8">
        <f>SUM(I20:I22)</f>
        <v>573.12145089184014</v>
      </c>
    </row>
    <row r="32" spans="1:19" x14ac:dyDescent="0.35">
      <c r="B32" s="9"/>
      <c r="C32" s="9"/>
      <c r="D32" s="9"/>
    </row>
    <row r="35" spans="9:15" x14ac:dyDescent="0.35">
      <c r="L35" s="8" t="s">
        <v>89</v>
      </c>
      <c r="M35" s="8" t="s">
        <v>110</v>
      </c>
      <c r="N35" s="8" t="s">
        <v>111</v>
      </c>
      <c r="O35" s="8" t="s">
        <v>119</v>
      </c>
    </row>
    <row r="36" spans="9:15" x14ac:dyDescent="0.35">
      <c r="I36" s="8" t="s">
        <v>136</v>
      </c>
      <c r="L36" s="8" t="s">
        <v>90</v>
      </c>
      <c r="M36" s="8">
        <f>M46/$I$37</f>
        <v>0.28095687239423145</v>
      </c>
      <c r="N36" s="8">
        <f t="shared" ref="N36:O36" si="8">N46/$I$37</f>
        <v>0.28095687239423145</v>
      </c>
      <c r="O36" s="8">
        <f t="shared" si="8"/>
        <v>0.28095687239423145</v>
      </c>
    </row>
    <row r="37" spans="9:15" x14ac:dyDescent="0.35">
      <c r="I37" s="8">
        <v>29262</v>
      </c>
      <c r="L37" s="8" t="s">
        <v>91</v>
      </c>
      <c r="M37" s="8">
        <f t="shared" ref="M37:O40" si="9">M47/$I$37</f>
        <v>4.1872692228829202E-2</v>
      </c>
      <c r="N37" s="8">
        <f t="shared" si="9"/>
        <v>4.1872692228829202E-2</v>
      </c>
      <c r="O37" s="8">
        <f t="shared" si="9"/>
        <v>4.1872692228829202E-2</v>
      </c>
    </row>
    <row r="38" spans="9:15" x14ac:dyDescent="0.35">
      <c r="L38" s="8" t="s">
        <v>92</v>
      </c>
      <c r="M38" s="8">
        <f t="shared" si="9"/>
        <v>7.9152560344474057E-2</v>
      </c>
      <c r="N38" s="8">
        <f t="shared" si="9"/>
        <v>0.20955200535889004</v>
      </c>
      <c r="O38" s="8">
        <f t="shared" si="9"/>
        <v>0.21040685301061035</v>
      </c>
    </row>
    <row r="39" spans="9:15" x14ac:dyDescent="0.35">
      <c r="L39" s="8" t="s">
        <v>93</v>
      </c>
      <c r="M39" s="8">
        <f t="shared" si="9"/>
        <v>2.0099106248376734E-2</v>
      </c>
      <c r="N39" s="8">
        <f t="shared" si="9"/>
        <v>2.6619078499097535E-2</v>
      </c>
      <c r="O39" s="8">
        <f t="shared" si="9"/>
        <v>2.6661820881683552E-2</v>
      </c>
    </row>
    <row r="40" spans="9:15" x14ac:dyDescent="0.35">
      <c r="L40" s="8" t="s">
        <v>94</v>
      </c>
      <c r="M40" s="8">
        <f t="shared" si="9"/>
        <v>2.813874874772743E-2</v>
      </c>
      <c r="N40" s="8">
        <f t="shared" si="9"/>
        <v>3.7266709898736552E-2</v>
      </c>
      <c r="O40" s="8">
        <f t="shared" si="9"/>
        <v>3.7326549234356972E-2</v>
      </c>
    </row>
    <row r="41" spans="9:15" x14ac:dyDescent="0.35">
      <c r="M41" s="27">
        <f>SUM(M36:M40)</f>
        <v>0.45021997996363888</v>
      </c>
      <c r="N41" s="27">
        <f>SUM(N36:N40)</f>
        <v>0.59626735837978484</v>
      </c>
      <c r="O41" s="27">
        <f>SUM(O36:O40)</f>
        <v>0.59722478774971155</v>
      </c>
    </row>
    <row r="45" spans="9:15" x14ac:dyDescent="0.35">
      <c r="L45" s="8" t="s">
        <v>89</v>
      </c>
      <c r="M45" s="8" t="s">
        <v>110</v>
      </c>
      <c r="N45" s="8" t="s">
        <v>111</v>
      </c>
      <c r="O45" s="8" t="s">
        <v>119</v>
      </c>
    </row>
    <row r="46" spans="9:15" x14ac:dyDescent="0.35">
      <c r="L46" s="8" t="s">
        <v>90</v>
      </c>
      <c r="M46" s="8">
        <f>Table36[[#Totals],[Total Rent cost per year]]</f>
        <v>8221.36</v>
      </c>
      <c r="N46" s="8">
        <f>Table36[[#Totals],[Total Rent cost per year]]</f>
        <v>8221.36</v>
      </c>
      <c r="O46" s="8">
        <f>Table36[[#Totals],[Total Rent cost per year]]</f>
        <v>8221.36</v>
      </c>
    </row>
    <row r="47" spans="9:15" x14ac:dyDescent="0.35">
      <c r="L47" s="8" t="s">
        <v>91</v>
      </c>
      <c r="M47" s="8">
        <f>Table36[[#Totals],[Energy Cost per year in CU]]</f>
        <v>1225.27872</v>
      </c>
      <c r="N47" s="8">
        <f>Table36[[#Totals],[Energy Cost per year in CU]]</f>
        <v>1225.27872</v>
      </c>
      <c r="O47" s="8">
        <f>Table36[[#Totals],[Energy Cost per year in CU]]</f>
        <v>1225.27872</v>
      </c>
    </row>
    <row r="48" spans="9:15" x14ac:dyDescent="0.35">
      <c r="L48" s="8" t="s">
        <v>92</v>
      </c>
      <c r="M48" s="8">
        <f>Table36[[#Totals],[FM Cost]]+I33</f>
        <v>2316.1622207999999</v>
      </c>
      <c r="N48" s="8">
        <f>Table36[[#Totals],[FM Cost]]+$I$23+M30+M31+M32+Table36[[#Totals],[FM Penalty Business]]</f>
        <v>6131.9107808118406</v>
      </c>
      <c r="O48" s="8">
        <f>Table36[[#Totals],[FM Cost]]+$I$23+N30+N31+N32+Table36[[#Totals],[FM Penalty ITS]]</f>
        <v>6156.9253327964798</v>
      </c>
    </row>
    <row r="49" spans="12:15" x14ac:dyDescent="0.35">
      <c r="L49" s="8" t="s">
        <v>93</v>
      </c>
      <c r="M49" s="8">
        <f>0.05*SUM(M46:M48)</f>
        <v>588.14004704000001</v>
      </c>
      <c r="N49" s="8">
        <f>0.05*SUM(N46:N48)</f>
        <v>778.92747504059207</v>
      </c>
      <c r="O49" s="8">
        <f>0.05*SUM(O46:O48)</f>
        <v>780.17820263982412</v>
      </c>
    </row>
    <row r="50" spans="12:15" x14ac:dyDescent="0.35">
      <c r="L50" s="8" t="s">
        <v>94</v>
      </c>
      <c r="M50" s="8">
        <f>0.07*SUM(M46:M48)</f>
        <v>823.39606585600006</v>
      </c>
      <c r="N50" s="8">
        <f>0.07*SUM(N46:N48)</f>
        <v>1090.498465056829</v>
      </c>
      <c r="O50" s="8">
        <f>0.07*SUM(O46:O48)</f>
        <v>1092.2494836957537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topLeftCell="L1" workbookViewId="0">
      <selection activeCell="M29" sqref="M29"/>
    </sheetView>
  </sheetViews>
  <sheetFormatPr defaultColWidth="8.81640625" defaultRowHeight="14.5" x14ac:dyDescent="0.35"/>
  <cols>
    <col min="1" max="1" width="23.26953125" style="8" customWidth="1"/>
    <col min="2" max="2" width="19.26953125" style="8" customWidth="1"/>
    <col min="3" max="3" width="21.26953125" style="8" customWidth="1"/>
    <col min="4" max="4" width="10.81640625" style="8" customWidth="1"/>
    <col min="5" max="8" width="18" style="8" customWidth="1"/>
    <col min="9" max="9" width="20.7265625" style="8" customWidth="1"/>
    <col min="10" max="10" width="21" style="8" customWidth="1"/>
    <col min="11" max="11" width="20" style="8" customWidth="1"/>
    <col min="12" max="12" width="17.1796875" style="8" customWidth="1"/>
    <col min="13" max="13" width="20.81640625" style="8" customWidth="1"/>
    <col min="14" max="14" width="24.1796875" style="8" customWidth="1"/>
    <col min="15" max="15" width="26.453125" style="8" customWidth="1"/>
    <col min="16" max="16" width="21.1796875" style="8" customWidth="1"/>
    <col min="17" max="17" width="14.81640625" style="8" customWidth="1"/>
    <col min="18" max="18" width="23.54296875" style="8" customWidth="1"/>
    <col min="19" max="19" width="19.7265625" style="8" customWidth="1"/>
    <col min="20" max="20" width="7.54296875" style="8" customWidth="1"/>
    <col min="21" max="21" width="8.81640625" style="8"/>
    <col min="22" max="23" width="16.7265625" style="8" customWidth="1"/>
    <col min="24" max="25" width="8.81640625" style="8"/>
    <col min="26" max="26" width="14.453125" style="8" customWidth="1"/>
    <col min="27" max="16384" width="8.81640625" style="8"/>
  </cols>
  <sheetData>
    <row r="1" spans="1:28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2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s="8" t="s">
        <v>3</v>
      </c>
      <c r="B2" s="24" t="s">
        <v>58</v>
      </c>
      <c r="C2" s="23">
        <v>80</v>
      </c>
      <c r="D2" s="23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0.15/50</f>
        <v>3.0000000000000001E-3</v>
      </c>
      <c r="O2" s="2">
        <f>Table27[[#This Row],[Yearly Energy Consumption in kWh]]*Table27[[#This Row],[CU/kWh]]</f>
        <v>2.0367000000000002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v>5</v>
      </c>
      <c r="W2" s="2">
        <f>Table27[[#This Row],[Cost per hour]]*Table27[[#This Row],[Total Time to Repair(h)]]*Table27[[#This Row],[Failures per year]]</f>
        <v>1.2109824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Table27[[#This Row],[Percentage of Business Users]]*Table27[[#This Row],[SLA CU per hour]]*Table27[[#This Row],[Failures per year]]*Table27[[#This Row],[Total Time to Repair(h)]]</f>
        <v>1.6953753600000001</v>
      </c>
      <c r="AB2" s="8">
        <f>Table27[[#This Row],[Percentage of ITS and business users]]*Table27[[#This Row],[SLA CU per hour]]*Table27[[#This Row],[Failures per year]]*Table27[[#This Row],[Total Time to Repair(h)]]</f>
        <v>1.7084539699200001</v>
      </c>
    </row>
    <row r="3" spans="1:28" x14ac:dyDescent="0.35">
      <c r="A3" s="8" t="s">
        <v>3</v>
      </c>
      <c r="B3" s="24" t="s">
        <v>59</v>
      </c>
      <c r="C3" s="23">
        <v>12</v>
      </c>
      <c r="D3" s="23">
        <f>156</f>
        <v>156</v>
      </c>
      <c r="E3" s="8">
        <v>0.1</v>
      </c>
      <c r="F3" s="8">
        <f>Table27[[#This Row],[Floor Space per component]]*Table27[[#This Row],[Quantity]]</f>
        <v>15.600000000000001</v>
      </c>
      <c r="G3" s="8">
        <v>10.6</v>
      </c>
      <c r="H3" s="2">
        <f>Table27[[#This Row],[Rent per sqm per year]]*Table27[[#This Row],[Total Floor Space]]</f>
        <v>165.36</v>
      </c>
      <c r="I3" s="8">
        <v>1</v>
      </c>
      <c r="J3" s="8">
        <v>0</v>
      </c>
      <c r="K3" s="8">
        <v>256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0.15/50</f>
        <v>3.0000000000000001E-3</v>
      </c>
      <c r="O3" s="2">
        <f>Table27[[#This Row],[Yearly Energy Consumption in kWh]]*Table27[[#This Row],[CU/kWh]]</f>
        <v>4.9196159999999995</v>
      </c>
      <c r="P3" s="8">
        <v>0</v>
      </c>
      <c r="Q3" s="8">
        <v>20</v>
      </c>
      <c r="R3" s="8">
        <f>Table27[[#This Row],[Quantity]]*(Table27[[#This Row],[FIT]]*24*365)/1000000000</f>
        <v>0.34983935999999999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v>5</v>
      </c>
      <c r="W3" s="2">
        <f>Table27[[#This Row],[Cost per hour]]*Table27[[#This Row],[Total Time to Repair(h)]]*Table27[[#This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Table27[[#This Row],[Percentage of Business Users]]*Table27[[#This Row],[SLA CU per hour]]*Table27[[#This Row],[Failures per year]]*Table27[[#This Row],[Total Time to Repair(h)]]</f>
        <v>0</v>
      </c>
      <c r="AB3" s="8">
        <f>Table27[[#This Row],[Percentage of ITS and business users]]*Table27[[#This Row],[SLA CU per hour]]*Table27[[#This Row],[Failures per year]]*Table27[[#This Row],[Total Time to Repair(h)]]</f>
        <v>0</v>
      </c>
    </row>
    <row r="4" spans="1:28" x14ac:dyDescent="0.35">
      <c r="A4" s="8" t="s">
        <v>3</v>
      </c>
      <c r="B4" s="24" t="s">
        <v>6</v>
      </c>
      <c r="C4" s="23">
        <f>0.1/9</f>
        <v>1.1111111111111112E-2</v>
      </c>
      <c r="D4" s="23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1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3.0000000000000001E-3</v>
      </c>
      <c r="O4" s="2">
        <f>Table27[[#This Row],[Yearly Energy Consumption in kWh]]*Table27[[#This Row],[CU/kWh]]</f>
        <v>8.1993600000000004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v>5</v>
      </c>
      <c r="W4" s="2">
        <f>Table27[[#This Row],[Cost per hour]]*Table27[[#This Row],[Total Time to Repair(h)]]*Table27[[#This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Table27[[#This Row],[Percentage of Business Users]]*Table27[[#This Row],[SLA CU per hour]]*Table27[[#This Row],[Failures per year]]*Table27[[#This Row],[Total Time to Repair(h)]]</f>
        <v>0</v>
      </c>
      <c r="AB4" s="8">
        <f>Table27[[#This Row],[Percentage of ITS and business users]]*Table27[[#This Row],[SLA CU per hour]]*Table27[[#This Row],[Failures per year]]*Table27[[#This Row],[Total Time to Repair(h)]]</f>
        <v>0</v>
      </c>
    </row>
    <row r="5" spans="1:28" x14ac:dyDescent="0.35">
      <c r="A5" s="8" t="s">
        <v>3</v>
      </c>
      <c r="B5" s="24" t="s">
        <v>7</v>
      </c>
      <c r="C5" s="23">
        <v>200</v>
      </c>
      <c r="D5" s="23">
        <v>1</v>
      </c>
      <c r="E5" s="8">
        <v>40</v>
      </c>
      <c r="F5" s="8">
        <f>Table27[[#This Row],[Floor Space per component]]*Table27[[#This Row],[Quantity]]</f>
        <v>40</v>
      </c>
      <c r="G5" s="8">
        <v>10.6</v>
      </c>
      <c r="H5" s="2">
        <f>Table27[[#This Row],[Rent per sqm per year]]*Table27[[#This Row],[Total Floor Space]]</f>
        <v>424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3.0000000000000001E-3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v>5</v>
      </c>
      <c r="W5" s="2">
        <f>Table27[[#This Row],[Cost per hour]]*Table27[[#This Row],[Total Time to Repair(h)]]*Table27[[#This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Table27[[#This Row],[Percentage of Business Users]]*Table27[[#This Row],[SLA CU per hour]]*Table27[[#This Row],[Failures per year]]*Table27[[#This Row],[Total Time to Repair(h)]]</f>
        <v>0</v>
      </c>
      <c r="AB5" s="8">
        <f>Table27[[#This Row],[Percentage of ITS and business users]]*Table27[[#This Row],[SLA CU per hour]]*Table27[[#This Row],[Failures per year]]*Table27[[#This Row],[Total Time to Repair(h)]]</f>
        <v>0</v>
      </c>
    </row>
    <row r="6" spans="1:28" x14ac:dyDescent="0.35">
      <c r="A6" s="8" t="s">
        <v>8</v>
      </c>
      <c r="B6" s="24" t="s">
        <v>9</v>
      </c>
      <c r="C6" s="23">
        <v>1.8</v>
      </c>
      <c r="D6" s="23">
        <f>156*2</f>
        <v>312</v>
      </c>
      <c r="E6" s="8">
        <v>0</v>
      </c>
      <c r="F6" s="8">
        <v>0.1</v>
      </c>
      <c r="G6" s="8">
        <v>4</v>
      </c>
      <c r="H6" s="2">
        <f>Table27[[#This Row],[Rent per sqm per year]]*Table27[[#This Row],[Total Floor Space]]</f>
        <v>0.4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3.0000000000000001E-3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v>5</v>
      </c>
      <c r="W6" s="2">
        <f>Table27[[#This Row],[Cost per hour]]*Table27[[#This Row],[Total Time to Repair(h)]]*Table27[[#This Row],[Failures per year]]</f>
        <v>9.9212255999999996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Table27[[#This Row],[Percentage of Business Users]]*Table27[[#This Row],[SLA CU per hour]]*Table27[[#This Row],[Failures per year]]*Table27[[#This Row],[Total Time to Repair(h)]]</f>
        <v>13.889715840000003</v>
      </c>
      <c r="AB6" s="8">
        <f>Table27[[#This Row],[Percentage of ITS and business users]]*Table27[[#This Row],[SLA CU per hour]]*Table27[[#This Row],[Failures per year]]*Table27[[#This Row],[Total Time to Repair(h)]]</f>
        <v>13.996865076480001</v>
      </c>
    </row>
    <row r="7" spans="1:28" x14ac:dyDescent="0.35">
      <c r="A7" s="8" t="s">
        <v>10</v>
      </c>
      <c r="B7" s="24" t="s">
        <v>59</v>
      </c>
      <c r="C7" s="23">
        <v>12</v>
      </c>
      <c r="D7" s="23">
        <f>156*2</f>
        <v>312</v>
      </c>
      <c r="E7" s="8">
        <v>0</v>
      </c>
      <c r="F7" s="8">
        <v>0.1</v>
      </c>
      <c r="G7" s="8">
        <v>4</v>
      </c>
      <c r="H7" s="2">
        <f>Table27[[#This Row],[Rent per sqm per year]]*Table27[[#This Row],[Total Floor Space]]</f>
        <v>0.4</v>
      </c>
      <c r="I7" s="8">
        <v>1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3.0000000000000001E-3</v>
      </c>
      <c r="O7" s="2">
        <f>Table27[[#This Row],[Yearly Energy Consumption in kWh]]*Table27[[#This Row],[CU/kWh]]</f>
        <v>9.8392319999999991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v>5</v>
      </c>
      <c r="W7" s="2">
        <f>Table27[[#This Row],[Cost per hour]]*Table27[[#This Row],[Total Time to Repair(h)]]*Table27[[#This Row],[Failures per year]]</f>
        <v>0.102492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Table27[[#This Row],[Percentage of Business Users]]*Table27[[#This Row],[SLA CU per hour]]*Table27[[#This Row],[Failures per year]]*Table27[[#This Row],[Total Time to Repair(h)]]</f>
        <v>0.1434888</v>
      </c>
      <c r="AB7" s="8">
        <f>Table27[[#This Row],[Percentage of ITS and business users]]*Table27[[#This Row],[SLA CU per hour]]*Table27[[#This Row],[Failures per year]]*Table27[[#This Row],[Total Time to Repair(h)]]</f>
        <v>0.14459571360000001</v>
      </c>
    </row>
    <row r="8" spans="1:28" x14ac:dyDescent="0.35">
      <c r="A8" s="8" t="s">
        <v>10</v>
      </c>
      <c r="B8" s="24" t="s">
        <v>11</v>
      </c>
      <c r="C8" s="23">
        <v>1</v>
      </c>
      <c r="D8" s="23">
        <f>5000</f>
        <v>5000</v>
      </c>
      <c r="E8" s="8">
        <v>0</v>
      </c>
      <c r="F8" s="8">
        <v>0.1</v>
      </c>
      <c r="G8" s="8">
        <v>4</v>
      </c>
      <c r="H8" s="2">
        <f>Table27[[#This Row],[Rent per sqm per year]]*Table27[[#This Row],[Total Floor Space]]</f>
        <v>0.4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3.0000000000000001E-3</v>
      </c>
      <c r="O8" s="2">
        <f>Table27[[#This Row],[Yearly Energy Consumption in kWh]]*Table27[[#This Row],[CU/kWh]]</f>
        <v>525.6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v>5</v>
      </c>
      <c r="W8" s="2">
        <f>Table27[[#This Row],[Cost per hour]]*Table27[[#This Row],[Total Time to Repair(h)]]*Table27[[#This Row],[Failures per year]]</f>
        <v>347.59679999999997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Table27[[#This Row],[Percentage of Business Users]]*Table27[[#This Row],[SLA CU per hour]]*Table27[[#This Row],[Failures per year]]*Table27[[#This Row],[Total Time to Repair(h)]]</f>
        <v>486.6355200000001</v>
      </c>
      <c r="AB8" s="8">
        <f>Table27[[#This Row],[Percentage of ITS and business users]]*Table27[[#This Row],[SLA CU per hour]]*Table27[[#This Row],[Failures per year]]*Table27[[#This Row],[Total Time to Repair(h)]]</f>
        <v>490.38956544000001</v>
      </c>
    </row>
    <row r="9" spans="1:28" x14ac:dyDescent="0.35">
      <c r="A9" s="8" t="s">
        <v>10</v>
      </c>
      <c r="B9" s="24" t="s">
        <v>80</v>
      </c>
      <c r="C9" s="23">
        <v>1.2</v>
      </c>
      <c r="D9" s="23">
        <v>1244</v>
      </c>
      <c r="E9" s="8">
        <v>0</v>
      </c>
      <c r="F9" s="8">
        <v>0.1</v>
      </c>
      <c r="G9" s="8">
        <v>4</v>
      </c>
      <c r="H9" s="2">
        <f>Table27[[#This Row],[Rent per sqm per year]]*Table27[[#This Row],[Total Floor Space]]</f>
        <v>0.4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3.0000000000000001E-3</v>
      </c>
      <c r="O9" s="2">
        <f>Table27[[#This Row],[Yearly Energy Consumption in kWh]]*Table27[[#This Row],[CU/kWh]]</f>
        <v>1634.616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v>5</v>
      </c>
      <c r="W9" s="2">
        <f>Table27[[#This Row],[Cost per hour]]*Table27[[#This Row],[Total Time to Repair(h)]]*Table27[[#This Row],[Failures per year]]</f>
        <v>65.929512000000003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Table27[[#This Row],[Percentage of Business Users]]*Table27[[#This Row],[SLA CU per hour]]*Table27[[#This Row],[Failures per year]]*Table27[[#This Row],[Total Time to Repair(h)]]</f>
        <v>92.301316800000023</v>
      </c>
      <c r="AB9" s="8">
        <f>Table27[[#This Row],[Percentage of ITS and business users]]*Table27[[#This Row],[SLA CU per hour]]*Table27[[#This Row],[Failures per year]]*Table27[[#This Row],[Total Time to Repair(h)]]</f>
        <v>93.013355529600005</v>
      </c>
    </row>
    <row r="10" spans="1:28" x14ac:dyDescent="0.35">
      <c r="A10" s="8" t="s">
        <v>10</v>
      </c>
      <c r="B10" s="24" t="s">
        <v>81</v>
      </c>
      <c r="C10" s="23">
        <f>12+(100/4)</f>
        <v>37</v>
      </c>
      <c r="D10" s="23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1</v>
      </c>
      <c r="H10" s="2">
        <f>Table27[[#This Row],[Rent per sqm per year]]*Table27[[#This Row],[Total Floor Space]]</f>
        <v>5000</v>
      </c>
      <c r="I10" s="8">
        <f>4*Table27[[#This Row],[Quantity]]</f>
        <v>20000</v>
      </c>
      <c r="J10" s="8">
        <v>24</v>
      </c>
      <c r="K10" s="8">
        <v>512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3.0000000000000001E-3</v>
      </c>
      <c r="O10" s="2">
        <f>Table27[[#This Row],[Yearly Energy Consumption in kWh]]*Table27[[#This Row],[CU/kWh]]</f>
        <v>3285</v>
      </c>
      <c r="P10" s="8">
        <v>2</v>
      </c>
      <c r="Q10" s="8">
        <v>20</v>
      </c>
      <c r="R10" s="8">
        <f>Table27[[#This Row],[Quantity]]*(Table27[[#This Row],[FIT]]*24*365)/1000000000</f>
        <v>22.425599999999999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v>5</v>
      </c>
      <c r="W10" s="2">
        <f>Table27[[#This Row],[Cost per hour]]*Table27[[#This Row],[Total Time to Repair(h)]]*Table27[[#This Row],[Failures per year]]</f>
        <v>2713.4975999999997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Table27[[#This Row],[Percentage of Business Users]]*Table27[[#This Row],[SLA CU per hour]]*Table27[[#This Row],[Failures per year]]*Table27[[#This Row],[Total Time to Repair(h)]]</f>
        <v>3798.8966400000004</v>
      </c>
      <c r="AB10" s="8">
        <f>Table27[[#This Row],[Percentage of ITS and business users]]*Table27[[#This Row],[SLA CU per hour]]*Table27[[#This Row],[Failures per year]]*Table27[[#This Row],[Total Time to Repair(h)]]</f>
        <v>3828.2024140799999</v>
      </c>
    </row>
    <row r="11" spans="1:28" x14ac:dyDescent="0.35">
      <c r="B11" s="37"/>
      <c r="H11" s="33">
        <f>SUM(Table27[Total Rent cost per year])</f>
        <v>8452.9600000000009</v>
      </c>
      <c r="O11" s="33">
        <f>SUM(Table27[Energy Cost per year in CU])</f>
        <v>5470.210908</v>
      </c>
      <c r="W11" s="33">
        <f>SUM(Table27[FM Cost])+L20</f>
        <v>3710.3955689738323</v>
      </c>
      <c r="AA11" s="8">
        <f>SUBTOTAL(109,Table27[FM Penalty Business])</f>
        <v>4393.5620568000004</v>
      </c>
      <c r="AB11" s="8">
        <f>SUBTOTAL(109,Table27[FM Penalty ITS])</f>
        <v>4427.4552498096</v>
      </c>
    </row>
    <row r="14" spans="1:28" x14ac:dyDescent="0.35">
      <c r="A14" s="8" t="s">
        <v>39</v>
      </c>
      <c r="B14" s="8" t="s">
        <v>17</v>
      </c>
      <c r="C14" s="8" t="s">
        <v>16</v>
      </c>
      <c r="D14" s="8" t="s">
        <v>40</v>
      </c>
      <c r="E14" s="8" t="s">
        <v>30</v>
      </c>
      <c r="F14" s="8" t="s">
        <v>44</v>
      </c>
      <c r="G14" s="8" t="s">
        <v>45</v>
      </c>
      <c r="H14" s="8" t="s">
        <v>47</v>
      </c>
      <c r="I14" s="8" t="s">
        <v>46</v>
      </c>
      <c r="J14" s="8" t="s">
        <v>48</v>
      </c>
      <c r="K14" s="8" t="s">
        <v>49</v>
      </c>
      <c r="L14" s="8" t="s">
        <v>50</v>
      </c>
      <c r="M14" s="8" t="s">
        <v>109</v>
      </c>
      <c r="N14" s="8" t="s">
        <v>115</v>
      </c>
      <c r="O14" s="8" t="s">
        <v>116</v>
      </c>
      <c r="P14" s="8" t="s">
        <v>117</v>
      </c>
      <c r="Q14" s="8" t="s">
        <v>118</v>
      </c>
    </row>
    <row r="15" spans="1:28" x14ac:dyDescent="0.35">
      <c r="A15" s="8" t="s">
        <v>41</v>
      </c>
      <c r="B15" s="8">
        <f>570*B29/1000</f>
        <v>97502.201320258406</v>
      </c>
      <c r="C15" s="8">
        <v>24</v>
      </c>
      <c r="D15" s="8">
        <v>1</v>
      </c>
      <c r="E15" s="8">
        <v>5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102.92137366963837</v>
      </c>
      <c r="M15" s="8">
        <v>100</v>
      </c>
      <c r="N15" s="8">
        <v>7.0000000000000007E-2</v>
      </c>
      <c r="O15" s="8">
        <f>0.07+2*0.00027</f>
        <v>7.0540000000000005E-2</v>
      </c>
      <c r="P15" s="8">
        <f>N15*M15*J15*B15*24*365/1000000000</f>
        <v>144.08992313749374</v>
      </c>
      <c r="Q15" s="8">
        <f>O15*M15*J15*B15*24*365/1000000000</f>
        <v>145.20147397312581</v>
      </c>
    </row>
    <row r="16" spans="1:28" x14ac:dyDescent="0.35">
      <c r="A16" s="8" t="s">
        <v>42</v>
      </c>
      <c r="B16" s="8">
        <f>570*C29/1000</f>
        <v>48782.100875533812</v>
      </c>
      <c r="C16" s="8">
        <v>24</v>
      </c>
      <c r="D16" s="8">
        <v>1</v>
      </c>
      <c r="E16" s="8">
        <v>5</v>
      </c>
      <c r="F16" s="8">
        <v>2</v>
      </c>
      <c r="G16" s="8">
        <v>1</v>
      </c>
      <c r="H16" s="8">
        <f t="shared" ref="H16:I17" si="2">F16/20</f>
        <v>0.1</v>
      </c>
      <c r="I16" s="8">
        <f t="shared" si="2"/>
        <v>0.05</v>
      </c>
      <c r="J16" s="8">
        <f t="shared" ref="J16:J17" si="3">C16+2*H16</f>
        <v>24.2</v>
      </c>
      <c r="K16" s="8">
        <f t="shared" ref="K16:K17" si="4">C16+2*I16</f>
        <v>24.1</v>
      </c>
      <c r="L16" s="8">
        <f t="shared" ref="L16:L17" si="5">B16*24*365*J16*E16/1000000000</f>
        <v>51.707075644030809</v>
      </c>
      <c r="M16" s="8">
        <v>100</v>
      </c>
      <c r="N16" s="8">
        <v>7.0000000000000007E-2</v>
      </c>
      <c r="O16" s="8">
        <f t="shared" ref="O16:O17" si="6">0.07+2*0.00027</f>
        <v>7.0540000000000005E-2</v>
      </c>
      <c r="P16" s="8">
        <f t="shared" ref="P16:P17" si="7">N16*M16*J16*B16*24*365/1000000000</f>
        <v>72.389905901643147</v>
      </c>
      <c r="Q16" s="8">
        <f t="shared" ref="Q16:Q17" si="8">O16*M16*J16*B16*24*365/1000000000</f>
        <v>72.948342318598677</v>
      </c>
    </row>
    <row r="17" spans="1:19" x14ac:dyDescent="0.35">
      <c r="A17" s="8" t="s">
        <v>43</v>
      </c>
      <c r="B17" s="8">
        <f>570*D29/1000</f>
        <v>390662.20119410474</v>
      </c>
      <c r="C17" s="8">
        <v>24</v>
      </c>
      <c r="D17" s="8">
        <v>1</v>
      </c>
      <c r="E17" s="8">
        <v>5</v>
      </c>
      <c r="F17" s="8">
        <v>4</v>
      </c>
      <c r="G17" s="8">
        <v>1.5</v>
      </c>
      <c r="H17" s="8">
        <f t="shared" si="2"/>
        <v>0.2</v>
      </c>
      <c r="I17" s="8">
        <f t="shared" si="2"/>
        <v>7.4999999999999997E-2</v>
      </c>
      <c r="J17" s="8">
        <f t="shared" si="3"/>
        <v>24.4</v>
      </c>
      <c r="K17" s="8">
        <f t="shared" si="4"/>
        <v>24.15</v>
      </c>
      <c r="L17" s="8">
        <f t="shared" si="5"/>
        <v>417.50850766016356</v>
      </c>
      <c r="M17" s="8">
        <v>100</v>
      </c>
      <c r="N17" s="8">
        <v>7.0000000000000007E-2</v>
      </c>
      <c r="O17" s="8">
        <f t="shared" si="6"/>
        <v>7.0540000000000005E-2</v>
      </c>
      <c r="P17" s="8">
        <f t="shared" si="7"/>
        <v>584.5119107242291</v>
      </c>
      <c r="Q17" s="8">
        <f t="shared" si="8"/>
        <v>589.02100260695886</v>
      </c>
    </row>
    <row r="20" spans="1:19" x14ac:dyDescent="0.35">
      <c r="K20" s="8" t="s">
        <v>51</v>
      </c>
      <c r="L20" s="8">
        <f>SUM(L15:L17)</f>
        <v>572.13695697383275</v>
      </c>
    </row>
    <row r="22" spans="1:19" x14ac:dyDescent="0.35">
      <c r="O22" s="8" t="s">
        <v>89</v>
      </c>
    </row>
    <row r="23" spans="1:19" x14ac:dyDescent="0.35">
      <c r="O23" s="8" t="s">
        <v>95</v>
      </c>
      <c r="P23" s="8" t="s">
        <v>110</v>
      </c>
      <c r="Q23" s="8" t="s">
        <v>111</v>
      </c>
      <c r="R23" s="8" t="s">
        <v>119</v>
      </c>
    </row>
    <row r="24" spans="1:19" x14ac:dyDescent="0.35">
      <c r="O24" s="8" t="s">
        <v>90</v>
      </c>
      <c r="P24" s="8">
        <f>P39/$M$29</f>
        <v>0.28887157405508856</v>
      </c>
      <c r="Q24" s="8">
        <f t="shared" ref="Q24:R24" si="9">Q39/$M$29</f>
        <v>0.28887157405508856</v>
      </c>
      <c r="R24" s="8">
        <f t="shared" si="9"/>
        <v>0.28887157405508856</v>
      </c>
    </row>
    <row r="25" spans="1:19" x14ac:dyDescent="0.35">
      <c r="O25" s="8" t="s">
        <v>91</v>
      </c>
      <c r="P25" s="8">
        <f t="shared" ref="P25:R28" si="10">P40/$M$29</f>
        <v>0.18693906458888662</v>
      </c>
      <c r="Q25" s="8">
        <f t="shared" si="10"/>
        <v>0.18693906458888662</v>
      </c>
      <c r="R25" s="8">
        <f t="shared" si="10"/>
        <v>0.18693906458888662</v>
      </c>
    </row>
    <row r="26" spans="1:19" x14ac:dyDescent="0.35">
      <c r="O26" s="8" t="s">
        <v>92</v>
      </c>
      <c r="P26" s="8">
        <f t="shared" si="10"/>
        <v>0.12679911041534522</v>
      </c>
      <c r="Q26" s="8">
        <f t="shared" si="10"/>
        <v>0.29649697842757378</v>
      </c>
      <c r="R26" s="8">
        <f t="shared" si="10"/>
        <v>0.29765524488268968</v>
      </c>
    </row>
    <row r="27" spans="1:19" x14ac:dyDescent="0.35">
      <c r="O27" s="8" t="s">
        <v>93</v>
      </c>
      <c r="P27" s="8">
        <f t="shared" si="10"/>
        <v>3.013048745296602E-2</v>
      </c>
      <c r="Q27" s="8">
        <f t="shared" si="10"/>
        <v>3.861538085357745E-2</v>
      </c>
      <c r="R27" s="8">
        <f t="shared" si="10"/>
        <v>3.8673294176333237E-2</v>
      </c>
    </row>
    <row r="28" spans="1:19" x14ac:dyDescent="0.35">
      <c r="K28" s="8" t="s">
        <v>52</v>
      </c>
      <c r="M28" s="8" t="s">
        <v>136</v>
      </c>
      <c r="O28" s="8" t="s">
        <v>94</v>
      </c>
      <c r="P28" s="8">
        <f t="shared" si="10"/>
        <v>4.2182682434152435E-2</v>
      </c>
      <c r="Q28" s="8">
        <f t="shared" si="10"/>
        <v>5.4061533195008428E-2</v>
      </c>
      <c r="R28" s="8">
        <f t="shared" si="10"/>
        <v>5.4142611846866535E-2</v>
      </c>
    </row>
    <row r="29" spans="1:19" x14ac:dyDescent="0.35">
      <c r="B29" s="9">
        <v>171056.49354431301</v>
      </c>
      <c r="C29" s="9">
        <v>85582.633114971599</v>
      </c>
      <c r="D29" s="9">
        <v>685372.28279667499</v>
      </c>
      <c r="K29" s="8">
        <f>Table27[[#Totals],[Total Rent cost per year]]+Table27[[#Totals],[Energy Cost per year in CU]]+Table27[[#Totals],[FM Cost]]+L20</f>
        <v>18205.703433947667</v>
      </c>
      <c r="M29" s="8">
        <v>29262</v>
      </c>
      <c r="P29" s="8">
        <f>SUM(Table14[Residential])</f>
        <v>0.67492291894643885</v>
      </c>
      <c r="Q29" s="8">
        <f>SUBTOTAL(109,Table14[Business])</f>
        <v>0.86498453112013485</v>
      </c>
      <c r="R29" s="8">
        <f>SUBTOTAL(109,Table14[Business ITS])</f>
        <v>0.86628178954986468</v>
      </c>
      <c r="S29" s="8">
        <v>11727.88547395296</v>
      </c>
    </row>
    <row r="38" spans="15:18" x14ac:dyDescent="0.35">
      <c r="O38" s="40" t="s">
        <v>95</v>
      </c>
      <c r="P38" s="10" t="s">
        <v>110</v>
      </c>
      <c r="Q38" s="10" t="s">
        <v>111</v>
      </c>
      <c r="R38" s="39" t="s">
        <v>119</v>
      </c>
    </row>
    <row r="39" spans="15:18" x14ac:dyDescent="0.35">
      <c r="O39" s="28" t="s">
        <v>90</v>
      </c>
      <c r="P39" s="29">
        <f>Table27[[#Totals],[Total Rent cost per year]]</f>
        <v>8452.9600000000009</v>
      </c>
      <c r="Q39" s="29">
        <f>Table27[[#Totals],[Total Rent cost per year]]</f>
        <v>8452.9600000000009</v>
      </c>
      <c r="R39" s="12">
        <f>Table27[[#Totals],[Total Rent cost per year]]</f>
        <v>8452.9600000000009</v>
      </c>
    </row>
    <row r="40" spans="15:18" x14ac:dyDescent="0.35">
      <c r="O40" s="30" t="s">
        <v>91</v>
      </c>
      <c r="P40" s="31">
        <f>Table27[[#Totals],[Energy Cost per year in CU]]</f>
        <v>5470.210908</v>
      </c>
      <c r="Q40" s="31">
        <f>Table27[[#Totals],[Energy Cost per year in CU]]</f>
        <v>5470.210908</v>
      </c>
      <c r="R40" s="13">
        <f>Table27[[#Totals],[Energy Cost per year in CU]]</f>
        <v>5470.210908</v>
      </c>
    </row>
    <row r="41" spans="15:18" x14ac:dyDescent="0.35">
      <c r="O41" s="28" t="s">
        <v>92</v>
      </c>
      <c r="P41" s="29">
        <f>Table27[[#Totals],[FM Cost]]+L35</f>
        <v>3710.3955689738323</v>
      </c>
      <c r="Q41" s="29">
        <f>Table27[[#Totals],[FM Cost]]+$L$20+P30+P31+P32+Table27[[#Totals],[FM Penalty Business]]</f>
        <v>8676.0945827476644</v>
      </c>
      <c r="R41" s="12">
        <f>Table27[[#Totals],[FM Cost]]+$L$20+Q30+Q31+Q32+Table27[[#Totals],[FM Penalty ITS]]</f>
        <v>8709.9877757572649</v>
      </c>
    </row>
    <row r="42" spans="15:18" x14ac:dyDescent="0.35">
      <c r="O42" s="30" t="s">
        <v>93</v>
      </c>
      <c r="P42" s="31">
        <f>0.05*SUM(P39:P41)</f>
        <v>881.67832384869166</v>
      </c>
      <c r="Q42" s="31">
        <f>0.05*SUM(Q39:Q41)</f>
        <v>1129.9632745373833</v>
      </c>
      <c r="R42" s="13">
        <f>0.05*SUM(R39:R41)</f>
        <v>1131.6579341878632</v>
      </c>
    </row>
    <row r="43" spans="15:18" x14ac:dyDescent="0.35">
      <c r="O43" s="28" t="s">
        <v>94</v>
      </c>
      <c r="P43" s="29">
        <f>0.07*SUM(P39:P41)</f>
        <v>1234.3496533881685</v>
      </c>
      <c r="Q43" s="29">
        <f>0.07*SUM(Q39:Q41)</f>
        <v>1581.9485843523366</v>
      </c>
      <c r="R43" s="12">
        <f>0.07*SUM(R39:R41)</f>
        <v>1584.3211078630086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0"/>
  <sheetViews>
    <sheetView topLeftCell="F10" workbookViewId="0">
      <selection activeCell="H40" sqref="H40"/>
    </sheetView>
  </sheetViews>
  <sheetFormatPr defaultColWidth="8.81640625" defaultRowHeight="14.5" x14ac:dyDescent="0.35"/>
  <cols>
    <col min="1" max="1" width="23.26953125" style="8" customWidth="1"/>
    <col min="2" max="2" width="27.453125" style="8" customWidth="1"/>
    <col min="3" max="3" width="21.26953125" style="8" customWidth="1"/>
    <col min="4" max="4" width="21.1796875" style="8" customWidth="1"/>
    <col min="5" max="5" width="31.453125" style="8" customWidth="1"/>
    <col min="6" max="6" width="25" style="8" customWidth="1"/>
    <col min="7" max="7" width="22.54296875" style="8" customWidth="1"/>
    <col min="8" max="8" width="23.81640625" style="8" customWidth="1"/>
    <col min="9" max="9" width="25.54296875" style="8" customWidth="1"/>
    <col min="10" max="10" width="18.26953125" style="8" customWidth="1"/>
    <col min="11" max="11" width="8.81640625" style="8"/>
    <col min="12" max="12" width="25.7265625" style="8" customWidth="1"/>
    <col min="13" max="13" width="34.1796875" style="8" customWidth="1"/>
    <col min="14" max="14" width="10.7265625" style="8" customWidth="1"/>
    <col min="15" max="15" width="26.26953125" style="8" customWidth="1"/>
    <col min="16" max="16" width="25" style="8" customWidth="1"/>
    <col min="17" max="17" width="18.26953125" style="8" customWidth="1"/>
    <col min="18" max="18" width="17.81640625" style="8" customWidth="1"/>
    <col min="19" max="19" width="19" style="8" customWidth="1"/>
    <col min="20" max="20" width="23.453125" style="8" customWidth="1"/>
    <col min="21" max="21" width="19.26953125" style="8" customWidth="1"/>
    <col min="22" max="22" width="15" style="8" customWidth="1"/>
    <col min="23" max="23" width="19.26953125" style="8" customWidth="1"/>
    <col min="24" max="24" width="23.54296875" style="8" customWidth="1"/>
    <col min="25" max="25" width="21.26953125" style="8" customWidth="1"/>
    <col min="26" max="26" width="16.1796875" style="8" customWidth="1"/>
    <col min="27" max="27" width="11" style="8" customWidth="1"/>
    <col min="28" max="16384" width="8.81640625" style="8"/>
  </cols>
  <sheetData>
    <row r="1" spans="1:28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s="8" t="s">
        <v>3</v>
      </c>
      <c r="B2" s="8" t="s">
        <v>58</v>
      </c>
      <c r="C2" s="23">
        <v>80</v>
      </c>
      <c r="D2" s="23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0.15/50</f>
        <v>3.0000000000000001E-3</v>
      </c>
      <c r="O2" s="8">
        <f>Table38[[#This Row],[Yearly Energy Consumption in kWh]]*Table38[[#This Row],[CU/kWh]]</f>
        <v>283.82400000000001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v>5</v>
      </c>
      <c r="W2" s="8">
        <f>Table38[[#This Row],[Cost per hour]]*Table38[[#This Row],[Total Time to Repair(h)]]*Table38[[#This Row],[Failures per year]]</f>
        <v>2.4219648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Table38[[#This Row],[Percentage of Business Users]]*Table38[[#This Row],[SLA CU per hour]]*Table38[[#This Row],[Failures per year]]*Table38[[#This Row],[Total Time to Repair(h)]]</f>
        <v>3.3907507200000002</v>
      </c>
      <c r="AB2" s="8">
        <f>Table38[[#This Row],[Percentage of ITS and business users]]*Table38[[#This Row],[SLA CU per hour]]*Table38[[#This Row],[Failures per year]]*Table38[[#This Row],[Total Time to Repair(h)]]</f>
        <v>3.4169079398400002</v>
      </c>
    </row>
    <row r="3" spans="1:28" x14ac:dyDescent="0.35">
      <c r="A3" s="8" t="s">
        <v>3</v>
      </c>
      <c r="B3" s="8" t="s">
        <v>59</v>
      </c>
      <c r="C3" s="23">
        <v>12</v>
      </c>
      <c r="D3" s="23">
        <f>156*2</f>
        <v>312</v>
      </c>
      <c r="E3" s="8">
        <v>0.1</v>
      </c>
      <c r="F3" s="8">
        <f>Table38[[#This Row],[Floor Space per component]]*Table38[[#This Row],[Quantity]]</f>
        <v>31.200000000000003</v>
      </c>
      <c r="G3" s="8">
        <v>10.6</v>
      </c>
      <c r="H3" s="8">
        <f>Table38[[#This Row],[Rent per sqm per year]]*Table38[[#This Row],[Total Floor Space]]</f>
        <v>330.72</v>
      </c>
      <c r="I3" s="8">
        <v>1</v>
      </c>
      <c r="J3" s="8">
        <v>2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0.15/50</f>
        <v>3.0000000000000001E-3</v>
      </c>
      <c r="O3" s="8">
        <f>Table38[[#This Row],[Yearly Energy Consumption in kWh]]*Table38[[#This Row],[CU/kWh]]</f>
        <v>36.897120000000001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2</v>
      </c>
      <c r="U3" s="8">
        <v>1</v>
      </c>
      <c r="V3" s="8">
        <v>5</v>
      </c>
      <c r="W3" s="8">
        <f>Table38[[#This Row],[Cost per hour]]*Table38[[#This Row],[Total Time to Repair(h)]]*Table38[[#This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Table38[[#This Row],[Percentage of Business Users]]*Table38[[#This Row],[SLA CU per hour]]*Table38[[#This Row],[Failures per year]]*Table38[[#This Row],[Total Time to Repair(h)]]</f>
        <v>0</v>
      </c>
      <c r="AB3" s="8">
        <f>Table38[[#This Row],[Percentage of ITS and business users]]*Table38[[#This Row],[SLA CU per hour]]*Table38[[#This Row],[Failures per year]]*Table38[[#This Row],[Total Time to Repair(h)]]</f>
        <v>0</v>
      </c>
    </row>
    <row r="4" spans="1:28" x14ac:dyDescent="0.35">
      <c r="A4" s="8" t="s">
        <v>3</v>
      </c>
      <c r="B4" s="8" t="s">
        <v>6</v>
      </c>
      <c r="C4" s="23">
        <f>0.1/9</f>
        <v>1.1111111111111112E-2</v>
      </c>
      <c r="D4" s="23">
        <v>3120</v>
      </c>
      <c r="E4" s="8">
        <v>0.1</v>
      </c>
      <c r="F4" s="8">
        <f>Table38[[#This Row],[Floor Space per component]]*Table38[[#This Row],[Quantity]]</f>
        <v>312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3.0000000000000001E-3</v>
      </c>
      <c r="O4" s="8">
        <f>Table38[[#This Row],[Yearly Energy Consumption in kWh]]*Table38[[#This Row],[CU/kWh]]</f>
        <v>81.993600000000001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v>5</v>
      </c>
      <c r="W4" s="8">
        <f>Table38[[#This Row],[Cost per hour]]*Table38[[#This Row],[Total Time to Repair(h)]]*Table38[[#This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Table38[[#This Row],[Percentage of Business Users]]*Table38[[#This Row],[SLA CU per hour]]*Table38[[#This Row],[Failures per year]]*Table38[[#This Row],[Total Time to Repair(h)]]</f>
        <v>0</v>
      </c>
      <c r="AB4" s="8">
        <f>Table38[[#This Row],[Percentage of ITS and business users]]*Table38[[#This Row],[SLA CU per hour]]*Table38[[#This Row],[Failures per year]]*Table38[[#This Row],[Total Time to Repair(h)]]</f>
        <v>0</v>
      </c>
    </row>
    <row r="5" spans="1:28" x14ac:dyDescent="0.35">
      <c r="A5" s="8" t="s">
        <v>3</v>
      </c>
      <c r="B5" s="8" t="s">
        <v>7</v>
      </c>
      <c r="C5" s="23">
        <v>400</v>
      </c>
      <c r="D5" s="23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24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3.0000000000000001E-3</v>
      </c>
      <c r="O5" s="8">
        <f>Table38[[#This Row],[Yearly Energy Consumption in kWh]]*Table38[[#This Row],[CU/kWh]]</f>
        <v>2.6280000000000001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v>5</v>
      </c>
      <c r="W5" s="8">
        <f>Table38[[#This Row],[Cost per hour]]*Table38[[#This Row],[Total Time to Repair(h)]]*Table38[[#This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Table38[[#This Row],[Percentage of Business Users]]*Table38[[#This Row],[SLA CU per hour]]*Table38[[#This Row],[Failures per year]]*Table38[[#This Row],[Total Time to Repair(h)]]</f>
        <v>0</v>
      </c>
      <c r="AB5" s="8">
        <f>Table38[[#This Row],[Percentage of ITS and business users]]*Table38[[#This Row],[SLA CU per hour]]*Table38[[#This Row],[Failures per year]]*Table38[[#This Row],[Total Time to Repair(h)]]</f>
        <v>0</v>
      </c>
    </row>
    <row r="6" spans="1:28" x14ac:dyDescent="0.35">
      <c r="A6" s="8" t="s">
        <v>8</v>
      </c>
      <c r="B6" s="8" t="s">
        <v>9</v>
      </c>
      <c r="C6" s="23">
        <v>1.8</v>
      </c>
      <c r="D6" s="23">
        <f>156</f>
        <v>156</v>
      </c>
      <c r="E6" s="8">
        <v>0.1</v>
      </c>
      <c r="F6" s="8">
        <f>Table38[[#This Row],[Floor Space per component]]*Table38[[#This Row],[Quantity]]</f>
        <v>15.600000000000001</v>
      </c>
      <c r="G6" s="8">
        <v>10.6</v>
      </c>
      <c r="H6" s="8">
        <f>Table38[[#This Row],[Rent per sqm per year]]*Table38[[#This Row],[Total Floor Space]]</f>
        <v>165.36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3.0000000000000001E-3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v>5</v>
      </c>
      <c r="W6" s="8">
        <f>Table38[[#This Row],[Cost per hour]]*Table38[[#This Row],[Total Time to Repair(h)]]*Table38[[#This Row],[Failures per year]]</f>
        <v>2.101086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Table38[[#This Row],[Percentage of Business Users]]*Table38[[#This Row],[SLA CU per hour]]*Table38[[#This Row],[Failures per year]]*Table38[[#This Row],[Total Time to Repair(h)]]</f>
        <v>2.9415204000000004</v>
      </c>
      <c r="AB6" s="8">
        <f>Table38[[#This Row],[Percentage of ITS and business users]]*Table38[[#This Row],[SLA CU per hour]]*Table38[[#This Row],[Failures per year]]*Table38[[#This Row],[Total Time to Repair(h)]]</f>
        <v>2.9642121288000003</v>
      </c>
    </row>
    <row r="7" spans="1:28" x14ac:dyDescent="0.35">
      <c r="A7" s="8" t="s">
        <v>8</v>
      </c>
      <c r="B7" s="8" t="s">
        <v>59</v>
      </c>
      <c r="C7" s="23">
        <v>4</v>
      </c>
      <c r="D7" s="23">
        <f>156</f>
        <v>156</v>
      </c>
      <c r="E7" s="8">
        <v>0.1</v>
      </c>
      <c r="F7" s="8">
        <f>Table38[[#This Row],[Floor Space per component]]*Table38[[#This Row],[Quantity]]</f>
        <v>15.600000000000001</v>
      </c>
      <c r="G7" s="8">
        <v>10.6</v>
      </c>
      <c r="H7" s="8">
        <f>Table38[[#This Row],[Rent per sqm per year]]*Table38[[#This Row],[Total Floor Space]]</f>
        <v>165.36</v>
      </c>
      <c r="I7" s="8">
        <v>1</v>
      </c>
      <c r="J7" s="8">
        <v>2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3.0000000000000001E-3</v>
      </c>
      <c r="O7" s="8">
        <f>Table38[[#This Row],[Yearly Energy Consumption in kWh]]*Table38[[#This Row],[CU/kWh]]</f>
        <v>18.448560000000001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2.15</v>
      </c>
      <c r="U7" s="8">
        <v>1</v>
      </c>
      <c r="V7" s="8">
        <v>5</v>
      </c>
      <c r="W7" s="8">
        <f>Table38[[#This Row],[Cost per hour]]*Table38[[#This Row],[Total Time to Repair(h)]]*Table38[[#This Row],[Failures per year]]</f>
        <v>0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Table38[[#This Row],[Percentage of Business Users]]*Table38[[#This Row],[SLA CU per hour]]*Table38[[#This Row],[Failures per year]]*Table38[[#This Row],[Total Time to Repair(h)]]</f>
        <v>0</v>
      </c>
      <c r="AB7" s="8">
        <f>Table38[[#This Row],[Percentage of ITS and business users]]*Table38[[#This Row],[SLA CU per hour]]*Table38[[#This Row],[Failures per year]]*Table38[[#This Row],[Total Time to Repair(h)]]</f>
        <v>0</v>
      </c>
    </row>
    <row r="8" spans="1:28" x14ac:dyDescent="0.35">
      <c r="A8" s="8" t="s">
        <v>10</v>
      </c>
      <c r="B8" s="8" t="s">
        <v>9</v>
      </c>
      <c r="C8" s="23">
        <v>1.8</v>
      </c>
      <c r="D8" s="23">
        <v>610</v>
      </c>
      <c r="E8" s="8">
        <v>0.1</v>
      </c>
      <c r="F8" s="8">
        <f>Table38[[#This Row],[Floor Space per component]]*Table38[[#This Row],[Quantity]]</f>
        <v>61</v>
      </c>
      <c r="G8" s="8">
        <v>10.6</v>
      </c>
      <c r="H8" s="8">
        <f>Table38[[#This Row],[Rent per sqm per year]]*Table38[[#This Row],[Total Floor Space]]</f>
        <v>646.6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3.0000000000000001E-3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v>5</v>
      </c>
      <c r="W8" s="8">
        <f>Table38[[#This Row],[Cost per hour]]*Table38[[#This Row],[Total Time to Repair(h)]]*Table38[[#This Row],[Failures per year]]</f>
        <v>8.2825799999999994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Table38[[#This Row],[Percentage of Business Users]]*Table38[[#This Row],[SLA CU per hour]]*Table38[[#This Row],[Failures per year]]*Table38[[#This Row],[Total Time to Repair(h)]]</f>
        <v>11.595612000000001</v>
      </c>
      <c r="AB8" s="8">
        <f>Table38[[#This Row],[Percentage of ITS and business users]]*Table38[[#This Row],[SLA CU per hour]]*Table38[[#This Row],[Failures per year]]*Table38[[#This Row],[Total Time to Repair(h)]]</f>
        <v>11.685063864</v>
      </c>
    </row>
    <row r="9" spans="1:28" x14ac:dyDescent="0.35">
      <c r="A9" s="8" t="s">
        <v>13</v>
      </c>
      <c r="B9" s="8" t="s">
        <v>60</v>
      </c>
      <c r="C9" s="23">
        <f>10</f>
        <v>10</v>
      </c>
      <c r="D9" s="23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512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3.0000000000000001E-3</v>
      </c>
      <c r="O9" s="8">
        <f>Table38[[#This Row],[Yearly Energy Consumption in kWh]]*Table38[[#This Row],[CU/kWh]]</f>
        <v>6570</v>
      </c>
      <c r="P9" s="8">
        <v>2.25</v>
      </c>
      <c r="Q9" s="8">
        <v>20</v>
      </c>
      <c r="R9" s="8">
        <f>Table38[[#This Row],[Quantity]]*(Table38[[#This Row],[FIT]]*24*365)/1000000000</f>
        <v>22.425599999999999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v>5</v>
      </c>
      <c r="W9" s="8">
        <f>Table38[[#This Row],[Cost per hour]]*Table38[[#This Row],[Total Time to Repair(h)]]*Table38[[#This Row],[Failures per year]]</f>
        <v>2716.3008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Table38[[#This Row],[Percentage of Business Users]]*Table38[[#This Row],[SLA CU per hour]]*Table38[[#This Row],[Failures per year]]*Table38[[#This Row],[Total Time to Repair(h)]]</f>
        <v>3802.8211200000005</v>
      </c>
      <c r="AB9" s="8">
        <f>Table38[[#This Row],[Percentage of ITS and business users]]*Table38[[#This Row],[SLA CU per hour]]*Table38[[#This Row],[Failures per year]]*Table38[[#This Row],[Total Time to Repair(h)]]</f>
        <v>3832.1571686400002</v>
      </c>
    </row>
    <row r="10" spans="1:28" x14ac:dyDescent="0.35">
      <c r="A10" s="8" t="s">
        <v>13</v>
      </c>
      <c r="B10" s="8" t="s">
        <v>61</v>
      </c>
      <c r="C10" s="23">
        <v>2.2999999999999998</v>
      </c>
      <c r="D10" s="23">
        <v>5000</v>
      </c>
      <c r="E10" s="8">
        <v>0.5</v>
      </c>
      <c r="F10" s="8">
        <f>Table38[[#This Row],[Floor Space per component]]*Table38[[#This Row],[Quantity]]</f>
        <v>2500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3.0000000000000001E-3</v>
      </c>
      <c r="O10" s="8">
        <f>Table38[[#This Row],[Yearly Energy Consumption in kWh]]*Table38[[#This Row],[CU/kWh]]</f>
        <v>854.1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v>5</v>
      </c>
      <c r="W10" s="8">
        <f>Table38[[#This Row],[Cost per hour]]*Table38[[#This Row],[Total Time to Repair(h)]]*Table38[[#This Row],[Failures per year]]</f>
        <v>348.9984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Table38[[#This Row],[Percentage of Business Users]]*Table38[[#This Row],[SLA CU per hour]]*Table38[[#This Row],[Failures per year]]*Table38[[#This Row],[Total Time to Repair(h)]]</f>
        <v>488.59776000000005</v>
      </c>
      <c r="AB10" s="8">
        <f>Table38[[#This Row],[Percentage of ITS and business users]]*Table38[[#This Row],[SLA CU per hour]]*Table38[[#This Row],[Failures per year]]*Table38[[#This Row],[Total Time to Repair(h)]]</f>
        <v>492.36694271999994</v>
      </c>
    </row>
    <row r="11" spans="1:28" x14ac:dyDescent="0.35">
      <c r="H11" s="8">
        <f>SUM(Table38[Total Rent cost per year])</f>
        <v>7244.04</v>
      </c>
      <c r="O11" s="8">
        <f>SUBTOTAL(109,Table38[Energy Cost per year in CU])</f>
        <v>7847.8912800000007</v>
      </c>
      <c r="W11" s="8">
        <f>SUBTOTAL(109,Table38[FM Cost])</f>
        <v>3078.1048307999999</v>
      </c>
      <c r="AA11" s="8">
        <f>SUBTOTAL(109,Table38[FM Penalty Business])</f>
        <v>4309.3467631200001</v>
      </c>
      <c r="AB11" s="8">
        <f>SUBTOTAL(109,Table38[FM Penalty ITS])</f>
        <v>4342.5902952926399</v>
      </c>
    </row>
    <row r="14" spans="1:28" x14ac:dyDescent="0.3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</row>
    <row r="15" spans="1:28" x14ac:dyDescent="0.35">
      <c r="B15" s="9">
        <f>171056.493544313/1000</f>
        <v>171.05649354431301</v>
      </c>
      <c r="C15" s="8">
        <v>570</v>
      </c>
      <c r="E15" s="8">
        <v>20</v>
      </c>
    </row>
    <row r="16" spans="1:28" x14ac:dyDescent="0.35">
      <c r="B16" s="9">
        <f>85582.6331149716/1000</f>
        <v>85.5826331149716</v>
      </c>
      <c r="C16" s="8">
        <v>570</v>
      </c>
      <c r="E16" s="8">
        <v>20</v>
      </c>
    </row>
    <row r="17" spans="1:15" x14ac:dyDescent="0.35">
      <c r="B17" s="9">
        <f>384090.367674523/1000</f>
        <v>384.09036767452295</v>
      </c>
      <c r="C17" s="8">
        <v>570</v>
      </c>
      <c r="E17" s="8">
        <v>20</v>
      </c>
    </row>
    <row r="19" spans="1:15" x14ac:dyDescent="0.3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109</v>
      </c>
      <c r="K19" s="8" t="s">
        <v>115</v>
      </c>
      <c r="L19" s="8" t="s">
        <v>116</v>
      </c>
      <c r="M19" s="8" t="s">
        <v>117</v>
      </c>
      <c r="N19" s="8" t="s">
        <v>118</v>
      </c>
    </row>
    <row r="20" spans="1:15" x14ac:dyDescent="0.35">
      <c r="A20" s="8" t="s">
        <v>41</v>
      </c>
      <c r="B20" s="8">
        <f>C15*B15</f>
        <v>97502.20132025842</v>
      </c>
      <c r="C20" s="15">
        <v>24</v>
      </c>
      <c r="D20" s="8">
        <v>2</v>
      </c>
      <c r="E20" s="8">
        <v>5</v>
      </c>
      <c r="F20" s="8">
        <v>1</v>
      </c>
      <c r="G20" s="8">
        <f>2*F20/20</f>
        <v>0.1</v>
      </c>
      <c r="H20" s="8">
        <f>G20+C20</f>
        <v>24.1</v>
      </c>
      <c r="I20" s="8">
        <f>B20*24*365*D20*E20*H20/1000000000</f>
        <v>205.84274733927677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144.08992313749377</v>
      </c>
      <c r="N20" s="8">
        <f>L20*J20*H20*B20*24*365/1000000000</f>
        <v>144.60453000584195</v>
      </c>
    </row>
    <row r="21" spans="1:15" x14ac:dyDescent="0.35">
      <c r="A21" s="8" t="s">
        <v>42</v>
      </c>
      <c r="B21" s="8">
        <f>C16*B16</f>
        <v>48782.100875533812</v>
      </c>
      <c r="C21" s="15">
        <v>24</v>
      </c>
      <c r="D21" s="8">
        <v>2</v>
      </c>
      <c r="E21" s="8">
        <v>5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B21*24*365*D21*E21*H21/1000000000</f>
        <v>103.41415128806162</v>
      </c>
      <c r="J21" s="8">
        <v>100</v>
      </c>
      <c r="K21" s="8">
        <v>7.0000000000000007E-2</v>
      </c>
      <c r="L21" s="8">
        <v>7.0250000000000007E-2</v>
      </c>
      <c r="M21" s="8">
        <f t="shared" ref="M21:M22" si="4">K21*J21*H21*B21*24*365/1000000000</f>
        <v>72.389905901643147</v>
      </c>
      <c r="N21" s="8">
        <f t="shared" ref="N21:N22" si="5">L21*J21*H21*B21*24*365/1000000000</f>
        <v>72.648441279863292</v>
      </c>
    </row>
    <row r="22" spans="1:15" x14ac:dyDescent="0.35">
      <c r="A22" s="8" t="s">
        <v>62</v>
      </c>
      <c r="B22" s="8">
        <f>C17*B17</f>
        <v>218931.50957447808</v>
      </c>
      <c r="C22" s="15">
        <v>24</v>
      </c>
      <c r="D22" s="8">
        <v>2</v>
      </c>
      <c r="E22" s="8">
        <v>5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B22*24*365*D22*E22*H22/1000000000</f>
        <v>467.95296582487242</v>
      </c>
      <c r="J22" s="8">
        <v>100</v>
      </c>
      <c r="K22" s="8">
        <v>7.0000000000000007E-2</v>
      </c>
      <c r="L22" s="8">
        <v>7.0250000000000007E-2</v>
      </c>
      <c r="M22" s="8">
        <f t="shared" si="4"/>
        <v>327.56707607741072</v>
      </c>
      <c r="N22" s="8">
        <f t="shared" si="5"/>
        <v>328.73695849197281</v>
      </c>
    </row>
    <row r="23" spans="1:15" x14ac:dyDescent="0.35">
      <c r="I23" s="8">
        <f>SUM(I20:I22)</f>
        <v>777.20986445221081</v>
      </c>
    </row>
    <row r="30" spans="1:15" x14ac:dyDescent="0.35">
      <c r="G30" s="8" t="s">
        <v>69</v>
      </c>
    </row>
    <row r="31" spans="1:15" x14ac:dyDescent="0.35">
      <c r="G31" s="8">
        <f>Table38[[#Totals],[Total Rent cost per year]]+Table38[[#Totals],[Energy Cost per year in CU]]+Table38[[#Totals],[FM Cost]]+I23</f>
        <v>18947.245975252212</v>
      </c>
      <c r="L31" s="8" t="s">
        <v>95</v>
      </c>
      <c r="M31" s="8" t="s">
        <v>110</v>
      </c>
      <c r="N31" s="8" t="s">
        <v>111</v>
      </c>
      <c r="O31" s="8" t="s">
        <v>119</v>
      </c>
    </row>
    <row r="32" spans="1:15" x14ac:dyDescent="0.35">
      <c r="B32" s="9"/>
      <c r="C32" s="9"/>
      <c r="D32" s="9"/>
      <c r="L32" s="8" t="s">
        <v>90</v>
      </c>
      <c r="M32" s="8">
        <f>M46/$H$40</f>
        <v>0.24755792495386508</v>
      </c>
      <c r="N32" s="8">
        <f t="shared" ref="N32:O32" si="6">N46/$H$40</f>
        <v>0.24755792495386508</v>
      </c>
      <c r="O32" s="8">
        <f t="shared" si="6"/>
        <v>0.24755792495386508</v>
      </c>
    </row>
    <row r="33" spans="8:15" x14ac:dyDescent="0.35">
      <c r="L33" s="8" t="s">
        <v>91</v>
      </c>
      <c r="M33" s="8">
        <f t="shared" ref="M33:O36" si="7">M47/$H$40</f>
        <v>0.26819394709862621</v>
      </c>
      <c r="N33" s="8">
        <f t="shared" si="7"/>
        <v>0.26819394709862621</v>
      </c>
      <c r="O33" s="8">
        <f t="shared" si="7"/>
        <v>0.26819394709862621</v>
      </c>
    </row>
    <row r="34" spans="8:15" x14ac:dyDescent="0.35">
      <c r="L34" s="8" t="s">
        <v>92</v>
      </c>
      <c r="M34" s="8">
        <f t="shared" si="7"/>
        <v>0.1051911978265327</v>
      </c>
      <c r="N34" s="8">
        <f t="shared" si="7"/>
        <v>0.27902539685388639</v>
      </c>
      <c r="O34" s="8">
        <f t="shared" si="7"/>
        <v>0.28016811527626179</v>
      </c>
    </row>
    <row r="35" spans="8:15" x14ac:dyDescent="0.35">
      <c r="L35" s="8" t="s">
        <v>93</v>
      </c>
      <c r="M35" s="8">
        <f t="shared" si="7"/>
        <v>3.1047153493951204E-2</v>
      </c>
      <c r="N35" s="8">
        <f t="shared" si="7"/>
        <v>3.9738863445318885E-2</v>
      </c>
      <c r="O35" s="8">
        <f t="shared" si="7"/>
        <v>3.979599936643765E-2</v>
      </c>
    </row>
    <row r="36" spans="8:15" x14ac:dyDescent="0.35">
      <c r="L36" s="8" t="s">
        <v>94</v>
      </c>
      <c r="M36" s="8">
        <f t="shared" si="7"/>
        <v>4.3466014891531686E-2</v>
      </c>
      <c r="N36" s="8">
        <f t="shared" si="7"/>
        <v>5.5634408823446446E-2</v>
      </c>
      <c r="O36" s="8">
        <f t="shared" si="7"/>
        <v>5.5714399113012715E-2</v>
      </c>
    </row>
    <row r="37" spans="8:15" x14ac:dyDescent="0.35">
      <c r="M37" s="8">
        <f>SUM(Table1416[Residential])</f>
        <v>0.69545623826450687</v>
      </c>
      <c r="N37" s="8">
        <f>SUBTOTAL(109,Table1416[Business])</f>
        <v>0.89015054117514292</v>
      </c>
      <c r="O37" s="8">
        <f>SUBTOTAL(109,Table1416[Business ITS])</f>
        <v>0.89143038580820333</v>
      </c>
    </row>
    <row r="39" spans="8:15" x14ac:dyDescent="0.35">
      <c r="H39" s="8" t="s">
        <v>137</v>
      </c>
    </row>
    <row r="40" spans="8:15" x14ac:dyDescent="0.35">
      <c r="H40" s="8">
        <v>29262</v>
      </c>
    </row>
    <row r="45" spans="8:15" x14ac:dyDescent="0.35">
      <c r="L45" s="40" t="s">
        <v>95</v>
      </c>
      <c r="M45" s="10" t="s">
        <v>110</v>
      </c>
      <c r="N45" s="10" t="s">
        <v>111</v>
      </c>
      <c r="O45" s="39" t="s">
        <v>119</v>
      </c>
    </row>
    <row r="46" spans="8:15" x14ac:dyDescent="0.35">
      <c r="L46" s="28" t="s">
        <v>90</v>
      </c>
      <c r="M46" s="29">
        <f>Table38[[#Totals],[Total Rent cost per year]]</f>
        <v>7244.04</v>
      </c>
      <c r="N46" s="29">
        <f>Table38[[#Totals],[Total Rent cost per year]]</f>
        <v>7244.04</v>
      </c>
      <c r="O46" s="12">
        <f>Table38[[#Totals],[Total Rent cost per year]]</f>
        <v>7244.04</v>
      </c>
    </row>
    <row r="47" spans="8:15" x14ac:dyDescent="0.35">
      <c r="L47" s="30" t="s">
        <v>91</v>
      </c>
      <c r="M47" s="31">
        <f>Table38[[#Totals],[Energy Cost per year in CU]]</f>
        <v>7847.8912800000007</v>
      </c>
      <c r="N47" s="31">
        <f>Table38[[#Totals],[Energy Cost per year in CU]]</f>
        <v>7847.8912800000007</v>
      </c>
      <c r="O47" s="13">
        <f>Table38[[#Totals],[Energy Cost per year in CU]]</f>
        <v>7847.8912800000007</v>
      </c>
    </row>
    <row r="48" spans="8:15" x14ac:dyDescent="0.35">
      <c r="L48" s="28" t="s">
        <v>92</v>
      </c>
      <c r="M48" s="29">
        <f>Table38[[#Totals],[FM Cost]]+I37</f>
        <v>3078.1048307999999</v>
      </c>
      <c r="N48" s="29">
        <f>Table38[[#Totals],[FM Cost]]+$I$23+M34+M35+M36+Table38[[#Totals],[FM Penalty Business]]</f>
        <v>8164.841162738423</v>
      </c>
      <c r="O48" s="12">
        <f>Table38[[#Totals],[FM Cost]]+$I$23+N34+N35+N36+Table38[[#Totals],[FM Penalty ITS]]</f>
        <v>8198.2793892139725</v>
      </c>
    </row>
    <row r="49" spans="12:15" x14ac:dyDescent="0.35">
      <c r="L49" s="30" t="s">
        <v>93</v>
      </c>
      <c r="M49" s="31">
        <f>0.05*SUM(M46:M48)</f>
        <v>908.50180554000008</v>
      </c>
      <c r="N49" s="31">
        <f>0.05*SUM(N46:N48)</f>
        <v>1162.8386221369212</v>
      </c>
      <c r="O49" s="13">
        <f>0.05*SUM(O46:O48)</f>
        <v>1164.5105334606985</v>
      </c>
    </row>
    <row r="50" spans="12:15" x14ac:dyDescent="0.35">
      <c r="L50" s="28" t="s">
        <v>94</v>
      </c>
      <c r="M50" s="29">
        <f>0.07*SUM(M46:M48)</f>
        <v>1271.9025277560002</v>
      </c>
      <c r="N50" s="29">
        <f>0.07*SUM(N46:N48)</f>
        <v>1627.9740709916898</v>
      </c>
      <c r="O50" s="12">
        <f>0.07*SUM(O46:O48)</f>
        <v>1630.3147468449781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8"/>
  <sheetViews>
    <sheetView topLeftCell="A4" workbookViewId="0">
      <selection activeCell="I34" sqref="I34"/>
    </sheetView>
  </sheetViews>
  <sheetFormatPr defaultColWidth="8.81640625" defaultRowHeight="14.5" x14ac:dyDescent="0.35"/>
  <cols>
    <col min="1" max="1" width="23.54296875" style="8" customWidth="1"/>
    <col min="2" max="2" width="19.1796875" style="8" customWidth="1"/>
    <col min="3" max="3" width="20.1796875" style="8" customWidth="1"/>
    <col min="4" max="4" width="16.453125" style="8" customWidth="1"/>
    <col min="5" max="5" width="26" style="8" customWidth="1"/>
    <col min="6" max="6" width="17.26953125" style="8" customWidth="1"/>
    <col min="7" max="7" width="21.26953125" style="8" customWidth="1"/>
    <col min="8" max="8" width="22.7265625" style="8" customWidth="1"/>
    <col min="9" max="9" width="24" style="8" customWidth="1"/>
    <col min="10" max="10" width="15.1796875" style="8" customWidth="1"/>
    <col min="11" max="11" width="8.81640625" style="8"/>
    <col min="12" max="12" width="24.453125" style="8" customWidth="1"/>
    <col min="13" max="13" width="32.26953125" style="8" customWidth="1"/>
    <col min="14" max="14" width="10.1796875" style="8" customWidth="1"/>
    <col min="15" max="15" width="25" style="8" customWidth="1"/>
    <col min="16" max="16" width="23.7265625" style="8" customWidth="1"/>
    <col min="17" max="17" width="17.26953125" style="8" customWidth="1"/>
    <col min="18" max="18" width="16.54296875" style="8" customWidth="1"/>
    <col min="19" max="19" width="17.7265625" style="8" customWidth="1"/>
    <col min="20" max="20" width="22.1796875" style="8" customWidth="1"/>
    <col min="21" max="21" width="18.26953125" style="8" customWidth="1"/>
    <col min="22" max="22" width="14.26953125" style="8" customWidth="1"/>
    <col min="23" max="23" width="9.7265625" style="8" customWidth="1"/>
    <col min="24" max="25" width="8.81640625" style="8"/>
    <col min="26" max="26" width="24.26953125" style="8" customWidth="1"/>
    <col min="27" max="16384" width="8.81640625" style="8"/>
  </cols>
  <sheetData>
    <row r="1" spans="1:28" x14ac:dyDescent="0.3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109</v>
      </c>
      <c r="Y1" s="8" t="s">
        <v>113</v>
      </c>
      <c r="Z1" s="8" t="s">
        <v>114</v>
      </c>
      <c r="AA1" s="8" t="s">
        <v>32</v>
      </c>
      <c r="AB1" s="8" t="s">
        <v>33</v>
      </c>
    </row>
    <row r="2" spans="1:28" x14ac:dyDescent="0.35">
      <c r="A2" s="16" t="s">
        <v>3</v>
      </c>
      <c r="B2" s="17" t="s">
        <v>70</v>
      </c>
      <c r="C2" s="23">
        <v>16</v>
      </c>
      <c r="D2" s="23">
        <v>3</v>
      </c>
      <c r="E2" s="8">
        <v>0.1</v>
      </c>
      <c r="F2" s="8">
        <f>E2*D2</f>
        <v>0.30000000000000004</v>
      </c>
      <c r="G2" s="8">
        <v>10.6</v>
      </c>
      <c r="H2" s="8">
        <f>G2*F2</f>
        <v>3.18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0.15/50</f>
        <v>3.0000000000000001E-3</v>
      </c>
      <c r="O2" s="8">
        <f>Table19[[#This Row],[Yearly Energy Consumption in kWh]]*Table19[[#This Row],[CU/kWh]]</f>
        <v>0.94608000000000003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5</v>
      </c>
      <c r="W2" s="8">
        <f>Table19[[#This Row],[Cost per hour]]*Table19[[#This Row],[No. Of technicians]]*Table19[[#This Row],[Total Time to Repair(h)]]*Table19[[#This Row],[Failures per year]]</f>
        <v>6.7276799999999998E-2</v>
      </c>
      <c r="X2" s="8">
        <v>100</v>
      </c>
      <c r="Y2" s="8">
        <v>7.0000000000000007E-2</v>
      </c>
      <c r="Z2" s="8">
        <f>0.07+2*0.00027</f>
        <v>7.0540000000000005E-2</v>
      </c>
      <c r="AA2" s="32">
        <f>Table19[Percentage of Business Users]*Table19[SLA CU per hour]*Table19[Failures per year]*Table19[Total Time to Repair(h)]</f>
        <v>9.4187520000000011E-2</v>
      </c>
      <c r="AB2" s="8">
        <f>Table19[[#This Row],[Percentage of ITS and business users]]*Table19[[#This Row],[SLA CU per hour]]*Table19[[#This Row],[Failures per year]]*Table19[[#This Row],[Total Time to Repair(h)]]</f>
        <v>9.4914109440000005E-2</v>
      </c>
    </row>
    <row r="3" spans="1:28" x14ac:dyDescent="0.35">
      <c r="A3" s="19" t="s">
        <v>3</v>
      </c>
      <c r="B3" s="20" t="s">
        <v>71</v>
      </c>
      <c r="C3" s="23">
        <v>17</v>
      </c>
      <c r="D3" s="23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0.15/50</f>
        <v>3.0000000000000001E-3</v>
      </c>
      <c r="O3" s="8">
        <f>Table19[[#This Row],[Yearly Energy Consumption in kWh]]*Table19[[#This Row],[CU/kWh]]</f>
        <v>17.082000000000001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5</v>
      </c>
      <c r="W3" s="8">
        <f>Table19[[#This Row],[Cost per hour]]*Table19[[#This Row],[No. Of technicians]]*Table19[[#This Row],[Total Time to Repair(h)]]*Table19[[#This Row],[Failures per year]]</f>
        <v>0.56940000000000002</v>
      </c>
      <c r="X3" s="8">
        <v>100</v>
      </c>
      <c r="Y3" s="8">
        <v>7.0000000000000007E-2</v>
      </c>
      <c r="Z3" s="8">
        <f t="shared" ref="Z3:Z10" si="3">0.07+2*0.00027</f>
        <v>7.0540000000000005E-2</v>
      </c>
      <c r="AA3" s="32">
        <f>Table19[Percentage of Business Users]*Table19[SLA CU per hour]*Table19[Failures per year]*Table19[Total Time to Repair(h)]</f>
        <v>0.79716000000000009</v>
      </c>
      <c r="AB3" s="8">
        <f>Table19[[#This Row],[Percentage of ITS and business users]]*Table19[[#This Row],[SLA CU per hour]]*Table19[[#This Row],[Failures per year]]*Table19[[#This Row],[Total Time to Repair(h)]]</f>
        <v>0.80330952</v>
      </c>
    </row>
    <row r="4" spans="1:28" x14ac:dyDescent="0.35">
      <c r="A4" s="16" t="s">
        <v>3</v>
      </c>
      <c r="B4" s="17" t="s">
        <v>72</v>
      </c>
      <c r="C4" s="23">
        <v>63</v>
      </c>
      <c r="D4" s="23">
        <f t="shared" ref="D4:D5" si="4">65*2</f>
        <v>130</v>
      </c>
      <c r="E4" s="8">
        <v>0.1</v>
      </c>
      <c r="F4" s="8">
        <f t="shared" si="0"/>
        <v>13</v>
      </c>
      <c r="G4" s="8">
        <v>10.6</v>
      </c>
      <c r="H4" s="8">
        <f t="shared" si="1"/>
        <v>137.79999999999998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3.0000000000000001E-3</v>
      </c>
      <c r="O4" s="8">
        <f>Table19[[#This Row],[Yearly Energy Consumption in kWh]]*Table19[[#This Row],[CU/kWh]]</f>
        <v>79.47072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5</v>
      </c>
      <c r="W4" s="8">
        <f>Table19[[#This Row],[Cost per hour]]*Table19[[#This Row],[No. Of technicians]]*Table19[[#This Row],[Total Time to Repair(h)]]*Table19[[#This Row],[Failures per year]]</f>
        <v>0.56940000000000002</v>
      </c>
      <c r="X4" s="8">
        <v>100</v>
      </c>
      <c r="Y4" s="8">
        <v>7.0000000000000007E-2</v>
      </c>
      <c r="Z4" s="8">
        <f t="shared" si="3"/>
        <v>7.0540000000000005E-2</v>
      </c>
      <c r="AA4" s="32">
        <f>Table19[Percentage of Business Users]*Table19[SLA CU per hour]*Table19[Failures per year]*Table19[Total Time to Repair(h)]</f>
        <v>0.79716000000000009</v>
      </c>
      <c r="AB4" s="8">
        <f>Table19[[#This Row],[Percentage of ITS and business users]]*Table19[[#This Row],[SLA CU per hour]]*Table19[[#This Row],[Failures per year]]*Table19[[#This Row],[Total Time to Repair(h)]]</f>
        <v>0.80330952</v>
      </c>
    </row>
    <row r="5" spans="1:28" x14ac:dyDescent="0.35">
      <c r="A5" s="19" t="s">
        <v>3</v>
      </c>
      <c r="B5" s="20" t="s">
        <v>73</v>
      </c>
      <c r="C5" s="23">
        <v>2.2999999999999998</v>
      </c>
      <c r="D5" s="23">
        <f t="shared" si="4"/>
        <v>130</v>
      </c>
      <c r="E5" s="8">
        <v>0.1</v>
      </c>
      <c r="F5" s="8">
        <f t="shared" si="0"/>
        <v>13</v>
      </c>
      <c r="G5" s="8">
        <v>10.6</v>
      </c>
      <c r="H5" s="8">
        <f t="shared" si="1"/>
        <v>137.79999999999998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3.0000000000000001E-3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5</v>
      </c>
      <c r="W5" s="8">
        <f>Table19[[#This Row],[Cost per hour]]*Table19[[#This Row],[No. Of technicians]]*Table19[[#This Row],[Total Time to Repair(h)]]*Table19[[#This Row],[Failures per year]]</f>
        <v>0.56940000000000002</v>
      </c>
      <c r="X5" s="8">
        <v>100</v>
      </c>
      <c r="Y5" s="8">
        <v>7.0000000000000007E-2</v>
      </c>
      <c r="Z5" s="8">
        <f t="shared" si="3"/>
        <v>7.0540000000000005E-2</v>
      </c>
      <c r="AA5" s="32">
        <f>Table19[Percentage of Business Users]*Table19[SLA CU per hour]*Table19[Failures per year]*Table19[Total Time to Repair(h)]</f>
        <v>0.79716000000000009</v>
      </c>
      <c r="AB5" s="8">
        <f>Table19[[#This Row],[Percentage of ITS and business users]]*Table19[[#This Row],[SLA CU per hour]]*Table19[[#This Row],[Failures per year]]*Table19[[#This Row],[Total Time to Repair(h)]]</f>
        <v>0.80330952</v>
      </c>
    </row>
    <row r="6" spans="1:28" x14ac:dyDescent="0.35">
      <c r="A6" s="16" t="s">
        <v>3</v>
      </c>
      <c r="B6" s="17" t="s">
        <v>74</v>
      </c>
      <c r="C6" s="23">
        <f>0.1/4.5</f>
        <v>2.2222222222222223E-2</v>
      </c>
      <c r="D6" s="23">
        <v>3120</v>
      </c>
      <c r="E6" s="8">
        <v>0.1</v>
      </c>
      <c r="F6" s="8">
        <f t="shared" si="0"/>
        <v>312</v>
      </c>
      <c r="G6" s="8">
        <v>10.6</v>
      </c>
      <c r="H6" s="8">
        <f t="shared" si="1"/>
        <v>3307.2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3.0000000000000001E-3</v>
      </c>
      <c r="O6" s="8">
        <f>Table19[[#This Row],[Yearly Energy Consumption in kWh]]*Table19[[#This Row],[CU/kWh]]</f>
        <v>81.993600000000001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5</v>
      </c>
      <c r="W6" s="8">
        <f>Table19[[#This Row],[Cost per hour]]*Table19[[#This Row],[No. Of technicians]]*Table19[[#This Row],[Total Time to Repair(h)]]*Table19[[#This Row],[Failures per year]]</f>
        <v>0</v>
      </c>
      <c r="X6" s="8">
        <v>100</v>
      </c>
      <c r="Y6" s="8">
        <v>7.0000000000000007E-2</v>
      </c>
      <c r="Z6" s="8">
        <f t="shared" si="3"/>
        <v>7.0540000000000005E-2</v>
      </c>
      <c r="AA6" s="32">
        <f>Table19[Percentage of Business Users]*Table19[SLA CU per hour]*Table19[Failures per year]*Table19[Total Time to Repair(h)]</f>
        <v>0</v>
      </c>
      <c r="AB6" s="8">
        <f>Table19[[#This Row],[Percentage of ITS and business users]]*Table19[[#This Row],[SLA CU per hour]]*Table19[[#This Row],[Failures per year]]*Table19[[#This Row],[Total Time to Repair(h)]]</f>
        <v>0</v>
      </c>
    </row>
    <row r="7" spans="1:28" x14ac:dyDescent="0.35">
      <c r="A7" s="19" t="s">
        <v>3</v>
      </c>
      <c r="B7" s="20" t="s">
        <v>75</v>
      </c>
      <c r="C7" s="23">
        <v>400</v>
      </c>
      <c r="D7" s="23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3.0000000000000001E-3</v>
      </c>
      <c r="O7" s="8">
        <f>Table19[[#This Row],[Yearly Energy Consumption in kWh]]*Table19[[#This Row],[CU/kWh]]</f>
        <v>1.3140000000000001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5</v>
      </c>
      <c r="W7" s="8">
        <f>Table19[[#This Row],[Cost per hour]]*Table19[[#This Row],[No. Of technicians]]*Table19[[#This Row],[Total Time to Repair(h)]]*Table19[[#This Row],[Failures per year]]</f>
        <v>0</v>
      </c>
      <c r="X7" s="8">
        <v>100</v>
      </c>
      <c r="Y7" s="8">
        <v>7.0000000000000007E-2</v>
      </c>
      <c r="Z7" s="8">
        <f t="shared" si="3"/>
        <v>7.0540000000000005E-2</v>
      </c>
      <c r="AA7" s="32">
        <f>Table19[Percentage of Business Users]*Table19[SLA CU per hour]*Table19[Failures per year]*Table19[Total Time to Repair(h)]</f>
        <v>0</v>
      </c>
      <c r="AB7" s="8">
        <f>Table19[[#This Row],[Percentage of ITS and business users]]*Table19[[#This Row],[SLA CU per hour]]*Table19[[#This Row],[Failures per year]]*Table19[[#This Row],[Total Time to Repair(h)]]</f>
        <v>0</v>
      </c>
    </row>
    <row r="8" spans="1:28" x14ac:dyDescent="0.35">
      <c r="A8" s="16" t="s">
        <v>8</v>
      </c>
      <c r="B8" s="17" t="s">
        <v>76</v>
      </c>
      <c r="C8" s="23">
        <f>80*0.3</f>
        <v>24</v>
      </c>
      <c r="D8" s="23">
        <v>65</v>
      </c>
      <c r="E8" s="8">
        <v>0.1</v>
      </c>
      <c r="F8" s="8">
        <f t="shared" si="0"/>
        <v>6.5</v>
      </c>
      <c r="G8" s="8">
        <v>10.6</v>
      </c>
      <c r="H8" s="8">
        <f t="shared" si="1"/>
        <v>68.899999999999991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3.0000000000000001E-3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5</v>
      </c>
      <c r="W8" s="8">
        <f>Table19[[#This Row],[Cost per hour]]*Table19[[#This Row],[No. Of technicians]]*Table19[[#This Row],[Total Time to Repair(h)]]*Table19[[#This Row],[Failures per year]]</f>
        <v>3.5018099999999999</v>
      </c>
      <c r="X8" s="8">
        <v>100</v>
      </c>
      <c r="Y8" s="8">
        <v>7.0000000000000007E-2</v>
      </c>
      <c r="Z8" s="8">
        <f t="shared" si="3"/>
        <v>7.0540000000000005E-2</v>
      </c>
      <c r="AA8" s="32">
        <f>Table19[Percentage of Business Users]*Table19[SLA CU per hour]*Table19[Failures per year]*Table19[Total Time to Repair(h)]</f>
        <v>4.9025340000000011</v>
      </c>
      <c r="AB8" s="8">
        <f>Table19[[#This Row],[Percentage of ITS and business users]]*Table19[[#This Row],[SLA CU per hour]]*Table19[[#This Row],[Failures per year]]*Table19[[#This Row],[Total Time to Repair(h)]]</f>
        <v>4.940353548</v>
      </c>
    </row>
    <row r="9" spans="1:28" x14ac:dyDescent="0.35">
      <c r="A9" s="19" t="s">
        <v>13</v>
      </c>
      <c r="B9" s="20" t="s">
        <v>60</v>
      </c>
      <c r="C9" s="23">
        <v>10</v>
      </c>
      <c r="D9" s="23">
        <v>5000</v>
      </c>
      <c r="E9" s="8">
        <v>0.1</v>
      </c>
      <c r="F9" s="8">
        <f t="shared" si="0"/>
        <v>500</v>
      </c>
      <c r="G9" s="8">
        <v>0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512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3.0000000000000001E-3</v>
      </c>
      <c r="O9" s="8">
        <f>Table19[[#This Row],[Yearly Energy Consumption in kWh]]*Table19[[#This Row],[CU/kWh]]</f>
        <v>6570</v>
      </c>
      <c r="P9" s="8">
        <v>2.25</v>
      </c>
      <c r="Q9" s="8">
        <v>20</v>
      </c>
      <c r="R9" s="8">
        <f>Table19[[#This Row],[Quantity]]*Table19[[#This Row],[FIT]]*24*365/1000000000</f>
        <v>22.425599999999999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5</v>
      </c>
      <c r="W9" s="8">
        <f>Table19[[#This Row],[Cost per hour]]*Table19[[#This Row],[No. Of technicians]]*Table19[[#This Row],[Total Time to Repair(h)]]*Table19[[#This Row],[Failures per year]]</f>
        <v>2716.3008</v>
      </c>
      <c r="X9" s="8">
        <v>100</v>
      </c>
      <c r="Y9" s="8">
        <v>7.0000000000000007E-2</v>
      </c>
      <c r="Z9" s="8">
        <f t="shared" si="3"/>
        <v>7.0540000000000005E-2</v>
      </c>
      <c r="AA9" s="32">
        <f>Table19[Percentage of Business Users]*Table19[SLA CU per hour]*Table19[Failures per year]*Table19[Total Time to Repair(h)]</f>
        <v>3802.8211200000005</v>
      </c>
      <c r="AB9" s="8">
        <f>Table19[[#This Row],[Percentage of ITS and business users]]*Table19[[#This Row],[SLA CU per hour]]*Table19[[#This Row],[Failures per year]]*Table19[[#This Row],[Total Time to Repair(h)]]</f>
        <v>3832.1571686400002</v>
      </c>
    </row>
    <row r="10" spans="1:28" x14ac:dyDescent="0.35">
      <c r="A10" s="16" t="s">
        <v>13</v>
      </c>
      <c r="B10" s="17" t="s">
        <v>77</v>
      </c>
      <c r="C10" s="23">
        <v>2.2999999999999998</v>
      </c>
      <c r="D10" s="23">
        <v>5000</v>
      </c>
      <c r="E10" s="8">
        <v>0.1</v>
      </c>
      <c r="F10" s="8">
        <f t="shared" si="0"/>
        <v>500</v>
      </c>
      <c r="G10" s="8">
        <v>0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3.0000000000000001E-3</v>
      </c>
      <c r="O10" s="8">
        <f>Table19[[#This Row],[Yearly Energy Consumption in kWh]]*Table19[[#This Row],[CU/kWh]]</f>
        <v>617.58000000000004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5</v>
      </c>
      <c r="W10" s="8">
        <f>Table19[[#This Row],[Cost per hour]]*Table19[[#This Row],[No. Of technicians]]*Table19[[#This Row],[Total Time to Repair(h)]]*Table19[[#This Row],[Failures per year]]</f>
        <v>348.9984</v>
      </c>
      <c r="X10" s="8">
        <v>100</v>
      </c>
      <c r="Y10" s="8">
        <v>7.0000000000000007E-2</v>
      </c>
      <c r="Z10" s="8">
        <f t="shared" si="3"/>
        <v>7.0540000000000005E-2</v>
      </c>
      <c r="AA10" s="32">
        <f>Table19[Percentage of Business Users]*Table19[SLA CU per hour]*Table19[Failures per year]*Table19[Total Time to Repair(h)]</f>
        <v>488.59776000000005</v>
      </c>
      <c r="AB10" s="8">
        <f>Table19[[#This Row],[Percentage of ITS and business users]]*Table19[[#This Row],[SLA CU per hour]]*Table19[[#This Row],[Failures per year]]*Table19[[#This Row],[Total Time to Repair(h)]]</f>
        <v>492.36694271999994</v>
      </c>
    </row>
    <row r="11" spans="1:28" x14ac:dyDescent="0.35">
      <c r="B11" s="34"/>
      <c r="C11" s="35"/>
      <c r="D11" s="35"/>
      <c r="E11" s="22"/>
      <c r="F11" s="22"/>
      <c r="G11" s="22"/>
      <c r="H11" s="22">
        <f>SUBTOTAL(109,Table19[Total Rent cost per year])</f>
        <v>10968.88</v>
      </c>
      <c r="I11" s="22"/>
      <c r="J11" s="22"/>
      <c r="K11" s="22"/>
      <c r="L11" s="22"/>
      <c r="M11" s="22"/>
      <c r="N11" s="22"/>
      <c r="O11" s="22">
        <f>SUBTOTAL(109,Table19[Energy Cost per year in CU])</f>
        <v>7368.3864000000003</v>
      </c>
      <c r="P11" s="22"/>
      <c r="Q11" s="22"/>
      <c r="R11" s="22"/>
      <c r="S11" s="22"/>
      <c r="T11" s="22"/>
      <c r="U11" s="22"/>
      <c r="V11" s="22"/>
      <c r="W11" s="22">
        <f>SUM(Table19[FM Cost])</f>
        <v>3070.5764868000001</v>
      </c>
      <c r="X11" s="22"/>
      <c r="Y11" s="22"/>
      <c r="Z11" s="22"/>
      <c r="AA11" s="22">
        <f>SUBTOTAL(109,Table19[FM Penalty Business])</f>
        <v>4298.8070815200008</v>
      </c>
      <c r="AB11" s="22">
        <f>SUBTOTAL(109,Table19[FM Penalty ITS])</f>
        <v>4331.9693075774403</v>
      </c>
    </row>
    <row r="14" spans="1:28" x14ac:dyDescent="0.35">
      <c r="M14" s="8" t="s">
        <v>69</v>
      </c>
    </row>
    <row r="15" spans="1:28" x14ac:dyDescent="0.35">
      <c r="M15" s="8">
        <f>Table19[[#Totals],[Total Rent cost per year]]+Table19[[#Totals],[Energy Cost per year in CU]]+Table19[[#Totals],[FM Cost]]+J20</f>
        <v>21745.816815397713</v>
      </c>
    </row>
    <row r="17" spans="1:15" x14ac:dyDescent="0.35">
      <c r="A17" s="8" t="s">
        <v>39</v>
      </c>
      <c r="B17" s="8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109</v>
      </c>
      <c r="L17" s="8" t="s">
        <v>115</v>
      </c>
      <c r="M17" s="8" t="s">
        <v>116</v>
      </c>
      <c r="N17" s="8" t="s">
        <v>117</v>
      </c>
      <c r="O17" s="8" t="s">
        <v>118</v>
      </c>
    </row>
    <row r="18" spans="1:15" x14ac:dyDescent="0.35">
      <c r="A18" s="8" t="s">
        <v>41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  <c r="K18" s="8">
        <v>100</v>
      </c>
      <c r="L18" s="8">
        <v>7.0000000000000007E-2</v>
      </c>
      <c r="M18" s="8">
        <v>7.0250000000000007E-2</v>
      </c>
      <c r="N18" s="8">
        <f>L18*K18*I18*C18*24*365/1000000000</f>
        <v>61.171738174734742</v>
      </c>
      <c r="O18" s="8">
        <f>M18*K18*I18*C18*24*365/1000000000</f>
        <v>61.390208668215926</v>
      </c>
    </row>
    <row r="19" spans="1:15" x14ac:dyDescent="0.35">
      <c r="A19" s="8" t="s">
        <v>62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  <c r="K19" s="8">
        <v>100</v>
      </c>
      <c r="L19" s="8">
        <v>7.0000000000000007E-2</v>
      </c>
      <c r="M19" s="8">
        <v>7.0250000000000007E-2</v>
      </c>
      <c r="N19" s="8">
        <f t="shared" ref="N19" si="5">L19*K19*I19*C19*24*365/1000000000</f>
        <v>561.41181450526301</v>
      </c>
      <c r="O19" s="8">
        <f t="shared" ref="O19" si="6">M19*K19*I19*C19*24*365/1000000000</f>
        <v>563.41685669992455</v>
      </c>
    </row>
    <row r="20" spans="1:15" x14ac:dyDescent="0.35">
      <c r="J20" s="8">
        <f>SUM(J18:J19)</f>
        <v>337.97392859771304</v>
      </c>
    </row>
    <row r="32" spans="1:15" x14ac:dyDescent="0.35">
      <c r="L32" s="8" t="s">
        <v>95</v>
      </c>
      <c r="M32" s="8" t="s">
        <v>121</v>
      </c>
      <c r="N32" s="8" t="s">
        <v>122</v>
      </c>
      <c r="O32" s="8" t="s">
        <v>123</v>
      </c>
    </row>
    <row r="33" spans="9:15" x14ac:dyDescent="0.35">
      <c r="I33" s="8" t="s">
        <v>137</v>
      </c>
      <c r="L33" s="8" t="s">
        <v>90</v>
      </c>
      <c r="M33" s="8">
        <f>M44/$I$34</f>
        <v>0.37485065955847169</v>
      </c>
      <c r="N33" s="8">
        <f t="shared" ref="N33:O33" si="7">N44/$I$34</f>
        <v>0.37485065955847169</v>
      </c>
      <c r="O33" s="8">
        <f t="shared" si="7"/>
        <v>0.37485065955847169</v>
      </c>
    </row>
    <row r="34" spans="9:15" x14ac:dyDescent="0.35">
      <c r="I34" s="8">
        <v>29262</v>
      </c>
      <c r="L34" s="8" t="s">
        <v>91</v>
      </c>
      <c r="M34" s="8">
        <f t="shared" ref="M34:O37" si="8">M45/$I$34</f>
        <v>0.25180734057822435</v>
      </c>
      <c r="N34" s="8">
        <f t="shared" si="8"/>
        <v>0.25180734057822435</v>
      </c>
      <c r="O34" s="8">
        <f t="shared" si="8"/>
        <v>0.25180734057822435</v>
      </c>
    </row>
    <row r="35" spans="9:15" x14ac:dyDescent="0.35">
      <c r="L35" s="8" t="s">
        <v>92</v>
      </c>
      <c r="M35" s="8">
        <f t="shared" si="8"/>
        <v>0.10493392409267993</v>
      </c>
      <c r="N35" s="8">
        <f t="shared" si="8"/>
        <v>0.26339134361689953</v>
      </c>
      <c r="O35" s="8">
        <f t="shared" si="8"/>
        <v>0.26452462999710047</v>
      </c>
    </row>
    <row r="36" spans="9:15" x14ac:dyDescent="0.35">
      <c r="L36" s="8" t="s">
        <v>93</v>
      </c>
      <c r="M36" s="8">
        <f t="shared" si="8"/>
        <v>3.6579596211468807E-2</v>
      </c>
      <c r="N36" s="8">
        <f t="shared" si="8"/>
        <v>4.4502467187679778E-2</v>
      </c>
      <c r="O36" s="8">
        <f t="shared" si="8"/>
        <v>4.4559131506689831E-2</v>
      </c>
    </row>
    <row r="37" spans="9:15" x14ac:dyDescent="0.35">
      <c r="L37" s="8" t="s">
        <v>94</v>
      </c>
      <c r="M37" s="8">
        <f t="shared" si="8"/>
        <v>5.1211434696056331E-2</v>
      </c>
      <c r="N37" s="8">
        <f t="shared" si="8"/>
        <v>6.2303454062751701E-2</v>
      </c>
      <c r="O37" s="8">
        <f t="shared" si="8"/>
        <v>6.2382784109365763E-2</v>
      </c>
    </row>
    <row r="38" spans="9:15" x14ac:dyDescent="0.35">
      <c r="M38" s="8">
        <f>SUM(Table141617[Residential Cost])</f>
        <v>0.81938295513690118</v>
      </c>
      <c r="N38" s="8">
        <f>SUBTOTAL(109,Table141617[Business Cost])</f>
        <v>0.9968552650040271</v>
      </c>
      <c r="O38" s="8">
        <f>SUBTOTAL(109,Table141617[ITS cost])</f>
        <v>0.99812454574985221</v>
      </c>
    </row>
    <row r="43" spans="9:15" x14ac:dyDescent="0.35">
      <c r="L43" s="40" t="s">
        <v>95</v>
      </c>
      <c r="M43" s="10" t="s">
        <v>121</v>
      </c>
      <c r="N43" s="10" t="s">
        <v>122</v>
      </c>
      <c r="O43" s="39" t="s">
        <v>123</v>
      </c>
    </row>
    <row r="44" spans="9:15" x14ac:dyDescent="0.35">
      <c r="L44" s="28" t="s">
        <v>90</v>
      </c>
      <c r="M44" s="29">
        <f>Table19[[#Totals],[Total Rent cost per year]]</f>
        <v>10968.88</v>
      </c>
      <c r="N44" s="29">
        <f>Table19[[#Totals],[Total Rent cost per year]]</f>
        <v>10968.88</v>
      </c>
      <c r="O44" s="12">
        <f>Table19[[#Totals],[Total Rent cost per year]]</f>
        <v>10968.88</v>
      </c>
    </row>
    <row r="45" spans="9:15" x14ac:dyDescent="0.35">
      <c r="L45" s="30" t="s">
        <v>91</v>
      </c>
      <c r="M45" s="31">
        <f>Table19[[#Totals],[Energy Cost per year in CU]]</f>
        <v>7368.3864000000003</v>
      </c>
      <c r="N45" s="31">
        <f>Table19[[#Totals],[Energy Cost per year in CU]]</f>
        <v>7368.3864000000003</v>
      </c>
      <c r="O45" s="13">
        <f>Table19[[#Totals],[Energy Cost per year in CU]]</f>
        <v>7368.3864000000003</v>
      </c>
    </row>
    <row r="46" spans="9:15" x14ac:dyDescent="0.35">
      <c r="L46" s="28" t="s">
        <v>92</v>
      </c>
      <c r="M46" s="29">
        <f>Table19[[#Totals],[FM Cost]]+J31</f>
        <v>3070.5764868000001</v>
      </c>
      <c r="N46" s="29">
        <f>Table19[[#Totals],[FM Cost]]+$J$20+N29+N30+Table19[[#Totals],[FM Penalty Business]]</f>
        <v>7707.3574969177134</v>
      </c>
      <c r="O46" s="12">
        <f>Table19[[#Totals],[FM Cost]]+$J$20+O29+O30+Table19[[#Totals],[FM Penalty ITS]]</f>
        <v>7740.5197229751539</v>
      </c>
    </row>
    <row r="47" spans="9:15" x14ac:dyDescent="0.35">
      <c r="L47" s="30" t="s">
        <v>93</v>
      </c>
      <c r="M47" s="31">
        <f>0.05*SUM(M44:M46)</f>
        <v>1070.3921443400002</v>
      </c>
      <c r="N47" s="31">
        <f>0.05*SUM(N44:N46)</f>
        <v>1302.2311948458857</v>
      </c>
      <c r="O47" s="13">
        <f>0.05*SUM(O44:O46)</f>
        <v>1303.8893061487579</v>
      </c>
    </row>
    <row r="48" spans="9:15" x14ac:dyDescent="0.35">
      <c r="L48" s="28" t="s">
        <v>94</v>
      </c>
      <c r="M48" s="29">
        <f>0.07*SUM(M44:M46)</f>
        <v>1498.5490020760003</v>
      </c>
      <c r="N48" s="29">
        <f>0.07*SUM(N44:N46)</f>
        <v>1823.1236727842402</v>
      </c>
      <c r="O48" s="12">
        <f>0.07*SUM(O44:O46)</f>
        <v>1825.4450286082611</v>
      </c>
    </row>
  </sheetData>
  <hyperlinks>
    <hyperlink ref="AA2" r:id="rId1" display="=@[Percentage of Business Users]*@[SLA CU per hour]*@[Failures per year]*@[Total Time to Repair(h)]" xr:uid="{00000000-0004-0000-0800-000000000000}"/>
    <hyperlink ref="AA3:AA10" r:id="rId2" display="=@[Percentage of Business Users]*@[SLA CU per hour]*@[Failures per year]*@[Total Time to Repair(h)]" xr:uid="{00000000-0004-0000-0800-000001000000}"/>
  </hyperlinks>
  <pageMargins left="0.7" right="0.7" top="0.75" bottom="0.75" header="0.3" footer="0.3"/>
  <pageSetup paperSize="9" orientation="portrait" verticalDpi="0" r:id="rId3"/>
  <headerFooter>
    <oddFooter>&amp;LUnrestricted</oddFooter>
  </headerFooter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Sheet1</vt:lpstr>
      <vt:lpstr>OPEX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Kireet Patri</cp:lastModifiedBy>
  <dcterms:created xsi:type="dcterms:W3CDTF">2018-06-25T16:20:28Z</dcterms:created>
  <dcterms:modified xsi:type="dcterms:W3CDTF">2018-09-17T01:20:36Z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