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25" windowWidth="27795" windowHeight="13695" firstSheet="7" activeTab="14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B_XGPON_100" sheetId="9" r:id="rId8"/>
    <sheet name="FTTB_DWDM_100" sheetId="10" r:id="rId9"/>
    <sheet name="FTTC_Hybridpon_25" sheetId="11" r:id="rId10"/>
    <sheet name="FTTB_Hybridpon_50" sheetId="12" r:id="rId11"/>
    <sheet name="FTTH_Hybridpon_100" sheetId="13" r:id="rId12"/>
    <sheet name="FTTC_Hybridpon_100" sheetId="14" r:id="rId13"/>
    <sheet name="FTTB_Hybridpon_100" sheetId="15" r:id="rId14"/>
    <sheet name="OPEX" sheetId="16" r:id="rId15"/>
  </sheets>
  <calcPr calcId="145621"/>
  <pivotCaches>
    <pivotCache cacheId="1" r:id="rId16"/>
  </pivotCaches>
</workbook>
</file>

<file path=xl/calcChain.xml><?xml version="1.0" encoding="utf-8"?>
<calcChain xmlns="http://schemas.openxmlformats.org/spreadsheetml/2006/main">
  <c r="Q17" i="16" l="1"/>
  <c r="N14" i="16"/>
  <c r="P13" i="16"/>
  <c r="O13" i="16"/>
  <c r="N13" i="16"/>
  <c r="N21" i="15"/>
  <c r="Q14" i="16" s="1"/>
  <c r="N22" i="15"/>
  <c r="Q15" i="16" s="1"/>
  <c r="N23" i="15"/>
  <c r="Q16" i="16" s="1"/>
  <c r="N24" i="15"/>
  <c r="N20" i="15"/>
  <c r="N25" i="15" s="1"/>
  <c r="O19" i="14"/>
  <c r="P14" i="16" s="1"/>
  <c r="O20" i="14"/>
  <c r="P15" i="16" s="1"/>
  <c r="O21" i="14"/>
  <c r="P16" i="16" s="1"/>
  <c r="O22" i="14"/>
  <c r="P17" i="16" s="1"/>
  <c r="O18" i="14"/>
  <c r="O23" i="14" s="1"/>
  <c r="O33" i="14"/>
  <c r="O32" i="14"/>
  <c r="O31" i="14"/>
  <c r="O30" i="14"/>
  <c r="O29" i="14"/>
  <c r="Z10" i="14"/>
  <c r="Z9" i="15"/>
  <c r="Z8" i="15"/>
  <c r="Z7" i="15"/>
  <c r="Z6" i="15"/>
  <c r="Z5" i="15"/>
  <c r="Z4" i="15"/>
  <c r="Z3" i="15"/>
  <c r="Z2" i="15"/>
  <c r="Z9" i="14"/>
  <c r="Z8" i="14"/>
  <c r="Z7" i="14"/>
  <c r="Z6" i="14"/>
  <c r="Z5" i="14"/>
  <c r="Z4" i="14"/>
  <c r="Z3" i="14"/>
  <c r="Z2" i="14"/>
  <c r="Q20" i="13"/>
  <c r="O14" i="16" s="1"/>
  <c r="Q21" i="13"/>
  <c r="O15" i="16" s="1"/>
  <c r="Q22" i="13"/>
  <c r="O16" i="16" s="1"/>
  <c r="Q23" i="13"/>
  <c r="O17" i="16" s="1"/>
  <c r="Q19" i="13"/>
  <c r="Q32" i="13"/>
  <c r="Q31" i="13"/>
  <c r="Q30" i="13"/>
  <c r="Q29" i="13"/>
  <c r="Q28" i="13"/>
  <c r="AB3" i="12"/>
  <c r="AB4" i="12"/>
  <c r="AB5" i="12"/>
  <c r="AB6" i="12"/>
  <c r="AB7" i="12"/>
  <c r="AB8" i="12"/>
  <c r="AB9" i="12"/>
  <c r="AA3" i="12"/>
  <c r="AA4" i="12"/>
  <c r="AA5" i="12"/>
  <c r="AA6" i="12"/>
  <c r="AA7" i="12"/>
  <c r="AA8" i="12"/>
  <c r="AA9" i="12"/>
  <c r="AA2" i="12"/>
  <c r="Z9" i="13"/>
  <c r="Z8" i="13"/>
  <c r="Z7" i="13"/>
  <c r="Z6" i="13"/>
  <c r="Z5" i="13"/>
  <c r="Z4" i="13"/>
  <c r="Z3" i="13"/>
  <c r="Z2" i="13"/>
  <c r="Q20" i="12"/>
  <c r="Q19" i="12"/>
  <c r="Z9" i="12"/>
  <c r="Z8" i="12"/>
  <c r="Z7" i="12"/>
  <c r="Z6" i="12"/>
  <c r="Z5" i="12"/>
  <c r="Z4" i="12"/>
  <c r="Z3" i="12"/>
  <c r="Z2" i="12"/>
  <c r="Q26" i="11"/>
  <c r="Q22" i="11"/>
  <c r="M14" i="16" s="1"/>
  <c r="Q23" i="11"/>
  <c r="M15" i="16" s="1"/>
  <c r="Q24" i="11"/>
  <c r="M16" i="16" s="1"/>
  <c r="Q25" i="11"/>
  <c r="M17" i="16" s="1"/>
  <c r="Q21" i="11"/>
  <c r="M13" i="16" s="1"/>
  <c r="Q40" i="11"/>
  <c r="Q39" i="11"/>
  <c r="Q38" i="11"/>
  <c r="Q37" i="11"/>
  <c r="Q36" i="11"/>
  <c r="P36" i="11"/>
  <c r="Z10" i="11"/>
  <c r="Z9" i="11"/>
  <c r="Z8" i="11"/>
  <c r="Z7" i="11"/>
  <c r="Z6" i="11"/>
  <c r="Z5" i="11"/>
  <c r="Z4" i="11"/>
  <c r="Z3" i="11"/>
  <c r="Z2" i="11"/>
  <c r="Q13" i="16" l="1"/>
  <c r="Q24" i="13"/>
  <c r="H9" i="10"/>
  <c r="H10" i="10"/>
  <c r="O34" i="10"/>
  <c r="O35" i="10"/>
  <c r="N34" i="10"/>
  <c r="N35" i="10"/>
  <c r="M34" i="10"/>
  <c r="M35" i="10"/>
  <c r="O48" i="10"/>
  <c r="N48" i="10"/>
  <c r="M48" i="10"/>
  <c r="O47" i="10"/>
  <c r="N47" i="10"/>
  <c r="M47" i="10"/>
  <c r="O33" i="9"/>
  <c r="O34" i="9"/>
  <c r="N33" i="9"/>
  <c r="N34" i="9"/>
  <c r="M33" i="9"/>
  <c r="M34" i="9"/>
  <c r="O45" i="9"/>
  <c r="N45" i="9"/>
  <c r="M45" i="9"/>
  <c r="O44" i="9"/>
  <c r="N44" i="9"/>
  <c r="M44" i="9"/>
  <c r="R25" i="8"/>
  <c r="Q25" i="8"/>
  <c r="Q24" i="8"/>
  <c r="R24" i="8"/>
  <c r="P25" i="8"/>
  <c r="P26" i="8"/>
  <c r="P27" i="8"/>
  <c r="P28" i="8"/>
  <c r="P24" i="8"/>
  <c r="P37" i="8"/>
  <c r="R36" i="8"/>
  <c r="Q36" i="8"/>
  <c r="P36" i="8"/>
  <c r="R35" i="8"/>
  <c r="Q35" i="8"/>
  <c r="P35" i="8"/>
  <c r="P39" i="8" s="1"/>
  <c r="O37" i="7"/>
  <c r="O38" i="7"/>
  <c r="O39" i="7"/>
  <c r="O40" i="7"/>
  <c r="N37" i="7"/>
  <c r="N38" i="7"/>
  <c r="N39" i="7"/>
  <c r="N40" i="7"/>
  <c r="N36" i="7"/>
  <c r="O36" i="7"/>
  <c r="M37" i="7"/>
  <c r="M38" i="7"/>
  <c r="M39" i="7"/>
  <c r="M40" i="7"/>
  <c r="M36" i="7"/>
  <c r="O47" i="7"/>
  <c r="N47" i="7"/>
  <c r="M47" i="7"/>
  <c r="O46" i="7"/>
  <c r="N46" i="7"/>
  <c r="N49" i="7" s="1"/>
  <c r="M46" i="7"/>
  <c r="M49" i="7" s="1"/>
  <c r="O45" i="7"/>
  <c r="O49" i="7" s="1"/>
  <c r="N45" i="7"/>
  <c r="M45" i="7"/>
  <c r="M48" i="7" s="1"/>
  <c r="P22" i="6"/>
  <c r="O22" i="6"/>
  <c r="O21" i="6"/>
  <c r="P21" i="6"/>
  <c r="N22" i="6"/>
  <c r="N23" i="6"/>
  <c r="N24" i="6"/>
  <c r="N25" i="6"/>
  <c r="N21" i="6"/>
  <c r="N32" i="6"/>
  <c r="P31" i="6"/>
  <c r="O31" i="6"/>
  <c r="N31" i="6"/>
  <c r="P30" i="6"/>
  <c r="O30" i="6"/>
  <c r="N30" i="6"/>
  <c r="N33" i="6" s="1"/>
  <c r="P35" i="5"/>
  <c r="P36" i="5"/>
  <c r="P37" i="5"/>
  <c r="P38" i="5"/>
  <c r="O35" i="5"/>
  <c r="O36" i="5"/>
  <c r="O37" i="5"/>
  <c r="O38" i="5"/>
  <c r="O34" i="5"/>
  <c r="P34" i="5"/>
  <c r="N35" i="5"/>
  <c r="N36" i="5"/>
  <c r="N37" i="5"/>
  <c r="N38" i="5"/>
  <c r="N34" i="5"/>
  <c r="N48" i="5"/>
  <c r="P46" i="5"/>
  <c r="O46" i="5"/>
  <c r="N46" i="5"/>
  <c r="P45" i="5"/>
  <c r="P48" i="5" s="1"/>
  <c r="O45" i="5"/>
  <c r="O48" i="5" s="1"/>
  <c r="N45" i="5"/>
  <c r="P44" i="5"/>
  <c r="P47" i="5" s="1"/>
  <c r="O44" i="5"/>
  <c r="O47" i="5" s="1"/>
  <c r="N44" i="5"/>
  <c r="N47" i="5" s="1"/>
  <c r="P27" i="3"/>
  <c r="O27" i="3"/>
  <c r="O28" i="3"/>
  <c r="O29" i="3"/>
  <c r="O30" i="3"/>
  <c r="O26" i="3"/>
  <c r="P26" i="3"/>
  <c r="N27" i="3"/>
  <c r="N28" i="3"/>
  <c r="N29" i="3"/>
  <c r="N30" i="3"/>
  <c r="N26" i="3"/>
  <c r="O37" i="3"/>
  <c r="N37" i="3"/>
  <c r="P36" i="3"/>
  <c r="O36" i="3"/>
  <c r="O39" i="3" s="1"/>
  <c r="N36" i="3"/>
  <c r="N39" i="3" s="1"/>
  <c r="P35" i="3"/>
  <c r="O35" i="3"/>
  <c r="O38" i="3" s="1"/>
  <c r="N35" i="3"/>
  <c r="N38" i="3" s="1"/>
  <c r="N10" i="2"/>
  <c r="N2" i="2"/>
  <c r="P38" i="8" l="1"/>
  <c r="N48" i="7"/>
  <c r="O48" i="7"/>
  <c r="N34" i="6"/>
  <c r="F3" i="6"/>
  <c r="F4" i="6"/>
  <c r="F5" i="6"/>
  <c r="F6" i="6"/>
  <c r="F7" i="6"/>
  <c r="F8" i="6"/>
  <c r="F9" i="6"/>
  <c r="F10" i="6"/>
  <c r="F2" i="6"/>
  <c r="L4" i="10"/>
  <c r="L9" i="6"/>
  <c r="L6" i="6"/>
  <c r="L4" i="6"/>
  <c r="L3" i="6"/>
  <c r="L2" i="6"/>
  <c r="L4" i="5"/>
  <c r="L3" i="5"/>
  <c r="L6" i="5"/>
  <c r="L9" i="5"/>
  <c r="L10" i="5"/>
  <c r="L3" i="3"/>
  <c r="L4" i="3"/>
  <c r="L5" i="3"/>
  <c r="L6" i="3"/>
  <c r="L7" i="3"/>
  <c r="L8" i="3"/>
  <c r="L9" i="3"/>
  <c r="L10" i="3"/>
  <c r="D9" i="14"/>
  <c r="D8" i="14"/>
  <c r="D9" i="11"/>
  <c r="D8" i="11"/>
  <c r="D9" i="8"/>
  <c r="D8" i="8"/>
  <c r="D7" i="8"/>
  <c r="D6" i="8"/>
  <c r="D4" i="8"/>
  <c r="D3" i="8"/>
  <c r="D2" i="8"/>
  <c r="D8" i="2"/>
  <c r="D7" i="2"/>
  <c r="D6" i="2"/>
  <c r="D3" i="2"/>
  <c r="C10" i="8"/>
  <c r="C9" i="8"/>
  <c r="C4" i="8"/>
  <c r="N3" i="15" l="1"/>
  <c r="N4" i="15"/>
  <c r="N5" i="15"/>
  <c r="N6" i="15"/>
  <c r="N7" i="15"/>
  <c r="N8" i="15"/>
  <c r="N9" i="15"/>
  <c r="N3" i="14"/>
  <c r="N4" i="14"/>
  <c r="N5" i="14"/>
  <c r="N6" i="14"/>
  <c r="N7" i="14"/>
  <c r="N8" i="14"/>
  <c r="N9" i="14"/>
  <c r="N10" i="14"/>
  <c r="N3" i="13"/>
  <c r="N4" i="13"/>
  <c r="N5" i="13"/>
  <c r="N6" i="13"/>
  <c r="N7" i="13"/>
  <c r="N8" i="13"/>
  <c r="N9" i="13"/>
  <c r="N3" i="12"/>
  <c r="N4" i="12"/>
  <c r="N5" i="12"/>
  <c r="N6" i="12"/>
  <c r="N7" i="12"/>
  <c r="N8" i="12"/>
  <c r="N9" i="12"/>
  <c r="N3" i="11"/>
  <c r="N4" i="11"/>
  <c r="N5" i="11"/>
  <c r="N6" i="11"/>
  <c r="N7" i="11"/>
  <c r="N8" i="11"/>
  <c r="N9" i="11"/>
  <c r="N10" i="11"/>
  <c r="N3" i="10"/>
  <c r="N4" i="10"/>
  <c r="N5" i="10"/>
  <c r="N6" i="10"/>
  <c r="N7" i="10"/>
  <c r="N8" i="10"/>
  <c r="N9" i="10"/>
  <c r="N10" i="10"/>
  <c r="N3" i="9"/>
  <c r="N4" i="9"/>
  <c r="N5" i="9"/>
  <c r="N6" i="9"/>
  <c r="N7" i="9"/>
  <c r="N8" i="9"/>
  <c r="N9" i="9"/>
  <c r="N10" i="9"/>
  <c r="N3" i="8"/>
  <c r="N4" i="8"/>
  <c r="N5" i="8"/>
  <c r="N6" i="8"/>
  <c r="N7" i="8"/>
  <c r="N8" i="8"/>
  <c r="N9" i="8"/>
  <c r="N10" i="8"/>
  <c r="N3" i="7"/>
  <c r="N4" i="7"/>
  <c r="N5" i="7"/>
  <c r="N6" i="7"/>
  <c r="N7" i="7"/>
  <c r="N8" i="7"/>
  <c r="N9" i="7"/>
  <c r="N10" i="7"/>
  <c r="N3" i="6"/>
  <c r="N4" i="6"/>
  <c r="N5" i="6"/>
  <c r="N6" i="6"/>
  <c r="N7" i="6"/>
  <c r="N8" i="6"/>
  <c r="N9" i="6"/>
  <c r="N10" i="6"/>
  <c r="N3" i="5"/>
  <c r="N4" i="5"/>
  <c r="N5" i="5"/>
  <c r="N6" i="5"/>
  <c r="N7" i="5"/>
  <c r="N8" i="5"/>
  <c r="N9" i="5"/>
  <c r="N10" i="5"/>
  <c r="N3" i="3"/>
  <c r="N4" i="3"/>
  <c r="N5" i="3"/>
  <c r="N6" i="3"/>
  <c r="N7" i="3"/>
  <c r="N8" i="3"/>
  <c r="N9" i="3"/>
  <c r="N10" i="3"/>
  <c r="N3" i="2"/>
  <c r="N4" i="2"/>
  <c r="N5" i="2"/>
  <c r="N6" i="2"/>
  <c r="N7" i="2"/>
  <c r="N8" i="2"/>
  <c r="N9" i="2"/>
  <c r="I10" i="9"/>
  <c r="I10" i="10"/>
  <c r="Z10" i="10" l="1"/>
  <c r="Z9" i="10"/>
  <c r="Z8" i="10"/>
  <c r="Z7" i="10"/>
  <c r="Z6" i="10"/>
  <c r="Z5" i="10"/>
  <c r="Z4" i="10"/>
  <c r="Z3" i="10"/>
  <c r="Z2" i="10"/>
  <c r="O19" i="10"/>
  <c r="N19" i="10"/>
  <c r="O18" i="10"/>
  <c r="N18" i="10"/>
  <c r="J18" i="10"/>
  <c r="J19" i="10"/>
  <c r="J20" i="10"/>
  <c r="N2" i="15"/>
  <c r="N2" i="14"/>
  <c r="N2" i="13"/>
  <c r="N2" i="12"/>
  <c r="N2" i="11"/>
  <c r="N2" i="10"/>
  <c r="N2" i="9"/>
  <c r="N2" i="8"/>
  <c r="N2" i="7"/>
  <c r="N2" i="6"/>
  <c r="N2" i="5"/>
  <c r="N2" i="3"/>
  <c r="N22" i="9" l="1"/>
  <c r="M22" i="9"/>
  <c r="N21" i="9"/>
  <c r="M21" i="9"/>
  <c r="N20" i="9"/>
  <c r="M20" i="9"/>
  <c r="I21" i="9"/>
  <c r="I22" i="9"/>
  <c r="I20" i="9"/>
  <c r="R22" i="7"/>
  <c r="R21" i="7"/>
  <c r="R20" i="7"/>
  <c r="Z10" i="9"/>
  <c r="Z9" i="9"/>
  <c r="Z8" i="9"/>
  <c r="Z7" i="9"/>
  <c r="Z6" i="9"/>
  <c r="Z5" i="9"/>
  <c r="Z4" i="9"/>
  <c r="Z3" i="9"/>
  <c r="Z2" i="9"/>
  <c r="Q17" i="8"/>
  <c r="P17" i="8"/>
  <c r="O17" i="8"/>
  <c r="P16" i="8"/>
  <c r="O16" i="8"/>
  <c r="Q16" i="8" s="1"/>
  <c r="P15" i="8"/>
  <c r="O15" i="8"/>
  <c r="Q15" i="8" s="1"/>
  <c r="Z10" i="8"/>
  <c r="Z9" i="8"/>
  <c r="Z8" i="8"/>
  <c r="Z7" i="8"/>
  <c r="Z6" i="8"/>
  <c r="Z5" i="8"/>
  <c r="Z4" i="8"/>
  <c r="Z3" i="8"/>
  <c r="Z2" i="8"/>
  <c r="M22" i="7"/>
  <c r="S22" i="7" s="1"/>
  <c r="M20" i="7"/>
  <c r="S20" i="7" s="1"/>
  <c r="N22" i="7"/>
  <c r="N21" i="7"/>
  <c r="M21" i="7"/>
  <c r="S21" i="7" s="1"/>
  <c r="N20" i="7"/>
  <c r="O17" i="6"/>
  <c r="O16" i="6"/>
  <c r="N16" i="6"/>
  <c r="N17" i="6"/>
  <c r="O19" i="5"/>
  <c r="O18" i="5"/>
  <c r="N19" i="5"/>
  <c r="N18" i="5"/>
  <c r="N21" i="3"/>
  <c r="N22" i="3"/>
  <c r="N20" i="3"/>
  <c r="M21" i="3"/>
  <c r="M22" i="3"/>
  <c r="M20" i="3"/>
  <c r="O16" i="2"/>
  <c r="O17" i="2"/>
  <c r="O15" i="2"/>
  <c r="Z3" i="3"/>
  <c r="Z4" i="3"/>
  <c r="Z5" i="3"/>
  <c r="Z6" i="3"/>
  <c r="Z7" i="3"/>
  <c r="Z8" i="3"/>
  <c r="Z9" i="3"/>
  <c r="Z10" i="3"/>
  <c r="Z2" i="3"/>
  <c r="Z3" i="2"/>
  <c r="Z4" i="2"/>
  <c r="Z5" i="2"/>
  <c r="Z6" i="2"/>
  <c r="Z7" i="2"/>
  <c r="Z8" i="2"/>
  <c r="Z9" i="2"/>
  <c r="Z10" i="2"/>
  <c r="Z2" i="2"/>
  <c r="L10" i="8" l="1"/>
  <c r="E2" i="2" l="1"/>
  <c r="L4" i="7"/>
  <c r="M4" i="7" s="1"/>
  <c r="M4" i="6"/>
  <c r="O4" i="6" s="1"/>
  <c r="M6" i="6"/>
  <c r="O6" i="6" s="1"/>
  <c r="M3" i="6"/>
  <c r="O3" i="6" s="1"/>
  <c r="H18" i="15"/>
  <c r="I18" i="15" s="1"/>
  <c r="B18" i="15"/>
  <c r="C18" i="15" s="1"/>
  <c r="J18" i="15" s="1"/>
  <c r="I17" i="15"/>
  <c r="H17" i="15"/>
  <c r="B17" i="15"/>
  <c r="C17" i="15" s="1"/>
  <c r="J17" i="15" s="1"/>
  <c r="H16" i="15"/>
  <c r="I16" i="15" s="1"/>
  <c r="C16" i="15"/>
  <c r="J16" i="15" s="1"/>
  <c r="B16" i="15"/>
  <c r="S9" i="15"/>
  <c r="T9" i="15" s="1"/>
  <c r="R9" i="15"/>
  <c r="L9" i="15"/>
  <c r="M9" i="15" s="1"/>
  <c r="O9" i="15" s="1"/>
  <c r="I9" i="15"/>
  <c r="F9" i="15"/>
  <c r="H9" i="15" s="1"/>
  <c r="S8" i="15"/>
  <c r="T8" i="15" s="1"/>
  <c r="R8" i="15"/>
  <c r="L8" i="15"/>
  <c r="M8" i="15" s="1"/>
  <c r="O8" i="15" s="1"/>
  <c r="I8" i="15"/>
  <c r="F8" i="15"/>
  <c r="H8" i="15" s="1"/>
  <c r="T7" i="15"/>
  <c r="W7" i="15" s="1"/>
  <c r="S7" i="15"/>
  <c r="R7" i="15"/>
  <c r="M7" i="15"/>
  <c r="O7" i="15" s="1"/>
  <c r="I7" i="15"/>
  <c r="F7" i="15"/>
  <c r="H7" i="15" s="1"/>
  <c r="S6" i="15"/>
  <c r="T6" i="15" s="1"/>
  <c r="R6" i="15"/>
  <c r="M6" i="15"/>
  <c r="O6" i="15" s="1"/>
  <c r="I6" i="15"/>
  <c r="F6" i="15"/>
  <c r="H6" i="15" s="1"/>
  <c r="C6" i="15"/>
  <c r="S5" i="15"/>
  <c r="T5" i="15" s="1"/>
  <c r="W5" i="15" s="1"/>
  <c r="R5" i="15"/>
  <c r="M5" i="15"/>
  <c r="O5" i="15" s="1"/>
  <c r="F5" i="15"/>
  <c r="H5" i="15" s="1"/>
  <c r="S4" i="15"/>
  <c r="T4" i="15" s="1"/>
  <c r="R4" i="15"/>
  <c r="L4" i="15"/>
  <c r="M4" i="15" s="1"/>
  <c r="O4" i="15" s="1"/>
  <c r="F4" i="15"/>
  <c r="H4" i="15" s="1"/>
  <c r="C4" i="15"/>
  <c r="S3" i="15"/>
  <c r="T3" i="15" s="1"/>
  <c r="R3" i="15"/>
  <c r="L3" i="15"/>
  <c r="M3" i="15" s="1"/>
  <c r="O3" i="15" s="1"/>
  <c r="I3" i="15"/>
  <c r="F3" i="15"/>
  <c r="H3" i="15" s="1"/>
  <c r="T2" i="15"/>
  <c r="S2" i="15"/>
  <c r="R2" i="15"/>
  <c r="L2" i="15"/>
  <c r="M2" i="15" s="1"/>
  <c r="I2" i="15"/>
  <c r="F2" i="15"/>
  <c r="H2" i="15" s="1"/>
  <c r="H19" i="14"/>
  <c r="I19" i="14" s="1"/>
  <c r="C19" i="14"/>
  <c r="B19" i="14"/>
  <c r="I18" i="14"/>
  <c r="H18" i="14"/>
  <c r="B18" i="14"/>
  <c r="C18" i="14" s="1"/>
  <c r="I17" i="14"/>
  <c r="H17" i="14"/>
  <c r="B17" i="14"/>
  <c r="C17" i="14" s="1"/>
  <c r="S10" i="14"/>
  <c r="T10" i="14" s="1"/>
  <c r="R10" i="14"/>
  <c r="M10" i="14"/>
  <c r="O10" i="14" s="1"/>
  <c r="F10" i="14"/>
  <c r="H10" i="14" s="1"/>
  <c r="S9" i="14"/>
  <c r="T9" i="14" s="1"/>
  <c r="R9" i="14"/>
  <c r="L9" i="14"/>
  <c r="M9" i="14" s="1"/>
  <c r="O9" i="14" s="1"/>
  <c r="I9" i="14"/>
  <c r="F9" i="14"/>
  <c r="H9" i="14" s="1"/>
  <c r="S8" i="14"/>
  <c r="T8" i="14" s="1"/>
  <c r="R8" i="14"/>
  <c r="L8" i="14"/>
  <c r="M8" i="14" s="1"/>
  <c r="O8" i="14" s="1"/>
  <c r="I8" i="14"/>
  <c r="F8" i="14"/>
  <c r="H8" i="14" s="1"/>
  <c r="S7" i="14"/>
  <c r="T7" i="14" s="1"/>
  <c r="R7" i="14"/>
  <c r="L7" i="14"/>
  <c r="M7" i="14" s="1"/>
  <c r="O7" i="14" s="1"/>
  <c r="I7" i="14"/>
  <c r="F7" i="14"/>
  <c r="H7" i="14" s="1"/>
  <c r="S6" i="14"/>
  <c r="T6" i="14" s="1"/>
  <c r="R6" i="14"/>
  <c r="M6" i="14"/>
  <c r="O6" i="14" s="1"/>
  <c r="I6" i="14"/>
  <c r="F6" i="14"/>
  <c r="H6" i="14" s="1"/>
  <c r="S5" i="14"/>
  <c r="T5" i="14" s="1"/>
  <c r="R5" i="14"/>
  <c r="M5" i="14"/>
  <c r="O5" i="14" s="1"/>
  <c r="I5" i="14"/>
  <c r="F5" i="14"/>
  <c r="H5" i="14" s="1"/>
  <c r="S4" i="14"/>
  <c r="T4" i="14" s="1"/>
  <c r="R4" i="14"/>
  <c r="L4" i="14"/>
  <c r="M4" i="14" s="1"/>
  <c r="O4" i="14" s="1"/>
  <c r="F4" i="14"/>
  <c r="H4" i="14" s="1"/>
  <c r="S3" i="14"/>
  <c r="T3" i="14" s="1"/>
  <c r="R3" i="14"/>
  <c r="L3" i="14"/>
  <c r="M3" i="14" s="1"/>
  <c r="O3" i="14" s="1"/>
  <c r="I3" i="14"/>
  <c r="F3" i="14"/>
  <c r="H3" i="14" s="1"/>
  <c r="S2" i="14"/>
  <c r="T2" i="14" s="1"/>
  <c r="R2" i="14"/>
  <c r="L2" i="14"/>
  <c r="M2" i="14" s="1"/>
  <c r="O2" i="14" s="1"/>
  <c r="I2" i="14"/>
  <c r="F2" i="14"/>
  <c r="H2" i="14" s="1"/>
  <c r="H18" i="13"/>
  <c r="I18" i="13" s="1"/>
  <c r="B18" i="13"/>
  <c r="C18" i="13" s="1"/>
  <c r="J18" i="13" s="1"/>
  <c r="I17" i="13"/>
  <c r="H17" i="13"/>
  <c r="C17" i="13"/>
  <c r="B17" i="13"/>
  <c r="I16" i="13"/>
  <c r="H16" i="13"/>
  <c r="C16" i="13"/>
  <c r="J16" i="13" s="1"/>
  <c r="B16" i="13"/>
  <c r="S9" i="13"/>
  <c r="T9" i="13" s="1"/>
  <c r="R9" i="13"/>
  <c r="I9" i="13"/>
  <c r="F9" i="13"/>
  <c r="H9" i="13" s="1"/>
  <c r="S8" i="13"/>
  <c r="T8" i="13" s="1"/>
  <c r="R8" i="13"/>
  <c r="M8" i="13"/>
  <c r="O8" i="13" s="1"/>
  <c r="I8" i="13"/>
  <c r="F8" i="13"/>
  <c r="H8" i="13" s="1"/>
  <c r="S7" i="13"/>
  <c r="T7" i="13" s="1"/>
  <c r="R7" i="13"/>
  <c r="M7" i="13"/>
  <c r="O7" i="13" s="1"/>
  <c r="I7" i="13"/>
  <c r="F7" i="13"/>
  <c r="H7" i="13" s="1"/>
  <c r="S6" i="13"/>
  <c r="T6" i="13" s="1"/>
  <c r="R6" i="13"/>
  <c r="M6" i="13"/>
  <c r="O6" i="13" s="1"/>
  <c r="I6" i="13"/>
  <c r="F6" i="13"/>
  <c r="H6" i="13" s="1"/>
  <c r="S5" i="13"/>
  <c r="T5" i="13" s="1"/>
  <c r="R5" i="13"/>
  <c r="M5" i="13"/>
  <c r="O5" i="13" s="1"/>
  <c r="F5" i="13"/>
  <c r="H5" i="13" s="1"/>
  <c r="S4" i="13"/>
  <c r="T4" i="13" s="1"/>
  <c r="R4" i="13"/>
  <c r="M4" i="13"/>
  <c r="O4" i="13" s="1"/>
  <c r="L4" i="13"/>
  <c r="F4" i="13"/>
  <c r="H4" i="13" s="1"/>
  <c r="S3" i="13"/>
  <c r="T3" i="13" s="1"/>
  <c r="R3" i="13"/>
  <c r="L3" i="13"/>
  <c r="M3" i="13" s="1"/>
  <c r="O3" i="13" s="1"/>
  <c r="I3" i="13"/>
  <c r="F3" i="13"/>
  <c r="H3" i="13" s="1"/>
  <c r="S2" i="13"/>
  <c r="T2" i="13" s="1"/>
  <c r="R2" i="13"/>
  <c r="L2" i="13"/>
  <c r="M2" i="13" s="1"/>
  <c r="O2" i="13" s="1"/>
  <c r="I2" i="13"/>
  <c r="F2" i="13"/>
  <c r="H2" i="13" s="1"/>
  <c r="B18" i="12"/>
  <c r="C18" i="12" s="1"/>
  <c r="H18" i="12"/>
  <c r="I18" i="12" s="1"/>
  <c r="H17" i="12"/>
  <c r="I17" i="12" s="1"/>
  <c r="C17" i="12"/>
  <c r="B17" i="12"/>
  <c r="I16" i="12"/>
  <c r="H16" i="12"/>
  <c r="B16" i="12"/>
  <c r="C16" i="12" s="1"/>
  <c r="J16" i="12" s="1"/>
  <c r="R9" i="11"/>
  <c r="R9" i="12"/>
  <c r="R3" i="12"/>
  <c r="R4" i="12"/>
  <c r="R5" i="12"/>
  <c r="R6" i="12"/>
  <c r="R7" i="12"/>
  <c r="R8" i="12"/>
  <c r="R2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M4" i="12"/>
  <c r="O4" i="12" s="1"/>
  <c r="M5" i="12"/>
  <c r="O5" i="12" s="1"/>
  <c r="M6" i="12"/>
  <c r="O6" i="12" s="1"/>
  <c r="M7" i="12"/>
  <c r="O7" i="12" s="1"/>
  <c r="L8" i="12"/>
  <c r="M8" i="12" s="1"/>
  <c r="O8" i="12" s="1"/>
  <c r="L4" i="12"/>
  <c r="L3" i="12"/>
  <c r="M3" i="12" s="1"/>
  <c r="O3" i="12" s="1"/>
  <c r="L2" i="12"/>
  <c r="M2" i="12" s="1"/>
  <c r="O2" i="12" s="1"/>
  <c r="I9" i="12"/>
  <c r="I8" i="12"/>
  <c r="I7" i="12"/>
  <c r="I6" i="12"/>
  <c r="I3" i="12"/>
  <c r="I2" i="12"/>
  <c r="F3" i="12"/>
  <c r="H3" i="12" s="1"/>
  <c r="F4" i="12"/>
  <c r="H4" i="12" s="1"/>
  <c r="F5" i="12"/>
  <c r="H5" i="12" s="1"/>
  <c r="F6" i="12"/>
  <c r="H6" i="12" s="1"/>
  <c r="F7" i="12"/>
  <c r="H7" i="12" s="1"/>
  <c r="F8" i="12"/>
  <c r="H8" i="12" s="1"/>
  <c r="F9" i="12"/>
  <c r="H9" i="12" s="1"/>
  <c r="F2" i="12"/>
  <c r="H2" i="12" s="1"/>
  <c r="C6" i="12"/>
  <c r="C4" i="12"/>
  <c r="J18" i="11"/>
  <c r="J19" i="11"/>
  <c r="J17" i="11"/>
  <c r="I18" i="11"/>
  <c r="I19" i="11"/>
  <c r="I17" i="11"/>
  <c r="H18" i="11"/>
  <c r="H19" i="11"/>
  <c r="H17" i="11"/>
  <c r="C18" i="11"/>
  <c r="C19" i="11"/>
  <c r="C17" i="11"/>
  <c r="B19" i="11"/>
  <c r="B18" i="11"/>
  <c r="B17" i="11"/>
  <c r="S3" i="11"/>
  <c r="T3" i="11" s="1"/>
  <c r="S4" i="11"/>
  <c r="T4" i="11" s="1"/>
  <c r="S5" i="11"/>
  <c r="T5" i="11" s="1"/>
  <c r="S6" i="11"/>
  <c r="T6" i="11" s="1"/>
  <c r="S7" i="11"/>
  <c r="T7" i="11" s="1"/>
  <c r="S8" i="11"/>
  <c r="T8" i="11" s="1"/>
  <c r="S9" i="11"/>
  <c r="T9" i="11" s="1"/>
  <c r="S10" i="11"/>
  <c r="T10" i="11" s="1"/>
  <c r="S2" i="11"/>
  <c r="T2" i="11" s="1"/>
  <c r="R3" i="11"/>
  <c r="R4" i="11"/>
  <c r="R5" i="11"/>
  <c r="R6" i="11"/>
  <c r="R7" i="11"/>
  <c r="R8" i="11"/>
  <c r="R10" i="11"/>
  <c r="R2" i="11"/>
  <c r="M4" i="11"/>
  <c r="O4" i="11" s="1"/>
  <c r="M5" i="11"/>
  <c r="O5" i="11" s="1"/>
  <c r="M6" i="11"/>
  <c r="O6" i="11" s="1"/>
  <c r="M10" i="11"/>
  <c r="O10" i="11" s="1"/>
  <c r="L9" i="11"/>
  <c r="M9" i="11" s="1"/>
  <c r="O9" i="11" s="1"/>
  <c r="L8" i="11"/>
  <c r="M8" i="11" s="1"/>
  <c r="O8" i="11" s="1"/>
  <c r="L7" i="11"/>
  <c r="M7" i="11" s="1"/>
  <c r="O7" i="11" s="1"/>
  <c r="L4" i="11"/>
  <c r="L3" i="11"/>
  <c r="M3" i="11" s="1"/>
  <c r="O3" i="11" s="1"/>
  <c r="L2" i="11"/>
  <c r="M2" i="11" s="1"/>
  <c r="O2" i="11" s="1"/>
  <c r="I9" i="11"/>
  <c r="I8" i="11"/>
  <c r="I7" i="11"/>
  <c r="I6" i="11"/>
  <c r="I5" i="11"/>
  <c r="I3" i="11"/>
  <c r="I2" i="11"/>
  <c r="H7" i="11"/>
  <c r="F3" i="11"/>
  <c r="H3" i="11" s="1"/>
  <c r="F4" i="11"/>
  <c r="H4" i="11" s="1"/>
  <c r="F5" i="11"/>
  <c r="H5" i="11" s="1"/>
  <c r="F6" i="11"/>
  <c r="H6" i="11" s="1"/>
  <c r="F7" i="11"/>
  <c r="F8" i="11"/>
  <c r="H8" i="11" s="1"/>
  <c r="F9" i="11"/>
  <c r="H9" i="11" s="1"/>
  <c r="F10" i="11"/>
  <c r="H10" i="11" s="1"/>
  <c r="F2" i="11"/>
  <c r="H2" i="11" s="1"/>
  <c r="C8" i="10"/>
  <c r="C6" i="10"/>
  <c r="H19" i="10"/>
  <c r="I19" i="10" s="1"/>
  <c r="B19" i="10"/>
  <c r="C19" i="10" s="1"/>
  <c r="H18" i="10"/>
  <c r="I18" i="10" s="1"/>
  <c r="C18" i="10"/>
  <c r="B18" i="10"/>
  <c r="S10" i="10"/>
  <c r="T10" i="10" s="1"/>
  <c r="R10" i="10"/>
  <c r="L10" i="10"/>
  <c r="M10" i="10" s="1"/>
  <c r="O10" i="10" s="1"/>
  <c r="F10" i="10"/>
  <c r="S9" i="10"/>
  <c r="T9" i="10" s="1"/>
  <c r="R9" i="10"/>
  <c r="L9" i="10"/>
  <c r="M9" i="10" s="1"/>
  <c r="O9" i="10" s="1"/>
  <c r="I9" i="10"/>
  <c r="F9" i="10"/>
  <c r="S8" i="10"/>
  <c r="T8" i="10" s="1"/>
  <c r="R8" i="10"/>
  <c r="M8" i="10"/>
  <c r="O8" i="10" s="1"/>
  <c r="I8" i="10"/>
  <c r="F8" i="10"/>
  <c r="H8" i="10" s="1"/>
  <c r="S7" i="10"/>
  <c r="T7" i="10" s="1"/>
  <c r="R7" i="10"/>
  <c r="M7" i="10"/>
  <c r="O7" i="10" s="1"/>
  <c r="F7" i="10"/>
  <c r="H7" i="10" s="1"/>
  <c r="S6" i="10"/>
  <c r="T6" i="10" s="1"/>
  <c r="R6" i="10"/>
  <c r="L6" i="10"/>
  <c r="M6" i="10" s="1"/>
  <c r="O6" i="10" s="1"/>
  <c r="F6" i="10"/>
  <c r="H6" i="10" s="1"/>
  <c r="S5" i="10"/>
  <c r="T5" i="10" s="1"/>
  <c r="R5" i="10"/>
  <c r="M5" i="10"/>
  <c r="O5" i="10" s="1"/>
  <c r="F5" i="10"/>
  <c r="H5" i="10" s="1"/>
  <c r="S4" i="10"/>
  <c r="T4" i="10" s="1"/>
  <c r="R4" i="10"/>
  <c r="M4" i="10"/>
  <c r="O4" i="10" s="1"/>
  <c r="F4" i="10"/>
  <c r="H4" i="10" s="1"/>
  <c r="S3" i="10"/>
  <c r="T3" i="10" s="1"/>
  <c r="R3" i="10"/>
  <c r="L3" i="10"/>
  <c r="M3" i="10" s="1"/>
  <c r="O3" i="10" s="1"/>
  <c r="I3" i="10"/>
  <c r="F3" i="10"/>
  <c r="H3" i="10" s="1"/>
  <c r="S2" i="10"/>
  <c r="T2" i="10" s="1"/>
  <c r="R2" i="10"/>
  <c r="L2" i="10"/>
  <c r="M2" i="10" s="1"/>
  <c r="O2" i="10" s="1"/>
  <c r="F2" i="10"/>
  <c r="H2" i="10" s="1"/>
  <c r="F6" i="9"/>
  <c r="H6" i="9" s="1"/>
  <c r="R3" i="9"/>
  <c r="L2" i="9"/>
  <c r="M2" i="9" s="1"/>
  <c r="O2" i="9" s="1"/>
  <c r="C9" i="9"/>
  <c r="C4" i="9"/>
  <c r="G22" i="9"/>
  <c r="H22" i="9" s="1"/>
  <c r="G21" i="9"/>
  <c r="H21" i="9" s="1"/>
  <c r="G20" i="9"/>
  <c r="H20" i="9" s="1"/>
  <c r="B17" i="9"/>
  <c r="B22" i="9" s="1"/>
  <c r="B16" i="9"/>
  <c r="B21" i="9" s="1"/>
  <c r="B15" i="9"/>
  <c r="B20" i="9" s="1"/>
  <c r="S10" i="9"/>
  <c r="T10" i="9" s="1"/>
  <c r="R10" i="9"/>
  <c r="L10" i="9"/>
  <c r="M10" i="9" s="1"/>
  <c r="O10" i="9" s="1"/>
  <c r="F10" i="9"/>
  <c r="H10" i="9" s="1"/>
  <c r="S9" i="9"/>
  <c r="T9" i="9" s="1"/>
  <c r="R9" i="9"/>
  <c r="L9" i="9"/>
  <c r="M9" i="9" s="1"/>
  <c r="O9" i="9" s="1"/>
  <c r="I9" i="9"/>
  <c r="F9" i="9"/>
  <c r="H9" i="9" s="1"/>
  <c r="S8" i="9"/>
  <c r="T8" i="9" s="1"/>
  <c r="R8" i="9"/>
  <c r="L8" i="9"/>
  <c r="M8" i="9" s="1"/>
  <c r="O8" i="9" s="1"/>
  <c r="I8" i="9"/>
  <c r="F8" i="9"/>
  <c r="H8" i="9" s="1"/>
  <c r="S7" i="9"/>
  <c r="T7" i="9" s="1"/>
  <c r="R7" i="9"/>
  <c r="L7" i="9"/>
  <c r="M7" i="9" s="1"/>
  <c r="O7" i="9" s="1"/>
  <c r="F7" i="9"/>
  <c r="H7" i="9" s="1"/>
  <c r="S6" i="9"/>
  <c r="T6" i="9" s="1"/>
  <c r="R6" i="9"/>
  <c r="L6" i="9"/>
  <c r="M6" i="9" s="1"/>
  <c r="O6" i="9" s="1"/>
  <c r="I6" i="9"/>
  <c r="S5" i="9"/>
  <c r="T5" i="9" s="1"/>
  <c r="R5" i="9"/>
  <c r="L5" i="9"/>
  <c r="M5" i="9" s="1"/>
  <c r="O5" i="9" s="1"/>
  <c r="F5" i="9"/>
  <c r="H5" i="9" s="1"/>
  <c r="S4" i="9"/>
  <c r="T4" i="9" s="1"/>
  <c r="R4" i="9"/>
  <c r="L4" i="9"/>
  <c r="M4" i="9" s="1"/>
  <c r="O4" i="9" s="1"/>
  <c r="F4" i="9"/>
  <c r="H4" i="9" s="1"/>
  <c r="S3" i="9"/>
  <c r="T3" i="9" s="1"/>
  <c r="L3" i="9"/>
  <c r="M3" i="9" s="1"/>
  <c r="O3" i="9" s="1"/>
  <c r="F3" i="9"/>
  <c r="H3" i="9" s="1"/>
  <c r="S2" i="9"/>
  <c r="T2" i="9" s="1"/>
  <c r="F2" i="9"/>
  <c r="H2" i="9" s="1"/>
  <c r="R8" i="8"/>
  <c r="M10" i="8"/>
  <c r="O10" i="8" s="1"/>
  <c r="L7" i="8"/>
  <c r="M7" i="8" s="1"/>
  <c r="R3" i="8"/>
  <c r="I17" i="8"/>
  <c r="K17" i="8" s="1"/>
  <c r="H17" i="8"/>
  <c r="J17" i="8" s="1"/>
  <c r="B17" i="8"/>
  <c r="I16" i="8"/>
  <c r="K16" i="8" s="1"/>
  <c r="H16" i="8"/>
  <c r="J16" i="8" s="1"/>
  <c r="B16" i="8"/>
  <c r="I15" i="8"/>
  <c r="K15" i="8" s="1"/>
  <c r="H15" i="8"/>
  <c r="J15" i="8" s="1"/>
  <c r="B15" i="8"/>
  <c r="S10" i="8"/>
  <c r="T10" i="8" s="1"/>
  <c r="R10" i="8"/>
  <c r="F10" i="8"/>
  <c r="H10" i="8" s="1"/>
  <c r="S9" i="8"/>
  <c r="T9" i="8" s="1"/>
  <c r="R9" i="8"/>
  <c r="L9" i="8"/>
  <c r="M9" i="8" s="1"/>
  <c r="O9" i="8" s="1"/>
  <c r="F9" i="8"/>
  <c r="H9" i="8" s="1"/>
  <c r="S8" i="8"/>
  <c r="T8" i="8" s="1"/>
  <c r="S7" i="8"/>
  <c r="T7" i="8" s="1"/>
  <c r="S6" i="8"/>
  <c r="T6" i="8" s="1"/>
  <c r="R6" i="8"/>
  <c r="M6" i="8"/>
  <c r="O6" i="8" s="1"/>
  <c r="F6" i="8"/>
  <c r="H6" i="8" s="1"/>
  <c r="S5" i="8"/>
  <c r="T5" i="8" s="1"/>
  <c r="R5" i="8"/>
  <c r="M5" i="8"/>
  <c r="O5" i="8" s="1"/>
  <c r="F5" i="8"/>
  <c r="H5" i="8" s="1"/>
  <c r="S4" i="8"/>
  <c r="T4" i="8" s="1"/>
  <c r="R4" i="8"/>
  <c r="L4" i="8"/>
  <c r="M4" i="8" s="1"/>
  <c r="O4" i="8" s="1"/>
  <c r="F4" i="8"/>
  <c r="H4" i="8" s="1"/>
  <c r="S3" i="8"/>
  <c r="T3" i="8" s="1"/>
  <c r="S2" i="8"/>
  <c r="T2" i="8" s="1"/>
  <c r="R2" i="8"/>
  <c r="L2" i="8"/>
  <c r="M2" i="8" s="1"/>
  <c r="O2" i="8" s="1"/>
  <c r="G2" i="8"/>
  <c r="F2" i="8"/>
  <c r="L7" i="7"/>
  <c r="M7" i="7" s="1"/>
  <c r="B17" i="6"/>
  <c r="B17" i="7"/>
  <c r="L5" i="7"/>
  <c r="M5" i="7" s="1"/>
  <c r="O5" i="7" s="1"/>
  <c r="M6" i="7"/>
  <c r="M9" i="7"/>
  <c r="M10" i="7"/>
  <c r="L2" i="7"/>
  <c r="R8" i="7"/>
  <c r="L3" i="7"/>
  <c r="M3" i="7" s="1"/>
  <c r="O3" i="7" s="1"/>
  <c r="F2" i="7"/>
  <c r="H2" i="7" s="1"/>
  <c r="I4" i="6"/>
  <c r="I5" i="6"/>
  <c r="I6" i="6"/>
  <c r="I7" i="6"/>
  <c r="I8" i="6"/>
  <c r="I9" i="6"/>
  <c r="I10" i="6"/>
  <c r="I3" i="6"/>
  <c r="T3" i="6"/>
  <c r="T7" i="6"/>
  <c r="W7" i="6" s="1"/>
  <c r="T10" i="6"/>
  <c r="T2" i="6"/>
  <c r="S3" i="6"/>
  <c r="S4" i="6"/>
  <c r="T4" i="6" s="1"/>
  <c r="S5" i="6"/>
  <c r="T5" i="6" s="1"/>
  <c r="S6" i="6"/>
  <c r="T6" i="6" s="1"/>
  <c r="S7" i="6"/>
  <c r="S8" i="6"/>
  <c r="T8" i="6" s="1"/>
  <c r="S9" i="6"/>
  <c r="T9" i="6" s="1"/>
  <c r="S10" i="6"/>
  <c r="R3" i="6"/>
  <c r="R4" i="6"/>
  <c r="R5" i="6"/>
  <c r="R6" i="6"/>
  <c r="R7" i="6"/>
  <c r="R8" i="6"/>
  <c r="R9" i="6"/>
  <c r="R10" i="6"/>
  <c r="W10" i="6" s="1"/>
  <c r="S2" i="6"/>
  <c r="R2" i="6"/>
  <c r="M5" i="6"/>
  <c r="O5" i="6" s="1"/>
  <c r="M7" i="6"/>
  <c r="O7" i="6" s="1"/>
  <c r="M8" i="6"/>
  <c r="O8" i="6" s="1"/>
  <c r="G22" i="7"/>
  <c r="H22" i="7" s="1"/>
  <c r="G21" i="7"/>
  <c r="H21" i="7" s="1"/>
  <c r="G20" i="7"/>
  <c r="H20" i="7" s="1"/>
  <c r="B22" i="7"/>
  <c r="B16" i="7"/>
  <c r="B21" i="7" s="1"/>
  <c r="B15" i="7"/>
  <c r="B20" i="7" s="1"/>
  <c r="S10" i="7"/>
  <c r="T10" i="7" s="1"/>
  <c r="R10" i="7"/>
  <c r="I10" i="7"/>
  <c r="F10" i="7"/>
  <c r="H10" i="7" s="1"/>
  <c r="S9" i="7"/>
  <c r="T9" i="7" s="1"/>
  <c r="R9" i="7"/>
  <c r="I9" i="7"/>
  <c r="F9" i="7"/>
  <c r="H9" i="7" s="1"/>
  <c r="S8" i="7"/>
  <c r="T8" i="7" s="1"/>
  <c r="S7" i="7"/>
  <c r="T7" i="7" s="1"/>
  <c r="R7" i="7"/>
  <c r="F7" i="7"/>
  <c r="H7" i="7" s="1"/>
  <c r="S6" i="7"/>
  <c r="T6" i="7" s="1"/>
  <c r="R6" i="7"/>
  <c r="I6" i="7"/>
  <c r="F6" i="7"/>
  <c r="H6" i="7" s="1"/>
  <c r="S5" i="7"/>
  <c r="T5" i="7" s="1"/>
  <c r="R5" i="7"/>
  <c r="F5" i="7"/>
  <c r="H5" i="7" s="1"/>
  <c r="S4" i="7"/>
  <c r="T4" i="7" s="1"/>
  <c r="R4" i="7"/>
  <c r="F4" i="7"/>
  <c r="H4" i="7" s="1"/>
  <c r="S3" i="7"/>
  <c r="T3" i="7" s="1"/>
  <c r="R3" i="7"/>
  <c r="F3" i="7"/>
  <c r="H3" i="7" s="1"/>
  <c r="S2" i="7"/>
  <c r="T2" i="7" s="1"/>
  <c r="R2" i="7"/>
  <c r="B19" i="5"/>
  <c r="C19" i="5" s="1"/>
  <c r="J19" i="5" s="1"/>
  <c r="J17" i="6"/>
  <c r="J18" i="6" s="1"/>
  <c r="J16" i="6"/>
  <c r="C17" i="6"/>
  <c r="H17" i="6"/>
  <c r="I17" i="6" s="1"/>
  <c r="H16" i="6"/>
  <c r="I16" i="6" s="1"/>
  <c r="C16" i="6"/>
  <c r="B16" i="6"/>
  <c r="H3" i="6"/>
  <c r="H4" i="6"/>
  <c r="H5" i="6"/>
  <c r="H6" i="6"/>
  <c r="H7" i="6"/>
  <c r="H8" i="6"/>
  <c r="H9" i="6"/>
  <c r="H10" i="6"/>
  <c r="H2" i="6"/>
  <c r="M10" i="6"/>
  <c r="O10" i="6" s="1"/>
  <c r="M9" i="6"/>
  <c r="O9" i="6" s="1"/>
  <c r="M2" i="6"/>
  <c r="O2" i="6" s="1"/>
  <c r="J18" i="5"/>
  <c r="I19" i="5"/>
  <c r="I18" i="5"/>
  <c r="H19" i="5"/>
  <c r="H18" i="5"/>
  <c r="C18" i="5"/>
  <c r="B18" i="5"/>
  <c r="T4" i="5"/>
  <c r="W4" i="5" s="1"/>
  <c r="T6" i="5"/>
  <c r="S3" i="5"/>
  <c r="T3" i="5" s="1"/>
  <c r="S4" i="5"/>
  <c r="S5" i="5"/>
  <c r="T5" i="5" s="1"/>
  <c r="S6" i="5"/>
  <c r="S7" i="5"/>
  <c r="T7" i="5" s="1"/>
  <c r="W7" i="5" s="1"/>
  <c r="S8" i="5"/>
  <c r="T8" i="5" s="1"/>
  <c r="W8" i="5" s="1"/>
  <c r="S9" i="5"/>
  <c r="T9" i="5" s="1"/>
  <c r="S10" i="5"/>
  <c r="T10" i="5" s="1"/>
  <c r="W10" i="5" s="1"/>
  <c r="S2" i="5"/>
  <c r="T2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M5" i="5"/>
  <c r="O5" i="5" s="1"/>
  <c r="M7" i="5"/>
  <c r="O7" i="5" s="1"/>
  <c r="M8" i="5"/>
  <c r="O8" i="5" s="1"/>
  <c r="M10" i="5"/>
  <c r="O10" i="5" s="1"/>
  <c r="M9" i="5"/>
  <c r="O9" i="5" s="1"/>
  <c r="M6" i="5"/>
  <c r="O6" i="5" s="1"/>
  <c r="M4" i="5"/>
  <c r="O4" i="5" s="1"/>
  <c r="L2" i="5"/>
  <c r="M2" i="5" s="1"/>
  <c r="O2" i="5" s="1"/>
  <c r="M3" i="5"/>
  <c r="O3" i="5" s="1"/>
  <c r="I10" i="5"/>
  <c r="I9" i="5"/>
  <c r="I9" i="3"/>
  <c r="I8" i="5"/>
  <c r="I3" i="5"/>
  <c r="H4" i="5"/>
  <c r="H9" i="5"/>
  <c r="F3" i="5"/>
  <c r="H3" i="5" s="1"/>
  <c r="F4" i="5"/>
  <c r="F5" i="5"/>
  <c r="H5" i="5" s="1"/>
  <c r="F6" i="5"/>
  <c r="H6" i="5" s="1"/>
  <c r="F7" i="5"/>
  <c r="H7" i="5" s="1"/>
  <c r="F8" i="5"/>
  <c r="H8" i="5" s="1"/>
  <c r="F9" i="5"/>
  <c r="F10" i="5"/>
  <c r="H10" i="5" s="1"/>
  <c r="F2" i="5"/>
  <c r="H2" i="5" s="1"/>
  <c r="C8" i="5"/>
  <c r="C6" i="5"/>
  <c r="AA6" i="15" l="1"/>
  <c r="AB6" i="15"/>
  <c r="AA2" i="15"/>
  <c r="AB2" i="15"/>
  <c r="AA5" i="15"/>
  <c r="AB5" i="15"/>
  <c r="W3" i="15"/>
  <c r="AA3" i="15"/>
  <c r="AB3" i="15"/>
  <c r="W9" i="15"/>
  <c r="AA9" i="15"/>
  <c r="AB9" i="15"/>
  <c r="AA8" i="15"/>
  <c r="AB8" i="15"/>
  <c r="W4" i="15"/>
  <c r="AB4" i="15"/>
  <c r="AA4" i="15"/>
  <c r="AB7" i="15"/>
  <c r="AA7" i="15"/>
  <c r="AB9" i="14"/>
  <c r="AA9" i="14"/>
  <c r="W3" i="14"/>
  <c r="AA3" i="14"/>
  <c r="AB3" i="14"/>
  <c r="J18" i="14"/>
  <c r="AB5" i="14"/>
  <c r="AA5" i="14"/>
  <c r="W10" i="14"/>
  <c r="AB10" i="14"/>
  <c r="AA10" i="14"/>
  <c r="AB4" i="14"/>
  <c r="AA4" i="14"/>
  <c r="J19" i="14"/>
  <c r="AA8" i="14"/>
  <c r="AB8" i="14"/>
  <c r="AB2" i="14"/>
  <c r="AA2" i="14"/>
  <c r="AA7" i="14"/>
  <c r="AB7" i="14"/>
  <c r="J17" i="14"/>
  <c r="AB6" i="14"/>
  <c r="AA6" i="14"/>
  <c r="W8" i="15"/>
  <c r="W6" i="15"/>
  <c r="W5" i="14"/>
  <c r="W8" i="14"/>
  <c r="AA3" i="13"/>
  <c r="AB3" i="13"/>
  <c r="AA8" i="13"/>
  <c r="AB8" i="13"/>
  <c r="AA4" i="13"/>
  <c r="AB4" i="13"/>
  <c r="AA5" i="13"/>
  <c r="AB5" i="13"/>
  <c r="AA6" i="13"/>
  <c r="AB6" i="13"/>
  <c r="AB9" i="13"/>
  <c r="AA9" i="13"/>
  <c r="AB2" i="13"/>
  <c r="AA2" i="13"/>
  <c r="AA10" i="13" s="1"/>
  <c r="AA7" i="13"/>
  <c r="AB7" i="13"/>
  <c r="J17" i="13"/>
  <c r="W5" i="13"/>
  <c r="W7" i="13"/>
  <c r="W2" i="13"/>
  <c r="W6" i="13"/>
  <c r="W8" i="12"/>
  <c r="W6" i="12"/>
  <c r="W5" i="12"/>
  <c r="W7" i="12"/>
  <c r="AA10" i="12"/>
  <c r="AB2" i="12"/>
  <c r="J18" i="12"/>
  <c r="W4" i="12"/>
  <c r="L9" i="12"/>
  <c r="M9" i="12" s="1"/>
  <c r="O9" i="12" s="1"/>
  <c r="W3" i="12"/>
  <c r="W9" i="12"/>
  <c r="W2" i="12"/>
  <c r="AB6" i="11"/>
  <c r="AA6" i="11"/>
  <c r="AB5" i="11"/>
  <c r="AA5" i="11"/>
  <c r="AB7" i="11"/>
  <c r="AA7" i="11"/>
  <c r="W3" i="11"/>
  <c r="AB3" i="11"/>
  <c r="AA3" i="11"/>
  <c r="AB4" i="11"/>
  <c r="AA4" i="11"/>
  <c r="AA2" i="11"/>
  <c r="AA11" i="11" s="1"/>
  <c r="AB2" i="11"/>
  <c r="AB8" i="11"/>
  <c r="AA8" i="11"/>
  <c r="AB10" i="11"/>
  <c r="AA10" i="11"/>
  <c r="AB9" i="11"/>
  <c r="AA9" i="11"/>
  <c r="W6" i="11"/>
  <c r="W8" i="11"/>
  <c r="W4" i="11"/>
  <c r="W10" i="11"/>
  <c r="W5" i="11"/>
  <c r="W9" i="11"/>
  <c r="J19" i="15"/>
  <c r="J20" i="11"/>
  <c r="J20" i="5"/>
  <c r="W2" i="15"/>
  <c r="W2" i="11"/>
  <c r="W7" i="11"/>
  <c r="W9" i="9"/>
  <c r="AB6" i="7"/>
  <c r="AA6" i="7"/>
  <c r="AB10" i="7"/>
  <c r="AA10" i="7"/>
  <c r="AB3" i="7"/>
  <c r="AA3" i="7"/>
  <c r="AB7" i="7"/>
  <c r="AA7" i="7"/>
  <c r="AB5" i="7"/>
  <c r="AA5" i="7"/>
  <c r="AB9" i="7"/>
  <c r="AA9" i="7"/>
  <c r="AB8" i="7"/>
  <c r="AA8" i="7"/>
  <c r="AB2" i="7"/>
  <c r="AA2" i="7"/>
  <c r="AB4" i="7"/>
  <c r="AA4" i="7"/>
  <c r="AB10" i="5"/>
  <c r="AA10" i="5"/>
  <c r="AB5" i="5"/>
  <c r="AA5" i="5"/>
  <c r="AA3" i="5"/>
  <c r="AB3" i="5"/>
  <c r="AA6" i="5"/>
  <c r="AB6" i="5"/>
  <c r="AA4" i="5"/>
  <c r="AB4" i="5"/>
  <c r="AB2" i="5"/>
  <c r="AA2" i="5"/>
  <c r="AB8" i="5"/>
  <c r="AA8" i="5"/>
  <c r="W2" i="5"/>
  <c r="W11" i="5" s="1"/>
  <c r="W3" i="5"/>
  <c r="AB7" i="5"/>
  <c r="AA7" i="5"/>
  <c r="W6" i="5"/>
  <c r="AA6" i="3"/>
  <c r="AB6" i="3"/>
  <c r="AA5" i="3"/>
  <c r="AB5" i="3"/>
  <c r="AB4" i="3"/>
  <c r="AA4" i="3"/>
  <c r="AA2" i="3"/>
  <c r="AB2" i="3"/>
  <c r="AB3" i="3"/>
  <c r="AA3" i="3"/>
  <c r="AA7" i="3"/>
  <c r="AB7" i="3"/>
  <c r="AA10" i="3"/>
  <c r="AB10" i="3"/>
  <c r="AA8" i="3"/>
  <c r="AB8" i="3"/>
  <c r="O10" i="12"/>
  <c r="O11" i="11"/>
  <c r="P37" i="11" s="1"/>
  <c r="P22" i="11" s="1"/>
  <c r="O11" i="5"/>
  <c r="G29" i="16" s="1"/>
  <c r="AB9" i="5"/>
  <c r="AA9" i="5"/>
  <c r="W9" i="5"/>
  <c r="AA9" i="3"/>
  <c r="AB9" i="3"/>
  <c r="W7" i="10"/>
  <c r="W5" i="10"/>
  <c r="AA8" i="10"/>
  <c r="AB8" i="10"/>
  <c r="W3" i="10"/>
  <c r="W8" i="10"/>
  <c r="AA5" i="10"/>
  <c r="AB5" i="10"/>
  <c r="AB7" i="10"/>
  <c r="AA7" i="10"/>
  <c r="AB4" i="10"/>
  <c r="AA4" i="10"/>
  <c r="AA3" i="10"/>
  <c r="AB3" i="10"/>
  <c r="AA2" i="10"/>
  <c r="AB2" i="10"/>
  <c r="AB6" i="10"/>
  <c r="AA6" i="10"/>
  <c r="AB9" i="10"/>
  <c r="AA9" i="10"/>
  <c r="AB10" i="10"/>
  <c r="AA10" i="10"/>
  <c r="W6" i="10"/>
  <c r="W4" i="10"/>
  <c r="H10" i="13"/>
  <c r="P28" i="13" s="1"/>
  <c r="W4" i="6"/>
  <c r="W8" i="6"/>
  <c r="AB7" i="6"/>
  <c r="AA7" i="6"/>
  <c r="AB8" i="6"/>
  <c r="AA8" i="6"/>
  <c r="AB6" i="6"/>
  <c r="AA6" i="6"/>
  <c r="W6" i="6"/>
  <c r="AB2" i="6"/>
  <c r="AA2" i="6"/>
  <c r="AB3" i="6"/>
  <c r="AA3" i="6"/>
  <c r="AA10" i="6"/>
  <c r="AB10" i="6"/>
  <c r="AB5" i="6"/>
  <c r="AA5" i="6"/>
  <c r="AA4" i="6"/>
  <c r="AB4" i="6"/>
  <c r="AA9" i="6"/>
  <c r="AB9" i="6"/>
  <c r="W9" i="6"/>
  <c r="AA10" i="9"/>
  <c r="AB10" i="9"/>
  <c r="AB4" i="9"/>
  <c r="AA4" i="9"/>
  <c r="AB9" i="9"/>
  <c r="AA9" i="9"/>
  <c r="AB7" i="9"/>
  <c r="AA7" i="9"/>
  <c r="AA3" i="9"/>
  <c r="AB3" i="9"/>
  <c r="AB6" i="9"/>
  <c r="AA6" i="9"/>
  <c r="AB5" i="9"/>
  <c r="AA5" i="9"/>
  <c r="AB8" i="9"/>
  <c r="AA8" i="9"/>
  <c r="W6" i="9"/>
  <c r="W5" i="9"/>
  <c r="AB9" i="8"/>
  <c r="AA9" i="8"/>
  <c r="AB6" i="8"/>
  <c r="AA6" i="8"/>
  <c r="AB3" i="8"/>
  <c r="AA3" i="8"/>
  <c r="AB4" i="8"/>
  <c r="AA4" i="8"/>
  <c r="AB10" i="8"/>
  <c r="AA10" i="8"/>
  <c r="AB5" i="8"/>
  <c r="AA5" i="8"/>
  <c r="AB8" i="8"/>
  <c r="AA8" i="8"/>
  <c r="AB2" i="8"/>
  <c r="AA2" i="8"/>
  <c r="W5" i="8"/>
  <c r="O4" i="7"/>
  <c r="I8" i="7"/>
  <c r="O7" i="7"/>
  <c r="O10" i="7"/>
  <c r="O9" i="7"/>
  <c r="O6" i="7"/>
  <c r="W5" i="6"/>
  <c r="W2" i="6"/>
  <c r="W3" i="6"/>
  <c r="H11" i="5"/>
  <c r="W5" i="5"/>
  <c r="H10" i="12"/>
  <c r="H11" i="6"/>
  <c r="L3" i="8"/>
  <c r="M3" i="8" s="1"/>
  <c r="O3" i="8" s="1"/>
  <c r="L16" i="8"/>
  <c r="O7" i="8"/>
  <c r="W3" i="8"/>
  <c r="F3" i="8"/>
  <c r="H3" i="8" s="1"/>
  <c r="F8" i="8"/>
  <c r="H8" i="8" s="1"/>
  <c r="L15" i="8"/>
  <c r="L17" i="8"/>
  <c r="O11" i="6"/>
  <c r="H10" i="15"/>
  <c r="O2" i="15"/>
  <c r="O10" i="15" s="1"/>
  <c r="W10" i="15"/>
  <c r="M32" i="15" s="1"/>
  <c r="H11" i="11"/>
  <c r="W2" i="14"/>
  <c r="W4" i="14"/>
  <c r="W9" i="14"/>
  <c r="W7" i="14"/>
  <c r="W6" i="14"/>
  <c r="O11" i="14"/>
  <c r="N30" i="14" s="1"/>
  <c r="N19" i="14" s="1"/>
  <c r="H11" i="14"/>
  <c r="N29" i="14" s="1"/>
  <c r="N18" i="14" s="1"/>
  <c r="J20" i="14"/>
  <c r="W9" i="13"/>
  <c r="W4" i="13"/>
  <c r="W8" i="13"/>
  <c r="W3" i="13"/>
  <c r="J19" i="13"/>
  <c r="L9" i="13"/>
  <c r="M9" i="13" s="1"/>
  <c r="O9" i="13" s="1"/>
  <c r="O10" i="13" s="1"/>
  <c r="P29" i="13" s="1"/>
  <c r="P20" i="13" s="1"/>
  <c r="J17" i="12"/>
  <c r="H11" i="10"/>
  <c r="W2" i="10"/>
  <c r="W10" i="10"/>
  <c r="W9" i="10"/>
  <c r="O11" i="10"/>
  <c r="H11" i="9"/>
  <c r="I2" i="9"/>
  <c r="R2" i="9"/>
  <c r="W3" i="9"/>
  <c r="O11" i="9"/>
  <c r="W4" i="9"/>
  <c r="W7" i="9"/>
  <c r="W8" i="9"/>
  <c r="W10" i="9"/>
  <c r="L8" i="8"/>
  <c r="M8" i="8" s="1"/>
  <c r="O8" i="8" s="1"/>
  <c r="W10" i="8"/>
  <c r="W8" i="8"/>
  <c r="H2" i="8"/>
  <c r="F7" i="8"/>
  <c r="H7" i="8" s="1"/>
  <c r="R7" i="8"/>
  <c r="W9" i="8"/>
  <c r="W2" i="8"/>
  <c r="W4" i="8"/>
  <c r="W6" i="8"/>
  <c r="I2" i="7"/>
  <c r="M8" i="7"/>
  <c r="O8" i="7" s="1"/>
  <c r="M2" i="7"/>
  <c r="O2" i="7" s="1"/>
  <c r="F8" i="7"/>
  <c r="H8" i="7" s="1"/>
  <c r="H11" i="7" s="1"/>
  <c r="W10" i="7"/>
  <c r="W4" i="7"/>
  <c r="W2" i="7"/>
  <c r="W6" i="7"/>
  <c r="W7" i="7"/>
  <c r="W8" i="7"/>
  <c r="W3" i="7"/>
  <c r="W5" i="7"/>
  <c r="W9" i="7"/>
  <c r="M31" i="15" l="1"/>
  <c r="M21" i="15" s="1"/>
  <c r="N31" i="15"/>
  <c r="M30" i="15"/>
  <c r="M20" i="15" s="1"/>
  <c r="N30" i="15"/>
  <c r="AB10" i="15"/>
  <c r="N32" i="15" s="1"/>
  <c r="AA10" i="15"/>
  <c r="AA11" i="14"/>
  <c r="AB11" i="14"/>
  <c r="AB10" i="13"/>
  <c r="P19" i="13"/>
  <c r="P31" i="12"/>
  <c r="Q31" i="12"/>
  <c r="P32" i="12"/>
  <c r="P20" i="12" s="1"/>
  <c r="N29" i="16" s="1"/>
  <c r="Q32" i="12"/>
  <c r="AB10" i="12"/>
  <c r="Q33" i="12" s="1"/>
  <c r="J19" i="12"/>
  <c r="W10" i="12"/>
  <c r="P33" i="12" s="1"/>
  <c r="P21" i="12" s="1"/>
  <c r="N30" i="16" s="1"/>
  <c r="AB11" i="11"/>
  <c r="W11" i="11"/>
  <c r="P38" i="11"/>
  <c r="P23" i="11" s="1"/>
  <c r="M33" i="15"/>
  <c r="M23" i="15" s="1"/>
  <c r="M22" i="15"/>
  <c r="Q30" i="16" s="1"/>
  <c r="M34" i="15"/>
  <c r="M24" i="15" s="1"/>
  <c r="P19" i="12"/>
  <c r="P34" i="12"/>
  <c r="P22" i="12" s="1"/>
  <c r="P21" i="11"/>
  <c r="N46" i="10"/>
  <c r="M46" i="10"/>
  <c r="O46" i="10"/>
  <c r="M43" i="9"/>
  <c r="O43" i="9"/>
  <c r="N43" i="9"/>
  <c r="L20" i="8"/>
  <c r="AA11" i="7"/>
  <c r="AA11" i="3"/>
  <c r="H13" i="16"/>
  <c r="H28" i="16"/>
  <c r="Q28" i="16"/>
  <c r="P28" i="16"/>
  <c r="O28" i="16"/>
  <c r="AB11" i="7"/>
  <c r="I28" i="16"/>
  <c r="I13" i="16"/>
  <c r="G28" i="16"/>
  <c r="G13" i="16"/>
  <c r="AA11" i="5"/>
  <c r="G15" i="16" s="1"/>
  <c r="AB11" i="5"/>
  <c r="AB11" i="3"/>
  <c r="Q29" i="16"/>
  <c r="P29" i="16"/>
  <c r="O29" i="16"/>
  <c r="M29" i="16"/>
  <c r="O11" i="7"/>
  <c r="G14" i="16"/>
  <c r="G30" i="16"/>
  <c r="M14" i="5"/>
  <c r="L29" i="16"/>
  <c r="L14" i="16"/>
  <c r="AB11" i="10"/>
  <c r="AA11" i="10"/>
  <c r="K29" i="16"/>
  <c r="K14" i="16"/>
  <c r="W10" i="13"/>
  <c r="P30" i="13" s="1"/>
  <c r="P21" i="13" s="1"/>
  <c r="AA11" i="6"/>
  <c r="H14" i="16"/>
  <c r="W11" i="6"/>
  <c r="H30" i="16" s="1"/>
  <c r="AB11" i="6"/>
  <c r="W2" i="9"/>
  <c r="W11" i="9" s="1"/>
  <c r="AB2" i="9"/>
  <c r="AB11" i="9" s="1"/>
  <c r="AA2" i="9"/>
  <c r="AA11" i="9" s="1"/>
  <c r="O11" i="8"/>
  <c r="W7" i="8"/>
  <c r="W11" i="8" s="1"/>
  <c r="AB7" i="8"/>
  <c r="AB11" i="8" s="1"/>
  <c r="AA7" i="8"/>
  <c r="AA11" i="8" s="1"/>
  <c r="M16" i="15"/>
  <c r="P16" i="11"/>
  <c r="H29" i="16"/>
  <c r="W11" i="14"/>
  <c r="N31" i="14" s="1"/>
  <c r="N20" i="14" s="1"/>
  <c r="W11" i="10"/>
  <c r="M15" i="10" s="1"/>
  <c r="H11" i="8"/>
  <c r="W11" i="7"/>
  <c r="N34" i="15" l="1"/>
  <c r="N33" i="15"/>
  <c r="Q35" i="12"/>
  <c r="Q23" i="12" s="1"/>
  <c r="N17" i="16" s="1"/>
  <c r="Q21" i="12"/>
  <c r="P31" i="13"/>
  <c r="P22" i="13" s="1"/>
  <c r="O31" i="16" s="1"/>
  <c r="P32" i="13"/>
  <c r="P23" i="13" s="1"/>
  <c r="Q34" i="12"/>
  <c r="Q22" i="12" s="1"/>
  <c r="N16" i="16" s="1"/>
  <c r="M16" i="12"/>
  <c r="P35" i="12"/>
  <c r="P23" i="12" s="1"/>
  <c r="P39" i="11"/>
  <c r="P24" i="11" s="1"/>
  <c r="M30" i="16"/>
  <c r="P40" i="11"/>
  <c r="P25" i="11" s="1"/>
  <c r="N32" i="14"/>
  <c r="N21" i="14" s="1"/>
  <c r="N33" i="14"/>
  <c r="N22" i="14" s="1"/>
  <c r="O33" i="10"/>
  <c r="O49" i="10"/>
  <c r="O36" i="10" s="1"/>
  <c r="O50" i="10"/>
  <c r="O37" i="10" s="1"/>
  <c r="M50" i="10"/>
  <c r="M37" i="10" s="1"/>
  <c r="M33" i="10"/>
  <c r="L28" i="16" s="1"/>
  <c r="M49" i="10"/>
  <c r="M36" i="10" s="1"/>
  <c r="N49" i="10"/>
  <c r="N36" i="10" s="1"/>
  <c r="N33" i="10"/>
  <c r="L13" i="16" s="1"/>
  <c r="N50" i="10"/>
  <c r="N37" i="10" s="1"/>
  <c r="N32" i="9"/>
  <c r="K13" i="16" s="1"/>
  <c r="N46" i="9"/>
  <c r="N35" i="9" s="1"/>
  <c r="N47" i="9"/>
  <c r="N36" i="9" s="1"/>
  <c r="O32" i="9"/>
  <c r="O46" i="9"/>
  <c r="O35" i="9" s="1"/>
  <c r="O47" i="9"/>
  <c r="O36" i="9" s="1"/>
  <c r="M47" i="9"/>
  <c r="M36" i="9" s="1"/>
  <c r="M32" i="9"/>
  <c r="M46" i="9"/>
  <c r="M35" i="9" s="1"/>
  <c r="M16" i="13"/>
  <c r="O30" i="16"/>
  <c r="N28" i="16"/>
  <c r="M28" i="16"/>
  <c r="Q14" i="6"/>
  <c r="J13" i="16"/>
  <c r="I29" i="16"/>
  <c r="I14" i="16"/>
  <c r="G17" i="16"/>
  <c r="G16" i="16"/>
  <c r="M25" i="15"/>
  <c r="Q31" i="16"/>
  <c r="Q32" i="16"/>
  <c r="P16" i="14"/>
  <c r="J30" i="16"/>
  <c r="G32" i="16"/>
  <c r="G31" i="16"/>
  <c r="G33" i="16" s="1"/>
  <c r="J29" i="16"/>
  <c r="J14" i="16"/>
  <c r="H31" i="16"/>
  <c r="J28" i="16"/>
  <c r="Q24" i="12" l="1"/>
  <c r="N15" i="16"/>
  <c r="G18" i="16"/>
  <c r="K28" i="16"/>
  <c r="M37" i="9"/>
  <c r="Q18" i="16"/>
  <c r="H32" i="16"/>
  <c r="H33" i="16" s="1"/>
  <c r="P39" i="5"/>
  <c r="J53" i="16"/>
  <c r="O38" i="10"/>
  <c r="O39" i="5"/>
  <c r="N43" i="16"/>
  <c r="P24" i="13"/>
  <c r="O32" i="16"/>
  <c r="J43" i="16"/>
  <c r="Q33" i="16"/>
  <c r="N53" i="16"/>
  <c r="P30" i="16"/>
  <c r="N31" i="16"/>
  <c r="N32" i="16"/>
  <c r="M32" i="16"/>
  <c r="P26" i="11"/>
  <c r="M31" i="16"/>
  <c r="L32" i="16"/>
  <c r="L30" i="16"/>
  <c r="L15" i="16"/>
  <c r="N39" i="5"/>
  <c r="L17" i="16"/>
  <c r="L16" i="16"/>
  <c r="P24" i="12"/>
  <c r="J32" i="16"/>
  <c r="N26" i="6"/>
  <c r="O32" i="6" s="1"/>
  <c r="O23" i="6" s="1"/>
  <c r="H15" i="16" s="1"/>
  <c r="N38" i="10" l="1"/>
  <c r="J31" i="16"/>
  <c r="J46" i="16" s="1"/>
  <c r="Q37" i="8"/>
  <c r="Q26" i="8" s="1"/>
  <c r="J15" i="16" s="1"/>
  <c r="J44" i="16"/>
  <c r="O33" i="6"/>
  <c r="O24" i="6" s="1"/>
  <c r="H16" i="16" s="1"/>
  <c r="O34" i="6"/>
  <c r="O25" i="6" s="1"/>
  <c r="H17" i="16" s="1"/>
  <c r="N51" i="16"/>
  <c r="O18" i="16"/>
  <c r="J51" i="16"/>
  <c r="O33" i="16"/>
  <c r="N23" i="14"/>
  <c r="P31" i="16"/>
  <c r="P32" i="16"/>
  <c r="J50" i="16"/>
  <c r="N33" i="16"/>
  <c r="N18" i="16"/>
  <c r="N50" i="16"/>
  <c r="M18" i="16"/>
  <c r="N49" i="16"/>
  <c r="J49" i="16"/>
  <c r="M33" i="16"/>
  <c r="N48" i="16"/>
  <c r="L18" i="16"/>
  <c r="M38" i="10"/>
  <c r="L31" i="16"/>
  <c r="J48" i="16" s="1"/>
  <c r="P29" i="8"/>
  <c r="H21" i="3"/>
  <c r="H22" i="3"/>
  <c r="G21" i="3"/>
  <c r="G22" i="3"/>
  <c r="G20" i="3"/>
  <c r="H20" i="3" s="1"/>
  <c r="O26" i="6" l="1"/>
  <c r="P32" i="6" s="1"/>
  <c r="P23" i="6" s="1"/>
  <c r="N52" i="16"/>
  <c r="J33" i="16"/>
  <c r="Q38" i="8"/>
  <c r="Q27" i="8" s="1"/>
  <c r="Q39" i="8"/>
  <c r="Q28" i="8" s="1"/>
  <c r="J17" i="16" s="1"/>
  <c r="P33" i="16"/>
  <c r="J52" i="16"/>
  <c r="P18" i="16"/>
  <c r="N44" i="16"/>
  <c r="H18" i="16"/>
  <c r="L33" i="16"/>
  <c r="I20" i="7"/>
  <c r="I23" i="9"/>
  <c r="I22" i="7"/>
  <c r="I21" i="7"/>
  <c r="B17" i="3"/>
  <c r="B22" i="3" s="1"/>
  <c r="I22" i="3" s="1"/>
  <c r="B16" i="3"/>
  <c r="B21" i="3" s="1"/>
  <c r="I21" i="3" s="1"/>
  <c r="B15" i="3"/>
  <c r="B20" i="3" s="1"/>
  <c r="I20" i="3" s="1"/>
  <c r="B17" i="2"/>
  <c r="B16" i="2"/>
  <c r="B15" i="2"/>
  <c r="M10" i="3"/>
  <c r="M9" i="3"/>
  <c r="M8" i="3"/>
  <c r="O8" i="3" s="1"/>
  <c r="M7" i="3"/>
  <c r="O7" i="3" s="1"/>
  <c r="M6" i="3"/>
  <c r="M5" i="3"/>
  <c r="O5" i="3" s="1"/>
  <c r="M3" i="3"/>
  <c r="L2" i="3"/>
  <c r="M2" i="3" s="1"/>
  <c r="O2" i="3" s="1"/>
  <c r="V3" i="3"/>
  <c r="V4" i="3"/>
  <c r="V5" i="3"/>
  <c r="V6" i="3"/>
  <c r="V7" i="3"/>
  <c r="V8" i="3"/>
  <c r="V9" i="3"/>
  <c r="V10" i="3"/>
  <c r="V2" i="3"/>
  <c r="S3" i="3"/>
  <c r="T3" i="3" s="1"/>
  <c r="S4" i="3"/>
  <c r="T4" i="3" s="1"/>
  <c r="S5" i="3"/>
  <c r="T5" i="3" s="1"/>
  <c r="S6" i="3"/>
  <c r="T6" i="3" s="1"/>
  <c r="S7" i="3"/>
  <c r="T7" i="3" s="1"/>
  <c r="W7" i="3" s="1"/>
  <c r="S8" i="3"/>
  <c r="T8" i="3" s="1"/>
  <c r="W8" i="3" s="1"/>
  <c r="S9" i="3"/>
  <c r="T9" i="3" s="1"/>
  <c r="W9" i="3" s="1"/>
  <c r="S10" i="3"/>
  <c r="T10" i="3" s="1"/>
  <c r="S2" i="3"/>
  <c r="T2" i="3" s="1"/>
  <c r="M4" i="3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K17" i="2"/>
  <c r="I16" i="2"/>
  <c r="K16" i="2" s="1"/>
  <c r="I17" i="2"/>
  <c r="I15" i="2"/>
  <c r="K15" i="2" s="1"/>
  <c r="H16" i="2"/>
  <c r="H17" i="2"/>
  <c r="J17" i="2" s="1"/>
  <c r="H15" i="2"/>
  <c r="J15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P33" i="6" l="1"/>
  <c r="P24" i="6" s="1"/>
  <c r="P34" i="6"/>
  <c r="P25" i="6" s="1"/>
  <c r="J16" i="16"/>
  <c r="R37" i="8"/>
  <c r="Q29" i="8"/>
  <c r="P15" i="2"/>
  <c r="Q15" i="2"/>
  <c r="L17" i="2"/>
  <c r="P17" i="2"/>
  <c r="Q17" i="2"/>
  <c r="L15" i="2"/>
  <c r="P16" i="2"/>
  <c r="Q16" i="2"/>
  <c r="L16" i="2"/>
  <c r="AB6" i="2"/>
  <c r="AA6" i="2"/>
  <c r="AA11" i="2" s="1"/>
  <c r="AB5" i="2"/>
  <c r="AA5" i="2"/>
  <c r="AA2" i="2"/>
  <c r="AB2" i="2"/>
  <c r="AA3" i="2"/>
  <c r="AB3" i="2"/>
  <c r="AB8" i="2"/>
  <c r="AA8" i="2"/>
  <c r="AA4" i="2"/>
  <c r="AB4" i="2"/>
  <c r="AB10" i="2"/>
  <c r="AA10" i="2"/>
  <c r="AB9" i="2"/>
  <c r="AA9" i="2"/>
  <c r="AB7" i="2"/>
  <c r="AA7" i="2"/>
  <c r="W10" i="3"/>
  <c r="K30" i="16"/>
  <c r="G31" i="9"/>
  <c r="W5" i="3"/>
  <c r="I23" i="3"/>
  <c r="I23" i="7"/>
  <c r="O3" i="3"/>
  <c r="W4" i="3"/>
  <c r="O8" i="2"/>
  <c r="H2" i="2"/>
  <c r="H11" i="2" s="1"/>
  <c r="W2" i="3"/>
  <c r="W3" i="3"/>
  <c r="O9" i="3"/>
  <c r="H11" i="3"/>
  <c r="W6" i="3"/>
  <c r="O6" i="3"/>
  <c r="O10" i="3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P26" i="6" l="1"/>
  <c r="R26" i="8"/>
  <c r="R39" i="8"/>
  <c r="R28" i="8" s="1"/>
  <c r="R38" i="8"/>
  <c r="R27" i="8" s="1"/>
  <c r="N46" i="16"/>
  <c r="J18" i="16"/>
  <c r="O37" i="9"/>
  <c r="K15" i="16"/>
  <c r="K17" i="16"/>
  <c r="K16" i="16"/>
  <c r="L20" i="2"/>
  <c r="W11" i="2" s="1"/>
  <c r="I38" i="2" s="1"/>
  <c r="I28" i="2" s="1"/>
  <c r="K36" i="2"/>
  <c r="I36" i="2"/>
  <c r="J36" i="2"/>
  <c r="AB11" i="2"/>
  <c r="F28" i="16"/>
  <c r="F13" i="16"/>
  <c r="I30" i="16"/>
  <c r="M15" i="7"/>
  <c r="K32" i="16"/>
  <c r="K31" i="16"/>
  <c r="K33" i="16" s="1"/>
  <c r="O11" i="3"/>
  <c r="W11" i="3"/>
  <c r="O11" i="2"/>
  <c r="R29" i="8" l="1"/>
  <c r="K18" i="16"/>
  <c r="N37" i="9"/>
  <c r="N47" i="16"/>
  <c r="J47" i="16"/>
  <c r="I15" i="16"/>
  <c r="I16" i="16"/>
  <c r="I17" i="16"/>
  <c r="N45" i="16" s="1"/>
  <c r="K37" i="2"/>
  <c r="K27" i="2" s="1"/>
  <c r="I37" i="2"/>
  <c r="I27" i="2" s="1"/>
  <c r="E29" i="16" s="1"/>
  <c r="J37" i="2"/>
  <c r="J27" i="2" s="1"/>
  <c r="E14" i="16" s="1"/>
  <c r="I26" i="2"/>
  <c r="E28" i="16" s="1"/>
  <c r="K38" i="2"/>
  <c r="K28" i="2" s="1"/>
  <c r="J26" i="2"/>
  <c r="E13" i="16" s="1"/>
  <c r="K26" i="2"/>
  <c r="J38" i="2"/>
  <c r="J28" i="2" s="1"/>
  <c r="E15" i="16" s="1"/>
  <c r="F15" i="16"/>
  <c r="F30" i="16"/>
  <c r="F29" i="16"/>
  <c r="F14" i="16"/>
  <c r="I31" i="16"/>
  <c r="I32" i="16"/>
  <c r="M18" i="3"/>
  <c r="Q28" i="2"/>
  <c r="I18" i="16" l="1"/>
  <c r="O41" i="7"/>
  <c r="N41" i="7"/>
  <c r="J40" i="2"/>
  <c r="J30" i="2" s="1"/>
  <c r="E17" i="16" s="1"/>
  <c r="J39" i="2"/>
  <c r="J29" i="2" s="1"/>
  <c r="E16" i="16" s="1"/>
  <c r="I40" i="2"/>
  <c r="I30" i="2" s="1"/>
  <c r="K39" i="2"/>
  <c r="K29" i="2" s="1"/>
  <c r="K40" i="2"/>
  <c r="K30" i="2" s="1"/>
  <c r="I39" i="2"/>
  <c r="I29" i="2" s="1"/>
  <c r="E31" i="16" s="1"/>
  <c r="J45" i="16"/>
  <c r="I33" i="16"/>
  <c r="E30" i="16"/>
  <c r="F17" i="16"/>
  <c r="M41" i="7"/>
  <c r="F32" i="16"/>
  <c r="F31" i="16" l="1"/>
  <c r="F33" i="16" s="1"/>
  <c r="E18" i="16"/>
  <c r="O31" i="3"/>
  <c r="F16" i="16"/>
  <c r="N42" i="16" s="1"/>
  <c r="I31" i="2"/>
  <c r="E32" i="16"/>
  <c r="E33" i="16" s="1"/>
  <c r="J31" i="2"/>
  <c r="N41" i="16"/>
  <c r="K31" i="2"/>
  <c r="N31" i="3"/>
  <c r="P37" i="3" s="1"/>
  <c r="P28" i="3" s="1"/>
  <c r="J42" i="16" l="1"/>
  <c r="P38" i="3"/>
  <c r="P29" i="3" s="1"/>
  <c r="P39" i="3"/>
  <c r="P30" i="3" s="1"/>
  <c r="J41" i="16"/>
  <c r="F18" i="16"/>
  <c r="P31" i="3" l="1"/>
</calcChain>
</file>

<file path=xl/sharedStrings.xml><?xml version="1.0" encoding="utf-8"?>
<sst xmlns="http://schemas.openxmlformats.org/spreadsheetml/2006/main" count="1133" uniqueCount="134">
  <si>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</si>
  <si>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</si>
  <si>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</si>
  <si>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</si>
  <si>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</si>
  <si>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</si>
  <si>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</si>
  <si>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</si>
  <si>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</si>
  <si>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</si>
  <si>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</si>
  <si>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</si>
  <si>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</si>
  <si>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</si>
  <si>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</si>
  <si>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</si>
  <si>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</si>
  <si>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</si>
  <si>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</si>
  <si>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</si>
  <si>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</si>
  <si>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</si>
  <si>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</si>
  <si>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</si>
  <si>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</si>
  <si>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</si>
  <si>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</si>
  <si>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</si>
  <si>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</si>
  <si>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</si>
  <si>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</si>
  <si>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</si>
  <si>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Business</t>
  </si>
  <si>
    <t>FM Penalty ITS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</si>
  <si>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</si>
  <si>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</si>
  <si>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</si>
  <si>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</si>
  <si>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</si>
  <si>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</si>
  <si>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</si>
  <si>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</si>
  <si>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</si>
  <si>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</si>
  <si>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</si>
  <si>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</si>
  <si>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</si>
  <si>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</si>
  <si>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</si>
  <si>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</si>
  <si>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</si>
  <si>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</si>
  <si>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</si>
  <si>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</si>
  <si>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</si>
  <si>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</si>
  <si>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</si>
  <si>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</si>
  <si>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</si>
  <si>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</si>
  <si>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</si>
  <si>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</si>
  <si>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</si>
  <si>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</si>
  <si>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</si>
  <si>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</si>
  <si>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</si>
  <si>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</si>
  <si>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</si>
  <si>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</si>
  <si>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</si>
  <si>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</si>
  <si>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</si>
  <si>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</si>
  <si>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</si>
  <si>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</si>
  <si>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</si>
  <si>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</si>
  <si>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</si>
  <si>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</si>
  <si>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GPON OLT Card(6*10Gbps)</t>
  </si>
  <si>
    <t>1:4 Power Splitter</t>
  </si>
  <si>
    <t>1:6 Mini DSLAM+Cabinet</t>
  </si>
  <si>
    <t>NIL</t>
  </si>
  <si>
    <t>EDFA</t>
  </si>
  <si>
    <t>1:4 Mini DSLAM+Cabinet</t>
  </si>
  <si>
    <t>HybridPON ONT</t>
  </si>
  <si>
    <t>1:16 DSLAM</t>
  </si>
  <si>
    <t>Buildings</t>
  </si>
  <si>
    <t>1:16 Power Splitter</t>
  </si>
  <si>
    <t>1:6 Mini DSLAM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</si>
  <si>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</si>
  <si>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</si>
  <si>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</si>
  <si>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</si>
  <si>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</si>
  <si>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</si>
  <si>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</si>
  <si>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</si>
  <si>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</si>
  <si>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FTTB_DWDM_50</t>
  </si>
  <si>
    <t>FTTH_DWDM_100</t>
  </si>
  <si>
    <t>FTTH_XGPON_100</t>
  </si>
  <si>
    <t>FTTC_GPON_100</t>
  </si>
  <si>
    <t>FTTB_XGPON_100</t>
  </si>
  <si>
    <t>FTTC_Hybridpon_25</t>
  </si>
  <si>
    <t>FTTB_DWDM_100</t>
  </si>
  <si>
    <t>FTTB_Hybridpon_50</t>
  </si>
  <si>
    <t>FTTH_Hybridpon_100</t>
  </si>
  <si>
    <t>FTTB_Hybridpon_100</t>
  </si>
  <si>
    <t>FTTC_Hybridpon_100</t>
  </si>
  <si>
    <t>SLA CU per hour</t>
  </si>
  <si>
    <t>Residential</t>
  </si>
  <si>
    <t>Business</t>
  </si>
  <si>
    <t>ITS</t>
  </si>
  <si>
    <t>Percentage of Business Users</t>
  </si>
  <si>
    <t>Percentage of ITS and business users</t>
  </si>
  <si>
    <t>Percentage of business users</t>
  </si>
  <si>
    <t>Percentage of ITS users</t>
  </si>
  <si>
    <t>FM Fiber penalty business</t>
  </si>
  <si>
    <t>FM Fiber penalty business its</t>
  </si>
  <si>
    <t>Business ITS</t>
  </si>
  <si>
    <t>Component_business</t>
  </si>
  <si>
    <t>Residential Cost</t>
  </si>
  <si>
    <t>Business Cost</t>
  </si>
  <si>
    <t>ITS cost</t>
  </si>
  <si>
    <t>RESIDENTIAL_T</t>
  </si>
  <si>
    <t>BUSINESS_T</t>
  </si>
  <si>
    <t>Total Sub</t>
  </si>
  <si>
    <t>Total sub</t>
  </si>
  <si>
    <t>No of Subscribers</t>
  </si>
  <si>
    <t>total sub</t>
  </si>
  <si>
    <t>TotalSub</t>
  </si>
  <si>
    <t>Cost 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</si>
</sst>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5" fillId="5" borderId="4" xfId="0" applyFont="1" applyFill="1" applyBorder="1"/>
    <xf numFmtId="0" fontId="6" fillId="5" borderId="10" xfId="0" applyFont="1" applyFill="1" applyBorder="1"/>
    <xf numFmtId="0" fontId="7" fillId="6" borderId="0" xfId="0" applyFont="1" applyFill="1"/>
    <xf numFmtId="0" fontId="5" fillId="0" borderId="0" xfId="0" applyFont="1"/>
    <xf numFmtId="0" fontId="8" fillId="0" borderId="9" xfId="0" applyFont="1" applyBorder="1"/>
    <xf numFmtId="0" fontId="8" fillId="0" borderId="8" xfId="0" applyFont="1" applyBorder="1"/>
    <xf numFmtId="0" fontId="6" fillId="0" borderId="8" xfId="0" applyFont="1" applyBorder="1"/>
    <xf numFmtId="0" fontId="0" fillId="5" borderId="11" xfId="0" applyFont="1" applyFill="1" applyBorder="1"/>
    <xf numFmtId="0" fontId="0" fillId="5" borderId="2" xfId="0" applyFont="1" applyFill="1" applyBorder="1"/>
    <xf numFmtId="0" fontId="0" fillId="0" borderId="11" xfId="0" applyFont="1" applyBorder="1"/>
    <xf numFmtId="0" fontId="0" fillId="0" borderId="2" xfId="0" applyFont="1" applyBorder="1"/>
    <xf numFmtId="0" fontId="8" fillId="5" borderId="8" xfId="0" applyFont="1" applyFill="1" applyBorder="1"/>
    <xf numFmtId="0" fontId="6" fillId="5" borderId="8" xfId="0" applyFont="1" applyFill="1" applyBorder="1"/>
    <xf numFmtId="0" fontId="9" fillId="0" borderId="0" xfId="4"/>
    <xf numFmtId="0" fontId="4" fillId="4" borderId="11" xfId="0" applyFont="1" applyFill="1" applyBorder="1"/>
    <xf numFmtId="0" fontId="4" fillId="4" borderId="4" xfId="0" applyFont="1" applyFill="1" applyBorder="1"/>
  </cellXfs>
  <cellStyles count="5">
    <cellStyle name="Good" xfId="1" builtinId="26"/>
    <cellStyle name="Hyperlink" xfId="4" builtinId="8"/>
    <cellStyle name="Input" xfId="2" builtinId="20"/>
    <cellStyle name="Normal" xfId="0" builtinId="0"/>
    <cellStyle name="Standard 2" xfId="3"/>
  </cellStyles>
  <dxfs count="2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00512"/>
        <c:axId val="168486592"/>
      </c:barChart>
      <c:catAx>
        <c:axId val="19360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86592"/>
        <c:crosses val="autoZero"/>
        <c:auto val="1"/>
        <c:lblAlgn val="ctr"/>
        <c:lblOffset val="100"/>
        <c:noMultiLvlLbl val="0"/>
      </c:catAx>
      <c:valAx>
        <c:axId val="1684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</a:t>
            </a:r>
            <a:r>
              <a:rPr lang="en-US" baseline="0"/>
              <a:t> Year OPEX for different Technologies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0.55416719442685236</c:v>
                </c:pt>
                <c:pt idx="1">
                  <c:v>0.34059531348955036</c:v>
                </c:pt>
                <c:pt idx="2">
                  <c:v>0.35486067131095628</c:v>
                </c:pt>
                <c:pt idx="3">
                  <c:v>0.10153578214059532</c:v>
                </c:pt>
                <c:pt idx="4">
                  <c:v>0.46119062697910068</c:v>
                </c:pt>
                <c:pt idx="5">
                  <c:v>0.33727042431918935</c:v>
                </c:pt>
                <c:pt idx="6">
                  <c:v>0.61070297656744776</c:v>
                </c:pt>
                <c:pt idx="7">
                  <c:v>0.72986067131095633</c:v>
                </c:pt>
                <c:pt idx="8">
                  <c:v>0.37861937935402151</c:v>
                </c:pt>
                <c:pt idx="9">
                  <c:v>0.3540215326155795</c:v>
                </c:pt>
                <c:pt idx="10">
                  <c:v>0.38432552248258389</c:v>
                </c:pt>
                <c:pt idx="11">
                  <c:v>0.59062697910069661</c:v>
                </c:pt>
                <c:pt idx="12">
                  <c:v>0.20139328689043698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2.2699037935402157E-2</c:v>
                </c:pt>
                <c:pt idx="1">
                  <c:v>0.19196466497783404</c:v>
                </c:pt>
                <c:pt idx="2">
                  <c:v>0.18482545915136164</c:v>
                </c:pt>
                <c:pt idx="3">
                  <c:v>0.17011681443951868</c:v>
                </c:pt>
                <c:pt idx="4">
                  <c:v>4.5651305889803678E-2</c:v>
                </c:pt>
                <c:pt idx="5">
                  <c:v>0.12751891500949969</c:v>
                </c:pt>
                <c:pt idx="6">
                  <c:v>0.38388772134262195</c:v>
                </c:pt>
                <c:pt idx="7">
                  <c:v>0.3696301139962001</c:v>
                </c:pt>
                <c:pt idx="8">
                  <c:v>4.5374608613046229E-2</c:v>
                </c:pt>
                <c:pt idx="9">
                  <c:v>0.18690588980367323</c:v>
                </c:pt>
                <c:pt idx="10">
                  <c:v>4.077644078530715E-3</c:v>
                </c:pt>
                <c:pt idx="11">
                  <c:v>0.11072135148828373</c:v>
                </c:pt>
                <c:pt idx="12">
                  <c:v>0.37356212792906907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1.918486906925004E-2</c:v>
                </c:pt>
                <c:pt idx="1">
                  <c:v>6.5355872863617881E-2</c:v>
                </c:pt>
                <c:pt idx="2">
                  <c:v>7.7738314882837237E-2</c:v>
                </c:pt>
                <c:pt idx="3">
                  <c:v>0.27765144547181764</c:v>
                </c:pt>
                <c:pt idx="4">
                  <c:v>7.2792340658644719E-2</c:v>
                </c:pt>
                <c:pt idx="5">
                  <c:v>8.2826908177546441E-2</c:v>
                </c:pt>
                <c:pt idx="6">
                  <c:v>0.15579780664977835</c:v>
                </c:pt>
                <c:pt idx="7">
                  <c:v>0.15547662976567447</c:v>
                </c:pt>
                <c:pt idx="8">
                  <c:v>5.5780221353388212E-2</c:v>
                </c:pt>
                <c:pt idx="9">
                  <c:v>7.8639942321089298E-2</c:v>
                </c:pt>
                <c:pt idx="10">
                  <c:v>0.28448462688410386</c:v>
                </c:pt>
                <c:pt idx="11">
                  <c:v>4.5243685170360988E-2</c:v>
                </c:pt>
                <c:pt idx="12">
                  <c:v>0.1572798846421786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2.980255507157523E-2</c:v>
                </c:pt>
                <c:pt idx="1">
                  <c:v>2.9895792566550117E-2</c:v>
                </c:pt>
                <c:pt idx="2">
                  <c:v>3.0871222267257761E-2</c:v>
                </c:pt>
                <c:pt idx="3">
                  <c:v>2.7465202102596585E-2</c:v>
                </c:pt>
                <c:pt idx="4">
                  <c:v>2.8981713676377457E-2</c:v>
                </c:pt>
                <c:pt idx="5">
                  <c:v>2.7380812375311776E-2</c:v>
                </c:pt>
                <c:pt idx="6">
                  <c:v>5.7519425227992402E-2</c:v>
                </c:pt>
                <c:pt idx="7">
                  <c:v>6.274837075364155E-2</c:v>
                </c:pt>
                <c:pt idx="8">
                  <c:v>2.39887104660228E-2</c:v>
                </c:pt>
                <c:pt idx="9">
                  <c:v>3.0978368237017103E-2</c:v>
                </c:pt>
                <c:pt idx="10">
                  <c:v>3.3644389672260931E-2</c:v>
                </c:pt>
                <c:pt idx="11">
                  <c:v>3.7329600787967071E-2</c:v>
                </c:pt>
                <c:pt idx="12">
                  <c:v>3.6611764973084229E-2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4.1723577100205321E-2</c:v>
                </c:pt>
                <c:pt idx="1">
                  <c:v>4.1854109593170173E-2</c:v>
                </c:pt>
                <c:pt idx="2">
                  <c:v>4.3219711174160867E-2</c:v>
                </c:pt>
                <c:pt idx="3">
                  <c:v>3.8451282943635215E-2</c:v>
                </c:pt>
                <c:pt idx="4">
                  <c:v>4.0574399146928439E-2</c:v>
                </c:pt>
                <c:pt idx="5">
                  <c:v>3.8333137325436493E-2</c:v>
                </c:pt>
                <c:pt idx="6">
                  <c:v>8.0527195319189365E-2</c:v>
                </c:pt>
                <c:pt idx="7">
                  <c:v>8.7847719055098181E-2</c:v>
                </c:pt>
                <c:pt idx="8">
                  <c:v>3.3584194652431926E-2</c:v>
                </c:pt>
                <c:pt idx="9">
                  <c:v>4.3369715531823949E-2</c:v>
                </c:pt>
                <c:pt idx="10">
                  <c:v>4.7102145541165305E-2</c:v>
                </c:pt>
                <c:pt idx="11">
                  <c:v>5.2261441103153908E-2</c:v>
                </c:pt>
                <c:pt idx="12">
                  <c:v>5.1256470962317925E-2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27216896"/>
        <c:axId val="169202752"/>
      </c:barChart>
      <c:catAx>
        <c:axId val="2272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Technology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202752"/>
        <c:crosses val="autoZero"/>
        <c:auto val="1"/>
        <c:lblAlgn val="ctr"/>
        <c:lblOffset val="100"/>
        <c:noMultiLvlLbl val="0"/>
      </c:catAx>
      <c:valAx>
        <c:axId val="1692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Cost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2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Per year OPEX of PON Technologies (New York</a:t>
            </a:r>
            <a:r>
              <a:rPr lang="de-DE" baseline="0"/>
              <a:t> Converged)</a:t>
            </a:r>
          </a:p>
        </c:rich>
      </c:tx>
      <c:layout>
        <c:manualLayout>
          <c:xMode val="edge"/>
          <c:yMode val="edge"/>
          <c:x val="0.20849159973102246"/>
          <c:y val="3.5437428314198285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OPEX!$D$13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OPEX!$E$13:$Q$13</c:f>
              <c:numCache>
                <c:formatCode>General</c:formatCode>
                <c:ptCount val="13"/>
                <c:pt idx="0">
                  <c:v>0.55416719442685236</c:v>
                </c:pt>
                <c:pt idx="1">
                  <c:v>0.34059531348955036</c:v>
                </c:pt>
                <c:pt idx="2">
                  <c:v>0.35486067131095628</c:v>
                </c:pt>
                <c:pt idx="3">
                  <c:v>0.10153578214059532</c:v>
                </c:pt>
                <c:pt idx="4">
                  <c:v>0.46119062697910068</c:v>
                </c:pt>
                <c:pt idx="5">
                  <c:v>0.33727042431918935</c:v>
                </c:pt>
                <c:pt idx="6">
                  <c:v>0.61070297656744776</c:v>
                </c:pt>
                <c:pt idx="7">
                  <c:v>0.72986067131095633</c:v>
                </c:pt>
                <c:pt idx="8">
                  <c:v>0.37861937935402151</c:v>
                </c:pt>
                <c:pt idx="9">
                  <c:v>0.3540215326155795</c:v>
                </c:pt>
                <c:pt idx="10">
                  <c:v>0.38432552248258389</c:v>
                </c:pt>
                <c:pt idx="11">
                  <c:v>0.59062697910069661</c:v>
                </c:pt>
                <c:pt idx="12">
                  <c:v>0.20139328689043698</c:v>
                </c:pt>
              </c:numCache>
            </c:numRef>
          </c:val>
        </c:ser>
        <c:ser>
          <c:idx val="1"/>
          <c:order val="1"/>
          <c:tx>
            <c:strRef>
              <c:f>OPEX!$D$14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OPEX!$E$14:$Q$14</c:f>
              <c:numCache>
                <c:formatCode>General</c:formatCode>
                <c:ptCount val="13"/>
                <c:pt idx="0">
                  <c:v>2.2699037935402157E-2</c:v>
                </c:pt>
                <c:pt idx="1">
                  <c:v>0.19196466497783404</c:v>
                </c:pt>
                <c:pt idx="2">
                  <c:v>0.18482545915136164</c:v>
                </c:pt>
                <c:pt idx="3">
                  <c:v>0.17011681443951868</c:v>
                </c:pt>
                <c:pt idx="4">
                  <c:v>4.5651305889803678E-2</c:v>
                </c:pt>
                <c:pt idx="5">
                  <c:v>0.12751891500949969</c:v>
                </c:pt>
                <c:pt idx="6">
                  <c:v>0.38388772134262195</c:v>
                </c:pt>
                <c:pt idx="7">
                  <c:v>0.3696301139962001</c:v>
                </c:pt>
                <c:pt idx="8">
                  <c:v>4.5374608613046229E-2</c:v>
                </c:pt>
                <c:pt idx="9">
                  <c:v>0.18690588980367323</c:v>
                </c:pt>
                <c:pt idx="10">
                  <c:v>4.077644078530715E-3</c:v>
                </c:pt>
                <c:pt idx="11">
                  <c:v>0.11072135148828373</c:v>
                </c:pt>
                <c:pt idx="12">
                  <c:v>0.37356212792906907</c:v>
                </c:pt>
              </c:numCache>
            </c:numRef>
          </c:val>
        </c:ser>
        <c:ser>
          <c:idx val="2"/>
          <c:order val="2"/>
          <c:tx>
            <c:strRef>
              <c:f>OPEX!$D$15</c:f>
              <c:strCache>
                <c:ptCount val="1"/>
                <c:pt idx="0">
                  <c:v>Fault Maintenance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OPEX!$E$15:$Q$15</c:f>
              <c:numCache>
                <c:formatCode>General</c:formatCode>
                <c:ptCount val="13"/>
                <c:pt idx="0">
                  <c:v>4.2420272485808506E-2</c:v>
                </c:pt>
                <c:pt idx="1">
                  <c:v>0.17441433751846275</c:v>
                </c:pt>
                <c:pt idx="2">
                  <c:v>9.5662567782592953E-2</c:v>
                </c:pt>
                <c:pt idx="3">
                  <c:v>0.67920163330966776</c:v>
                </c:pt>
                <c:pt idx="4">
                  <c:v>0.18664124981991936</c:v>
                </c:pt>
                <c:pt idx="5">
                  <c:v>0.19516351816424232</c:v>
                </c:pt>
                <c:pt idx="6">
                  <c:v>0.38006744229617018</c:v>
                </c:pt>
                <c:pt idx="7">
                  <c:v>0.37314391143761877</c:v>
                </c:pt>
                <c:pt idx="8">
                  <c:v>8.4106274882185209E-2</c:v>
                </c:pt>
                <c:pt idx="9">
                  <c:v>0.11677622153090741</c:v>
                </c:pt>
                <c:pt idx="10">
                  <c:v>0.40718190251240838</c:v>
                </c:pt>
                <c:pt idx="11">
                  <c:v>6.9843756025786977E-2</c:v>
                </c:pt>
                <c:pt idx="12">
                  <c:v>0.2277214521575002</c:v>
                </c:pt>
              </c:numCache>
            </c:numRef>
          </c:val>
        </c:ser>
        <c:ser>
          <c:idx val="3"/>
          <c:order val="3"/>
          <c:tx>
            <c:strRef>
              <c:f>OPEX!$D$16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OPEX!$E$16:$Q$16</c:f>
              <c:numCache>
                <c:formatCode>General</c:formatCode>
                <c:ptCount val="13"/>
                <c:pt idx="0">
                  <c:v>3.0964325242403157E-2</c:v>
                </c:pt>
                <c:pt idx="1">
                  <c:v>3.534871579929235E-2</c:v>
                </c:pt>
                <c:pt idx="2">
                  <c:v>3.1767434912245547E-2</c:v>
                </c:pt>
                <c:pt idx="3">
                  <c:v>4.754271149448909E-2</c:v>
                </c:pt>
                <c:pt idx="4">
                  <c:v>3.4674159134441183E-2</c:v>
                </c:pt>
                <c:pt idx="5">
                  <c:v>3.2997642874646564E-2</c:v>
                </c:pt>
                <c:pt idx="6">
                  <c:v>6.8732907010312011E-2</c:v>
                </c:pt>
                <c:pt idx="7">
                  <c:v>7.3631734837238769E-2</c:v>
                </c:pt>
                <c:pt idx="8">
                  <c:v>2.540501314246265E-2</c:v>
                </c:pt>
                <c:pt idx="9">
                  <c:v>3.2885182197508002E-2</c:v>
                </c:pt>
                <c:pt idx="10">
                  <c:v>3.9779253453676153E-2</c:v>
                </c:pt>
                <c:pt idx="11">
                  <c:v>3.8559604330738372E-2</c:v>
                </c:pt>
                <c:pt idx="12">
                  <c:v>4.0133843348850305E-2</c:v>
                </c:pt>
              </c:numCache>
            </c:numRef>
          </c:val>
        </c:ser>
        <c:ser>
          <c:idx val="4"/>
          <c:order val="4"/>
          <c:tx>
            <c:strRef>
              <c:f>OPEX!$D$17</c:f>
              <c:strCache>
                <c:ptCount val="1"/>
                <c:pt idx="0">
                  <c:v>Operations</c:v>
                </c:pt>
              </c:strCache>
            </c:strRef>
          </c:tx>
          <c:invertIfNegative val="0"/>
          <c:cat>
            <c:strRef>
              <c:f>OPEX!$E$12:$Q$12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OPEX!$E$17:$Q$17</c:f>
              <c:numCache>
                <c:formatCode>General</c:formatCode>
                <c:ptCount val="13"/>
                <c:pt idx="0">
                  <c:v>4.3350055339364417E-2</c:v>
                </c:pt>
                <c:pt idx="1">
                  <c:v>4.9488202119009297E-2</c:v>
                </c:pt>
                <c:pt idx="2">
                  <c:v>4.447440887714376E-2</c:v>
                </c:pt>
                <c:pt idx="3">
                  <c:v>6.6559796092284726E-2</c:v>
                </c:pt>
                <c:pt idx="4">
                  <c:v>4.8543822788217665E-2</c:v>
                </c:pt>
                <c:pt idx="5">
                  <c:v>4.6196700024505197E-2</c:v>
                </c:pt>
                <c:pt idx="6">
                  <c:v>9.6226069814436793E-2</c:v>
                </c:pt>
                <c:pt idx="7">
                  <c:v>0.10308442877213429</c:v>
                </c:pt>
                <c:pt idx="8">
                  <c:v>3.556701839944771E-2</c:v>
                </c:pt>
                <c:pt idx="9">
                  <c:v>4.6039255076511208E-2</c:v>
                </c:pt>
                <c:pt idx="10">
                  <c:v>5.5690954835146612E-2</c:v>
                </c:pt>
                <c:pt idx="11">
                  <c:v>5.3983446063033722E-2</c:v>
                </c:pt>
                <c:pt idx="12">
                  <c:v>5.6187380688390437E-2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23680"/>
        <c:axId val="231425728"/>
      </c:barChart>
      <c:catAx>
        <c:axId val="2332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25728"/>
        <c:crosses val="autoZero"/>
        <c:auto val="1"/>
        <c:lblAlgn val="ctr"/>
        <c:lblOffset val="100"/>
        <c:noMultiLvlLbl val="0"/>
      </c:catAx>
      <c:valAx>
        <c:axId val="23142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2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de-DE" sz="2000"/>
              <a:t>Per year Per subscriber OPEX of PON technologies (New York)</a:t>
            </a:r>
          </a:p>
        </c:rich>
      </c:tx>
      <c:layout>
        <c:manualLayout>
          <c:xMode val="edge"/>
          <c:yMode val="edge"/>
          <c:x val="0.19937239833493436"/>
          <c:y val="3.5687723984960576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0.55416719442685236</c:v>
                </c:pt>
                <c:pt idx="1">
                  <c:v>0.34059531348955036</c:v>
                </c:pt>
                <c:pt idx="2">
                  <c:v>0.35486067131095628</c:v>
                </c:pt>
                <c:pt idx="3">
                  <c:v>0.10153578214059532</c:v>
                </c:pt>
                <c:pt idx="4">
                  <c:v>0.46119062697910068</c:v>
                </c:pt>
                <c:pt idx="5">
                  <c:v>0.33727042431918935</c:v>
                </c:pt>
                <c:pt idx="6">
                  <c:v>0.61070297656744776</c:v>
                </c:pt>
                <c:pt idx="7">
                  <c:v>0.72986067131095633</c:v>
                </c:pt>
                <c:pt idx="8">
                  <c:v>0.37861937935402151</c:v>
                </c:pt>
                <c:pt idx="9">
                  <c:v>0.3540215326155795</c:v>
                </c:pt>
                <c:pt idx="10">
                  <c:v>0.38432552248258389</c:v>
                </c:pt>
                <c:pt idx="11">
                  <c:v>0.59062697910069661</c:v>
                </c:pt>
                <c:pt idx="12">
                  <c:v>0.20139328689043698</c:v>
                </c:pt>
              </c:numCache>
            </c:numRef>
          </c:val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2.2699037935402157E-2</c:v>
                </c:pt>
                <c:pt idx="1">
                  <c:v>0.19196466497783404</c:v>
                </c:pt>
                <c:pt idx="2">
                  <c:v>0.18482545915136164</c:v>
                </c:pt>
                <c:pt idx="3">
                  <c:v>0.17011681443951868</c:v>
                </c:pt>
                <c:pt idx="4">
                  <c:v>4.5651305889803678E-2</c:v>
                </c:pt>
                <c:pt idx="5">
                  <c:v>0.12751891500949969</c:v>
                </c:pt>
                <c:pt idx="6">
                  <c:v>0.38388772134262195</c:v>
                </c:pt>
                <c:pt idx="7">
                  <c:v>0.3696301139962001</c:v>
                </c:pt>
                <c:pt idx="8">
                  <c:v>4.5374608613046229E-2</c:v>
                </c:pt>
                <c:pt idx="9">
                  <c:v>0.18690588980367323</c:v>
                </c:pt>
                <c:pt idx="10">
                  <c:v>4.077644078530715E-3</c:v>
                </c:pt>
                <c:pt idx="11">
                  <c:v>0.11072135148828373</c:v>
                </c:pt>
                <c:pt idx="12">
                  <c:v>0.37356212792906907</c:v>
                </c:pt>
              </c:numCache>
            </c:numRef>
          </c:val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1.918486906925004E-2</c:v>
                </c:pt>
                <c:pt idx="1">
                  <c:v>6.5355872863617881E-2</c:v>
                </c:pt>
                <c:pt idx="2">
                  <c:v>7.7738314882837237E-2</c:v>
                </c:pt>
                <c:pt idx="3">
                  <c:v>0.27765144547181764</c:v>
                </c:pt>
                <c:pt idx="4">
                  <c:v>7.2792340658644719E-2</c:v>
                </c:pt>
                <c:pt idx="5">
                  <c:v>8.2826908177546441E-2</c:v>
                </c:pt>
                <c:pt idx="6">
                  <c:v>0.15579780664977835</c:v>
                </c:pt>
                <c:pt idx="7">
                  <c:v>0.15547662976567447</c:v>
                </c:pt>
                <c:pt idx="8">
                  <c:v>5.5780221353388212E-2</c:v>
                </c:pt>
                <c:pt idx="9">
                  <c:v>7.8639942321089298E-2</c:v>
                </c:pt>
                <c:pt idx="10">
                  <c:v>0.28448462688410386</c:v>
                </c:pt>
                <c:pt idx="11">
                  <c:v>4.5243685170360988E-2</c:v>
                </c:pt>
                <c:pt idx="12">
                  <c:v>0.1572798846421786</c:v>
                </c:pt>
              </c:numCache>
            </c:numRef>
          </c:val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2.980255507157523E-2</c:v>
                </c:pt>
                <c:pt idx="1">
                  <c:v>2.9895792566550117E-2</c:v>
                </c:pt>
                <c:pt idx="2">
                  <c:v>3.0871222267257761E-2</c:v>
                </c:pt>
                <c:pt idx="3">
                  <c:v>2.7465202102596585E-2</c:v>
                </c:pt>
                <c:pt idx="4">
                  <c:v>2.8981713676377457E-2</c:v>
                </c:pt>
                <c:pt idx="5">
                  <c:v>2.7380812375311776E-2</c:v>
                </c:pt>
                <c:pt idx="6">
                  <c:v>5.7519425227992402E-2</c:v>
                </c:pt>
                <c:pt idx="7">
                  <c:v>6.274837075364155E-2</c:v>
                </c:pt>
                <c:pt idx="8">
                  <c:v>2.39887104660228E-2</c:v>
                </c:pt>
                <c:pt idx="9">
                  <c:v>3.0978368237017103E-2</c:v>
                </c:pt>
                <c:pt idx="10">
                  <c:v>3.3644389672260931E-2</c:v>
                </c:pt>
                <c:pt idx="11">
                  <c:v>3.7329600787967071E-2</c:v>
                </c:pt>
                <c:pt idx="12">
                  <c:v>3.6611764973084229E-2</c:v>
                </c:pt>
              </c:numCache>
            </c:numRef>
          </c:val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4.1723577100205321E-2</c:v>
                </c:pt>
                <c:pt idx="1">
                  <c:v>4.1854109593170173E-2</c:v>
                </c:pt>
                <c:pt idx="2">
                  <c:v>4.3219711174160867E-2</c:v>
                </c:pt>
                <c:pt idx="3">
                  <c:v>3.8451282943635215E-2</c:v>
                </c:pt>
                <c:pt idx="4">
                  <c:v>4.0574399146928439E-2</c:v>
                </c:pt>
                <c:pt idx="5">
                  <c:v>3.8333137325436493E-2</c:v>
                </c:pt>
                <c:pt idx="6">
                  <c:v>8.0527195319189365E-2</c:v>
                </c:pt>
                <c:pt idx="7">
                  <c:v>8.7847719055098181E-2</c:v>
                </c:pt>
                <c:pt idx="8">
                  <c:v>3.3584194652431926E-2</c:v>
                </c:pt>
                <c:pt idx="9">
                  <c:v>4.3369715531823949E-2</c:v>
                </c:pt>
                <c:pt idx="10">
                  <c:v>4.7102145541165305E-2</c:v>
                </c:pt>
                <c:pt idx="11">
                  <c:v>5.2261441103153908E-2</c:v>
                </c:pt>
                <c:pt idx="12">
                  <c:v>5.1256470962317925E-2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45184"/>
        <c:axId val="169205056"/>
      </c:barChart>
      <c:catAx>
        <c:axId val="2284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05056"/>
        <c:crosses val="autoZero"/>
        <c:auto val="1"/>
        <c:lblAlgn val="ctr"/>
        <c:lblOffset val="100"/>
        <c:noMultiLvlLbl val="0"/>
      </c:catAx>
      <c:valAx>
        <c:axId val="16920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44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28574</xdr:rowOff>
    </xdr:from>
    <xdr:to>
      <xdr:col>10</xdr:col>
      <xdr:colOff>942975</xdr:colOff>
      <xdr:row>136</xdr:row>
      <xdr:rowOff>41909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781050</xdr:colOff>
      <xdr:row>7</xdr:row>
      <xdr:rowOff>123825</xdr:rowOff>
    </xdr:from>
    <xdr:to>
      <xdr:col>12</xdr:col>
      <xdr:colOff>47625</xdr:colOff>
      <xdr:row>10</xdr:row>
      <xdr:rowOff>114300</xdr:rowOff>
    </xdr:to>
    <xdr:sp macro="" textlink="">
      <xdr:nvSpPr>
        <xdr:cNvPr id="2" name="TextBox 1"/>
        <xdr:cNvSpPr txBox="1"/>
      </xdr:nvSpPr>
      <xdr:spPr>
        <a:xfrm>
          <a:off x="9020175" y="1457325"/>
          <a:ext cx="39909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2400" b="1"/>
            <a:t>BUSINESS OPEX</a:t>
          </a:r>
        </a:p>
      </xdr:txBody>
    </xdr:sp>
    <xdr:clientData/>
  </xdr:twoCellAnchor>
  <xdr:twoCellAnchor>
    <xdr:from>
      <xdr:col>8</xdr:col>
      <xdr:colOff>885825</xdr:colOff>
      <xdr:row>22</xdr:row>
      <xdr:rowOff>133350</xdr:rowOff>
    </xdr:from>
    <xdr:to>
      <xdr:col>12</xdr:col>
      <xdr:colOff>152400</xdr:colOff>
      <xdr:row>25</xdr:row>
      <xdr:rowOff>123825</xdr:rowOff>
    </xdr:to>
    <xdr:sp macro="" textlink="">
      <xdr:nvSpPr>
        <xdr:cNvPr id="4" name="TextBox 3"/>
        <xdr:cNvSpPr txBox="1"/>
      </xdr:nvSpPr>
      <xdr:spPr>
        <a:xfrm>
          <a:off x="9124950" y="4324350"/>
          <a:ext cx="39909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2400" b="1"/>
            <a:t>RESIDENTIAL OPEX</a:t>
          </a:r>
        </a:p>
      </xdr:txBody>
    </xdr:sp>
    <xdr:clientData/>
  </xdr:twoCellAnchor>
  <xdr:twoCellAnchor>
    <xdr:from>
      <xdr:col>14</xdr:col>
      <xdr:colOff>504825</xdr:colOff>
      <xdr:row>76</xdr:row>
      <xdr:rowOff>90487</xdr:rowOff>
    </xdr:from>
    <xdr:to>
      <xdr:col>29</xdr:col>
      <xdr:colOff>390527</xdr:colOff>
      <xdr:row>112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895350</xdr:colOff>
      <xdr:row>61</xdr:row>
      <xdr:rowOff>82425</xdr:rowOff>
    </xdr:from>
    <xdr:to>
      <xdr:col>16</xdr:col>
      <xdr:colOff>266700</xdr:colOff>
      <xdr:row>116</xdr:row>
      <xdr:rowOff>95728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, Sai Kireet" refreshedDate="43276.827178819447" createdVersion="4" refreshedVersion="4" minRefreshableVersion="3" recordCount="9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B11" totalsRowCount="1">
  <autoFilter ref="A1:AB10"/>
  <tableColumns count="28">
    <tableColumn id="1" name="Position of component"/>
    <tableColumn id="2" name="Component Name"/>
    <tableColumn id="3" name="Cost per Unit (OASE)"/>
    <tableColumn id="4" name="Quantity" dataDxfId="209"/>
    <tableColumn id="24" name="Floor Space per component"/>
    <tableColumn id="25" name="Total Floor Space">
      <calculatedColumnFormula>Table2[[#This Row],[Floor Space per component]]*Table2[[#This Row],[Quantity]]</calculatedColumnFormula>
    </tableColumn>
    <tableColumn id="26" name="Rent per sqm per year"/>
    <tableColumn id="27" name="Total Rent cost per year" totalsRowFunction="custom" totalsRowDxfId="208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207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name="Mean dist in km from CO"/>
    <tableColumn id="13" name="Avg Travel Speed"/>
    <tableColumn id="14" name="Failures per year">
      <calculatedColumnFormula>Table2[[#This Row],[Quantity]]*(Table2[[#This Row],[FIT]]*24*365)/1000000000</calculatedColumnFormula>
    </tableColumn>
    <tableColumn id="15" name="Twice Travel Time">
      <calculatedColumnFormula>2*Table2[[#This Row],[Mean dist in km from CO]]/Table2[[#This Row],[Avg Travel Speed]]</calculatedColumnFormula>
    </tableColumn>
    <tableColumn id="16" name="Total Time to Repair(h)">
      <calculatedColumnFormula>Table2[[#This Row],[MTTR]]+Table2[[#This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206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name="SLA CU per hour"/>
    <tableColumn id="21" name="Percentage of Business Users"/>
    <tableColumn id="22" name="Percentage of ITS and business users">
      <calculatedColumnFormula>0.07+2*0.00027</calculatedColumnFormula>
    </tableColumn>
    <tableColumn id="23" name="FM Penalty Business" totalsRowFunction="sum">
      <calculatedColumnFormula>Table2[[#This Row],[Percentage of Business Users]]*Table2[[#This Row],[SLA CU per hour]]*Table2[[#This Row],[Failures per year]]*Table2[[#This Row],[Total Time to Repair(h)]]</calculatedColumnFormula>
    </tableColumn>
    <tableColumn id="28" name="FM Penalty ITS" totalsRowFunction="sum">
      <calculatedColumnFormula>Table2[[#This Row],[Percentage of ITS and business users]]*Table2[[#This Row],[SLA CU per hour]]*Table2[[#This Row],[Failures per year]]*Table2[[#This Row],[Total Time to Repair(h)]]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B1:AB11" totalsRowCount="1">
  <autoFilter ref="B1:AB10"/>
  <tableColumns count="27">
    <tableColumn id="1" name="Component Name" dataDxfId="161" totalsRowDxfId="26"/>
    <tableColumn id="2" name="Cost per Unit (OASE)" dataDxfId="160" totalsRowDxfId="25"/>
    <tableColumn id="3" name="Quantity" dataDxfId="159" totalsRowDxfId="24"/>
    <tableColumn id="4" name="Floor Space per component" totalsRowDxfId="23"/>
    <tableColumn id="5" name="Total Floor Space" totalsRowDxfId="22">
      <calculatedColumnFormula>E2*D2</calculatedColumnFormula>
    </tableColumn>
    <tableColumn id="6" name="Rent per sqm per year" totalsRowDxfId="21"/>
    <tableColumn id="7" name="Total Rent cost per year" totalsRowFunction="sum" totalsRowDxfId="20">
      <calculatedColumnFormula>G2*F2</calculatedColumnFormula>
    </tableColumn>
    <tableColumn id="8" name="Installation Time in hours" totalsRowDxfId="19"/>
    <tableColumn id="9" name="MTTR" totalsRowDxfId="18"/>
    <tableColumn id="10" name="FIT" totalsRowDxfId="17"/>
    <tableColumn id="11" name="Energy consumption in W" totalsRowDxfId="16"/>
    <tableColumn id="12" name="Yearly Energy Consumption in kWh" totalsRowDxfId="15">
      <calculatedColumnFormula>Table19[[#This Row],[Energy consumption in W]]*24*365/1000</calculatedColumnFormula>
    </tableColumn>
    <tableColumn id="13" name="CU/kWh" totalsRowDxfId="14">
      <calculatedColumnFormula>0.15/50</calculatedColumnFormula>
    </tableColumn>
    <tableColumn id="14" name="Energy Cost per year in CU" totalsRowFunction="sum" totalsRowDxfId="13">
      <calculatedColumnFormula>Table19[[#This Row],[Yearly Energy Consumption in kWh]]*Table19[[#This Row],[CU/kWh]]</calculatedColumnFormula>
    </tableColumn>
    <tableColumn id="15" name="Mean dist in km from CO" totalsRowDxfId="12"/>
    <tableColumn id="16" name="Avg Travel Speed" totalsRowDxfId="11"/>
    <tableColumn id="17" name="Failures per year" totalsRowDxfId="10">
      <calculatedColumnFormula>Table19[[#This Row],[Quantity]]*Table19[[#This Row],[FIT]]*24*365/1000000000</calculatedColumnFormula>
    </tableColumn>
    <tableColumn id="18" name="Twice Travel Time" totalsRowDxfId="9">
      <calculatedColumnFormula>2*Table19[[#This Row],[Mean dist in km from CO]]/Table19[[#This Row],[Avg Travel Speed]]</calculatedColumnFormula>
    </tableColumn>
    <tableColumn id="19" name="Total Time to Repair(h)" totalsRowDxfId="8">
      <calculatedColumnFormula>Table19[[#This Row],[MTTR]]+Table19[[#This Row],[Twice Travel Time]]</calculatedColumnFormula>
    </tableColumn>
    <tableColumn id="20" name="No. Of technicians" totalsRowDxfId="7"/>
    <tableColumn id="21" name="Cost per hour" totalsRowDxfId="6"/>
    <tableColumn id="22" name="FM Cost" totalsRowFunction="custom" totalsRowDxfId="5">
      <calculatedColumnFormula>Table19[[#This Row],[Cost per hour]]*Table19[[#This Row],[No. Of technicians]]*Table19[[#This Row],[Total Time to Repair(h)]]*Table19[[#This Row],[Failures per year]]</calculatedColumnFormula>
      <totalsRowFormula>SUM(Table19[FM Cost])</totalsRowFormula>
    </tableColumn>
    <tableColumn id="23" name="SLA CU per hour" totalsRowDxfId="4"/>
    <tableColumn id="24" name="Percentage of Business Users" totalsRowDxfId="3"/>
    <tableColumn id="25" name="Percentage of ITS and business users" totalsRowDxfId="2">
      <calculatedColumnFormula>0.07+2*0.00027</calculatedColumnFormula>
    </tableColumn>
    <tableColumn id="26" name="FM Penalty Business" totalsRowFunction="sum" totalsRowDxfId="1">
      <calculatedColumnFormula>Table19[Percentage of Business Users]*Table19[SLA CU per hour]*Table19[Failures per year]*Table19[Total Time to Repair(h)]</calculatedColumnFormula>
    </tableColumn>
    <tableColumn id="27" name="FM Penalty ITS" totalsRowFunction="sum" totalsRowDxfId="0">
      <calculatedColumnFormula>Table19[[#This Row],[Percentage of ITS and business users]]*Table19[[#This Row],[SLA CU per hour]]*Table19[[#This Row],[Failures per year]]*Table19[[#This Row],[Total Time to Repair(h)]]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Table141617" displayName="Table141617" ref="L32:O38" totalsRowCount="1">
  <autoFilter ref="L32:O37"/>
  <tableColumns count="4">
    <tableColumn id="1" name="Component"/>
    <tableColumn id="2" name="Residential Cost" totalsRowFunction="custom">
      <calculatedColumnFormula>M46/$I$35</calculatedColumnFormula>
      <totalsRowFormula>SUM(Table141617[Residential Cost])</totalsRowFormula>
    </tableColumn>
    <tableColumn id="3" name="Business Cost" totalsRowFunction="sum">
      <calculatedColumnFormula>N46/$I$35</calculatedColumnFormula>
    </tableColumn>
    <tableColumn id="4" name="ITS cost" totalsRowFunction="sum">
      <calculatedColumnFormula>O46/$I$35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9" displayName="Table9" ref="A1:AB11" totalsRowCount="1">
  <autoFilter ref="A1:AB10"/>
  <tableColumns count="28">
    <tableColumn id="1" name="Position of component"/>
    <tableColumn id="2" name="Component Name"/>
    <tableColumn id="3" name="Cost per Unit (OASE)"/>
    <tableColumn id="4" name="Quantity" dataDxfId="158"/>
    <tableColumn id="5" name="Floor Space per component"/>
    <tableColumn id="6" name="Total Floor Space">
      <calculatedColumnFormula>Table9[[#This Row],[Floor Space per component]]*Table9[[#This Row],[Quantity]]</calculatedColumnFormula>
    </tableColumn>
    <tableColumn id="7" name="Rent per sqm per year"/>
    <tableColumn id="8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Table9[[#This Row],[Yearly Energy Consumption in kWh]]*Table9[[#This Row],[CU/kWh]]</calculatedColumnFormula>
    </tableColumn>
    <tableColumn id="16" name="Mean dist in km from CO"/>
    <tableColumn id="17" name="Avg Travel Speed"/>
    <tableColumn id="18" name="Failures per year">
      <calculatedColumnFormula>Table9[[#This Row],[FIT]]*Table9[[#This Row],[Quantity]]*24*365/1000000000</calculatedColumnFormula>
    </tableColumn>
    <tableColumn id="19" name="Twice Travel Time">
      <calculatedColumnFormula>2*Table9[[#This Row],[Mean dist in km from CO]]/Table9[[#This Row],[Avg Travel Speed]]</calculatedColumnFormula>
    </tableColumn>
    <tableColumn id="20" name="Total Time to Repair(h)">
      <calculatedColumnFormula>Table9[[#This Row],[MTTR]]+Table9[[#This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  <tableColumn id="24" name="SLA CU per hour"/>
    <tableColumn id="25" name="Percentage of Business Users"/>
    <tableColumn id="26" name="Percentage of ITS and business users">
      <calculatedColumnFormula>0.07+2*0.00027</calculatedColumnFormula>
    </tableColumn>
    <tableColumn id="27" name="FM Penalty Business" totalsRowFunction="sum">
      <calculatedColumnFormula>Table9[Percentage of Business Users]*Table9[SLA CU per hour]*Table9[Failures per year]*Table9[Total Time to Repair(h)]</calculatedColumnFormula>
    </tableColumn>
    <tableColumn id="28" name="FM Penalty ITS" totalsRowFunction="sum">
      <calculatedColumnFormula>Table9[[#This Row],[Percentage of ITS and business users]]*Table9[[#This Row],[SLA CU per hour]]*Table9[[#This Row],[Failures per year]]*Table9[[#This Row],[Total Time to Repair(h)]]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4161718" displayName="Table14161718" ref="O20:Q26" totalsRowCount="1">
  <autoFilter ref="O20:Q25"/>
  <tableColumns count="3">
    <tableColumn id="1" name="Component"/>
    <tableColumn id="2" name="Cost" totalsRowFunction="custom">
      <calculatedColumnFormula>P36/$M$31</calculatedColumnFormula>
      <totalsRowFormula>SUM(Table14161718[Cost])</totalsRowFormula>
    </tableColumn>
    <tableColumn id="3" name="Cost ITS" totalsRowFunction="sum">
      <calculatedColumnFormula>Q36/$M$31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AB10" totalsRowCount="1">
  <autoFilter ref="A1:AB9"/>
  <tableColumns count="28">
    <tableColumn id="1" name="Position of component" dataDxfId="157" totalsRowDxfId="156"/>
    <tableColumn id="2" name="Component Name" dataDxfId="155" totalsRowDxfId="154"/>
    <tableColumn id="3" name="Cost per Unit (OASE)" dataDxfId="153" totalsRowDxfId="152"/>
    <tableColumn id="4" name="Quantity" dataDxfId="151" totalsRowDxfId="150"/>
    <tableColumn id="5" name="Floor Space per component" totalsRowDxfId="149"/>
    <tableColumn id="6" name="Total Floor Space" totalsRowDxfId="148">
      <calculatedColumnFormula>E2*D2</calculatedColumnFormula>
    </tableColumn>
    <tableColumn id="7" name="Rent per sqm per year" totalsRowDxfId="147"/>
    <tableColumn id="8" name="Total Rent cost per year" totalsRowFunction="custom" totalsRowDxfId="146">
      <calculatedColumnFormula>Table10[[#This Row],[Total Floor Space]]*Table10[[#This Row],[Rent per sqm per year]]</calculatedColumnFormula>
      <totalsRowFormula>SUM(Table10[Total Rent cost per year])</totalsRowFormula>
    </tableColumn>
    <tableColumn id="9" name="Installation Time in hours" totalsRowDxfId="145"/>
    <tableColumn id="10" name="MTTR" totalsRowDxfId="144"/>
    <tableColumn id="11" name="FIT" totalsRowDxfId="143"/>
    <tableColumn id="12" name="Energy consumption in W" totalsRowDxfId="142"/>
    <tableColumn id="13" name="Yearly Energy Consumption in kWh" totalsRowDxfId="141">
      <calculatedColumnFormula>Table10[[#This Row],[Energy consumption in W]]*24*365/1000</calculatedColumnFormula>
    </tableColumn>
    <tableColumn id="14" name="CU/kWh" totalsRowDxfId="140">
      <calculatedColumnFormula>0.15/50</calculatedColumnFormula>
    </tableColumn>
    <tableColumn id="15" name="Energy Cost per year in CU" totalsRowFunction="sum" totalsRowDxfId="139">
      <calculatedColumnFormula>Table10[[#This Row],[Yearly Energy Consumption in kWh]]*Table10[[#This Row],[CU/kWh]]</calculatedColumnFormula>
    </tableColumn>
    <tableColumn id="16" name="Mean dist in km from CO" totalsRowDxfId="138"/>
    <tableColumn id="17" name="Avg Travel Speed" totalsRowDxfId="137"/>
    <tableColumn id="18" name="Failures per year" totalsRowDxfId="136">
      <calculatedColumnFormula>Table10[[#This Row],[FIT]]*Table10[[#This Row],[Quantity]]*24*365/1000000000</calculatedColumnFormula>
    </tableColumn>
    <tableColumn id="19" name="Twice Travel Time" totalsRowDxfId="135">
      <calculatedColumnFormula>2*Table10[[#This Row],[Mean dist in km from CO]]/Table10[[#This Row],[Avg Travel Speed]]</calculatedColumnFormula>
    </tableColumn>
    <tableColumn id="20" name="Total Time to Repair(h)" totalsRowDxfId="134">
      <calculatedColumnFormula>Table10[[#This Row],[MTTR]]+Table10[[#This Row],[Twice Travel Time]]</calculatedColumnFormula>
    </tableColumn>
    <tableColumn id="21" name="No. Of technicians" totalsRowDxfId="133"/>
    <tableColumn id="22" name="Cost per hour" totalsRowDxfId="132"/>
    <tableColumn id="23" name="FM Cost" totalsRowFunction="sum" totalsRowDxfId="131">
      <calculatedColumnFormula>Table10[[#This Row],[Failures per year]]*Table10[[#This Row],[Total Time to Repair(h)]]*Table10[[#This Row],[No. Of technicians]]*Table10[[#This Row],[Cost per hour]]</calculatedColumnFormula>
    </tableColumn>
    <tableColumn id="24" name="SLA CU per hour" totalsRowDxfId="130"/>
    <tableColumn id="25" name="Percentage of Business Users" totalsRowDxfId="129"/>
    <tableColumn id="26" name="Percentage of ITS and business users" totalsRowDxfId="128">
      <calculatedColumnFormula>0.07+2*0.00027</calculatedColumnFormula>
    </tableColumn>
    <tableColumn id="27" name="FM Penalty Business" totalsRowFunction="sum" totalsRowDxfId="127">
      <calculatedColumnFormula>Table10[Percentage of Business Users]*Table10[SLA CU per hour]*Table10[Failures per year]*Table10[Total Time to Repair(h)]</calculatedColumnFormula>
    </tableColumn>
    <tableColumn id="28" name="FM Penalty ITS" totalsRowFunction="sum" totalsRowDxfId="126">
      <calculatedColumnFormula>Table10[[#This Row],[Percentage of ITS and business users]]*Table10[[#This Row],[SLA CU per hour]]*Table10[[#This Row],[Failures per year]]*Table10[[#This Row],[Total Time to Repair(h)]]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416171819" displayName="Table1416171819" ref="O18:Q24" totalsRowCount="1">
  <autoFilter ref="O18:Q23"/>
  <tableColumns count="3">
    <tableColumn id="1" name="Component"/>
    <tableColumn id="2" name="Cost" totalsRowFunction="custom">
      <calculatedColumnFormula>P31/$M$25</calculatedColumnFormula>
      <totalsRowFormula>SUM(Table1416171819[Cost])</totalsRowFormula>
    </tableColumn>
    <tableColumn id="3" name="Cost ITS" totalsRowFunction="sum">
      <calculatedColumnFormula>Q31/$M$25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1012" displayName="Table1012" ref="A1:AB10" totalsRowCount="1">
  <autoFilter ref="A1:AB9"/>
  <tableColumns count="28">
    <tableColumn id="1" name="Position of component" dataDxfId="125" totalsRowDxfId="124"/>
    <tableColumn id="2" name="Component Name" dataDxfId="123" totalsRowDxfId="122"/>
    <tableColumn id="3" name="Cost per Unit (OASE)" dataDxfId="121" totalsRowDxfId="120"/>
    <tableColumn id="4" name="Quantity" dataDxfId="119" totalsRowDxfId="118"/>
    <tableColumn id="5" name="Floor Space per component" totalsRowDxfId="117"/>
    <tableColumn id="6" name="Total Floor Space" totalsRowDxfId="116">
      <calculatedColumnFormula>E2*D2</calculatedColumnFormula>
    </tableColumn>
    <tableColumn id="7" name="Rent per sqm per year" totalsRowDxfId="115"/>
    <tableColumn id="8" name="Total Rent cost per year" totalsRowFunction="custom" totalsRowDxfId="114">
      <calculatedColumnFormula>Table1012[[#This Row],[Total Floor Space]]*Table1012[[#This Row],[Rent per sqm per year]]</calculatedColumnFormula>
      <totalsRowFormula>SUM(Table1012[Total Rent cost per year])</totalsRowFormula>
    </tableColumn>
    <tableColumn id="9" name="Installation Time in hours" totalsRowDxfId="113"/>
    <tableColumn id="10" name="MTTR" totalsRowDxfId="112"/>
    <tableColumn id="11" name="FIT" totalsRowDxfId="111"/>
    <tableColumn id="12" name="Energy consumption in W" totalsRowDxfId="110"/>
    <tableColumn id="13" name="Yearly Energy Consumption in kWh" totalsRowDxfId="109">
      <calculatedColumnFormula>Table1012[[#This Row],[Energy consumption in W]]*24*365/1000</calculatedColumnFormula>
    </tableColumn>
    <tableColumn id="14" name="CU/kWh" totalsRowDxfId="108">
      <calculatedColumnFormula>0.15/50</calculatedColumnFormula>
    </tableColumn>
    <tableColumn id="15" name="Energy Cost per year in CU" totalsRowFunction="sum" totalsRowDxfId="107">
      <calculatedColumnFormula>Table1012[[#This Row],[Yearly Energy Consumption in kWh]]*Table1012[[#This Row],[CU/kWh]]</calculatedColumnFormula>
    </tableColumn>
    <tableColumn id="16" name="Mean dist in km from CO" totalsRowDxfId="106"/>
    <tableColumn id="17" name="Avg Travel Speed" totalsRowDxfId="105"/>
    <tableColumn id="18" name="Failures per year" totalsRowDxfId="104">
      <calculatedColumnFormula>Table1012[[#This Row],[FIT]]*Table1012[[#This Row],[Quantity]]*24*365/1000000000</calculatedColumnFormula>
    </tableColumn>
    <tableColumn id="19" name="Twice Travel Time" totalsRowDxfId="103">
      <calculatedColumnFormula>2*Table1012[[#This Row],[Mean dist in km from CO]]/Table1012[[#This Row],[Avg Travel Speed]]</calculatedColumnFormula>
    </tableColumn>
    <tableColumn id="20" name="Total Time to Repair(h)" totalsRowDxfId="102">
      <calculatedColumnFormula>Table1012[[#This Row],[MTTR]]+Table1012[[#This Row],[Twice Travel Time]]</calculatedColumnFormula>
    </tableColumn>
    <tableColumn id="21" name="No. Of technicians" totalsRowDxfId="101"/>
    <tableColumn id="22" name="Cost per hour" totalsRowDxfId="100"/>
    <tableColumn id="23" name="FM Cost" totalsRowFunction="sum" totalsRowDxfId="99">
      <calculatedColumnFormula>Table1012[[#This Row],[Failures per year]]*Table1012[[#This Row],[Total Time to Repair(h)]]*Table1012[[#This Row],[No. Of technicians]]*Table1012[[#This Row],[Cost per hour]]</calculatedColumnFormula>
    </tableColumn>
    <tableColumn id="24" name="SLA CU per hour" totalsRowDxfId="98"/>
    <tableColumn id="25" name="Percentage of Business Users" totalsRowDxfId="97"/>
    <tableColumn id="26" name="Percentage of ITS and business users" totalsRowDxfId="96">
      <calculatedColumnFormula>0.07+2*0.00027</calculatedColumnFormula>
    </tableColumn>
    <tableColumn id="27" name="FM Penalty Business" totalsRowFunction="sum" totalsRowDxfId="95">
      <calculatedColumnFormula>Table1012[Percentage of Business Users]*Table1012[SLA CU per hour]*Table1012[Failures per year]*Table1012[Total Time to Repair(h)]</calculatedColumnFormula>
    </tableColumn>
    <tableColumn id="28" name="FM Penalty ITS" totalsRowFunction="sum" totalsRowDxfId="94">
      <calculatedColumnFormula>Table1012[[#This Row],[Percentage of ITS and business users]]*Table1012[[#This Row],[SLA CU per hour]]*Table1012[[#This Row],[Failures per year]]*Table1012[[#This Row],[Total Time to Repair(h)]]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e141617181920" displayName="Table141617181920" ref="O18:Q24" totalsRowCount="1">
  <autoFilter ref="O18:Q23"/>
  <tableColumns count="3">
    <tableColumn id="1" name="Component"/>
    <tableColumn id="2" name="Cost" totalsRowFunction="custom">
      <calculatedColumnFormula>P28/$M$24</calculatedColumnFormula>
      <totalsRowFormula>SUM(Table141617181920[Cost])</totalsRowFormula>
    </tableColumn>
    <tableColumn id="3" name="Cost ITS" totalsRowFunction="sum">
      <calculatedColumnFormula>Q28/$M$24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913" displayName="Table913" ref="A1:AB11" totalsRowCount="1">
  <autoFilter ref="A1:AB10"/>
  <tableColumns count="28">
    <tableColumn id="1" name="Position of component"/>
    <tableColumn id="2" name="Component Name"/>
    <tableColumn id="3" name="Cost per Unit (OASE)"/>
    <tableColumn id="4" name="Quantity" dataDxfId="93"/>
    <tableColumn id="5" name="Floor Space per component"/>
    <tableColumn id="6" name="Total Floor Space">
      <calculatedColumnFormula>Table913[[#This Row],[Floor Space per component]]*Table913[[#This Row],[Quantity]]</calculatedColumnFormula>
    </tableColumn>
    <tableColumn id="7" name="Rent per sqm per year"/>
    <tableColumn id="8" name="Total Rent cost per year" totalsRowFunction="custom">
      <calculatedColumnFormula>Table913[[#This Row],[Total Floor Space]]*Table913[[#This Row],[Rent per sqm per year]]</calculatedColumnFormula>
      <totalsRowFormula>SUM(Table913[Total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Table913[[#This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Table913[[#This Row],[Yearly Energy Consumption in kWh]]*Table913[[#This Row],[CU/kWh]]</calculatedColumnFormula>
    </tableColumn>
    <tableColumn id="16" name="Mean dist in km from CO"/>
    <tableColumn id="17" name="Avg Travel Speed"/>
    <tableColumn id="18" name="Failures per year">
      <calculatedColumnFormula>Table913[[#This Row],[FIT]]*Table913[[#This Row],[Quantity]]*24*365/1000000000</calculatedColumnFormula>
    </tableColumn>
    <tableColumn id="19" name="Twice Travel Time">
      <calculatedColumnFormula>2*Table913[[#This Row],[Mean dist in km from CO]]/Table913[[#This Row],[Avg Travel Speed]]</calculatedColumnFormula>
    </tableColumn>
    <tableColumn id="20" name="Total Time to Repair(h)">
      <calculatedColumnFormula>Table913[[#This Row],[MTTR]]+Table913[[#This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Table913[[#This Row],[Failures per year]]*Table913[[#This Row],[Total Time to Repair(h)]]*Table913[[#This Row],[No. Of technicians]]*Table913[[#This Row],[Cost per hour]]</calculatedColumnFormula>
    </tableColumn>
    <tableColumn id="24" name="SLA CU per hour"/>
    <tableColumn id="25" name="Percentage of Business Users"/>
    <tableColumn id="26" name="Percentage of ITS and business users"/>
    <tableColumn id="27" name="FM Penalty Business" totalsRowFunction="sum">
      <calculatedColumnFormula>Table913[Percentage of Business Users]*Table913[SLA CU per hour]*Table913[Failures per year]*Table913[Total Time to Repair(h)]</calculatedColumnFormula>
    </tableColumn>
    <tableColumn id="28" name="FM Penalty ITS" totalsRowFunction="sum">
      <calculatedColumnFormula>Table913[[#This Row],[Percentage of ITS and business users]]*Table913[[#This Row],[SLA CU per hour]]*Table913[[#This Row],[Failures per year]]*Table913[[#This Row],[Total Time to Repair(h)]]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14161718192021" displayName="Table14161718192021" ref="M17:O23" totalsRowCount="1">
  <autoFilter ref="M17:O22"/>
  <tableColumns count="3">
    <tableColumn id="1" name="Component"/>
    <tableColumn id="2" name="Cost" totalsRowFunction="custom">
      <calculatedColumnFormula>N29/$L$27</calculatedColumnFormula>
      <totalsRowFormula>SUM(Table14161718192021[Cost])</totalsRowFormula>
    </tableColumn>
    <tableColumn id="3" name="Cost ITS" totalsRowFunction="sum">
      <calculatedColumnFormula>O29/$L$27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B11" totalsRowCount="1">
  <autoFilter ref="A1:AB10"/>
  <tableColumns count="28">
    <tableColumn id="1" name="Position of component"/>
    <tableColumn id="2" name="Component Name"/>
    <tableColumn id="3" name="Cost per Unit (OASE)"/>
    <tableColumn id="4" name="Quantity" dataDxfId="205"/>
    <tableColumn id="5" name="Floor Space per component"/>
    <tableColumn id="6" name="Total Floor Space">
      <calculatedColumnFormula>Table3[[#This Row],[Floor Space per component]]*Table3[[#This Row],[Quantity]]</calculatedColumnFormula>
    </tableColumn>
    <tableColumn id="7" name="Rent per sqm per year"/>
    <tableColumn id="8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Table3[[#This Row],[Yearly Energy Consumption in kWh]]*Table3[[#This Row],[CU/kWh]]</calculatedColumnFormula>
    </tableColumn>
    <tableColumn id="16" name="Mean dist in km from CO"/>
    <tableColumn id="17" name="Avg Travel Speed"/>
    <tableColumn id="18" name="Failures per year">
      <calculatedColumnFormula>Table3[[#This Row],[Quantity]]*(Table3[[#This Row],[FIT]]*24*365)/1000000000</calculatedColumnFormula>
    </tableColumn>
    <tableColumn id="19" name="Twice Travel Time">
      <calculatedColumnFormula>2*Table3[[#This Row],[Mean dist in km from CO]]/Table3[[#This Row],[Avg Travel Speed]]</calculatedColumnFormula>
    </tableColumn>
    <tableColumn id="20" name="Total Time to Repair(h)">
      <calculatedColumnFormula>Table3[[#This Row],[MTTR]]+Table3[[#This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Table3[[#This Row],[Cost per hour]]*Table3[[#This Row],[Total Time to Repair(h)]]*Table3[[#This Row],[Failures per year]]</calculatedColumnFormula>
    </tableColumn>
    <tableColumn id="24" name="SLA CU per hour"/>
    <tableColumn id="25" name="Percentage of Business Users"/>
    <tableColumn id="26" name="Percentage of ITS and business users">
      <calculatedColumnFormula>0.07+2*0.00027</calculatedColumnFormula>
    </tableColumn>
    <tableColumn id="27" name="FM Penalty Business" totalsRowFunction="sum">
      <calculatedColumnFormula>Table3[[#This Row],[Percentage of Business Users]]*Table3[[#This Row],[SLA CU per hour]]*Table3[[#This Row],[Failures per year]]*Table3[[#This Row],[Total Time to Repair(h)]]</calculatedColumnFormula>
    </tableColumn>
    <tableColumn id="28" name="FM Penalty ITS" totalsRowFunction="sum">
      <calculatedColumnFormula>Table3[[#This Row],[Percentage of ITS and business users]]*Table3[[#This Row],[SLA CU per hour]]*Table3[[#This Row],[Failures per year]]*Table3[[#This Row],[Total Time to Repair(h)]]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014" displayName="Table1014" ref="A1:AB10" totalsRowCount="1">
  <autoFilter ref="A1:AB9"/>
  <tableColumns count="28">
    <tableColumn id="1" name="Position of component" dataDxfId="92" totalsRowDxfId="91"/>
    <tableColumn id="2" name="Component Name" dataDxfId="90" totalsRowDxfId="89"/>
    <tableColumn id="3" name="Cost per Unit (OASE)" dataDxfId="88" totalsRowDxfId="87"/>
    <tableColumn id="4" name="Quantity" dataDxfId="86" totalsRowDxfId="85"/>
    <tableColumn id="5" name="Floor Space per component" totalsRowDxfId="84"/>
    <tableColumn id="6" name="Total Floor Space" totalsRowDxfId="83">
      <calculatedColumnFormula>E2*D2</calculatedColumnFormula>
    </tableColumn>
    <tableColumn id="7" name="Rent per sqm per year" totalsRowDxfId="82"/>
    <tableColumn id="8" name="Total Rent cost per year" totalsRowFunction="custom" totalsRowDxfId="81">
      <calculatedColumnFormula>Table1014[[#This Row],[Total Floor Space]]*Table1014[[#This Row],[Rent per sqm per year]]</calculatedColumnFormula>
      <totalsRowFormula>SUM(Table1014[Total Rent cost per year])</totalsRowFormula>
    </tableColumn>
    <tableColumn id="9" name="Installation Time in hours" totalsRowDxfId="80"/>
    <tableColumn id="10" name="MTTR" totalsRowDxfId="79"/>
    <tableColumn id="11" name="FIT" totalsRowDxfId="78"/>
    <tableColumn id="12" name="Energy consumption in W" totalsRowDxfId="77"/>
    <tableColumn id="13" name="Yearly Energy Consumption in kWh" totalsRowDxfId="76">
      <calculatedColumnFormula>Table1014[[#This Row],[Energy consumption in W]]*24*365/1000</calculatedColumnFormula>
    </tableColumn>
    <tableColumn id="14" name="CU/kWh" totalsRowDxfId="75">
      <calculatedColumnFormula>0.15/50</calculatedColumnFormula>
    </tableColumn>
    <tableColumn id="15" name="Energy Cost per year in CU" totalsRowFunction="sum" totalsRowDxfId="74">
      <calculatedColumnFormula>Table1014[[#This Row],[Yearly Energy Consumption in kWh]]*Table1014[[#This Row],[CU/kWh]]</calculatedColumnFormula>
    </tableColumn>
    <tableColumn id="16" name="Mean dist in km from CO" totalsRowDxfId="73"/>
    <tableColumn id="17" name="Avg Travel Speed" totalsRowDxfId="72"/>
    <tableColumn id="18" name="Failures per year" totalsRowDxfId="71">
      <calculatedColumnFormula>Table1014[[#This Row],[FIT]]*Table1014[[#This Row],[Quantity]]*24*365/1000000000</calculatedColumnFormula>
    </tableColumn>
    <tableColumn id="19" name="Twice Travel Time" totalsRowDxfId="70">
      <calculatedColumnFormula>2*Table1014[[#This Row],[Mean dist in km from CO]]/Table1014[[#This Row],[Avg Travel Speed]]</calculatedColumnFormula>
    </tableColumn>
    <tableColumn id="20" name="Total Time to Repair(h)" totalsRowDxfId="69">
      <calculatedColumnFormula>Table1014[[#This Row],[MTTR]]+Table1014[[#This Row],[Twice Travel Time]]</calculatedColumnFormula>
    </tableColumn>
    <tableColumn id="21" name="No. Of technicians" totalsRowDxfId="68"/>
    <tableColumn id="22" name="Cost per hour" totalsRowDxfId="67"/>
    <tableColumn id="23" name="FM Cost" totalsRowFunction="sum" totalsRowDxfId="66">
      <calculatedColumnFormula>Table1014[[#This Row],[Failures per year]]*Table1014[[#This Row],[Total Time to Repair(h)]]*Table1014[[#This Row],[No. Of technicians]]*Table1014[[#This Row],[Cost per hour]]</calculatedColumnFormula>
    </tableColumn>
    <tableColumn id="24" name="SLA CU per hour" totalsRowDxfId="65"/>
    <tableColumn id="25" name="Percentage of Business Users" totalsRowDxfId="64"/>
    <tableColumn id="26" name="Percentage of ITS and business users" totalsRowDxfId="63">
      <calculatedColumnFormula>0.07+2*0.00027</calculatedColumnFormula>
    </tableColumn>
    <tableColumn id="27" name="FM Penalty Business" totalsRowFunction="sum" totalsRowDxfId="62">
      <calculatedColumnFormula>Table1014[Percentage of Business Users]*Table1014[SLA CU per hour]*Table1014[Failures per year]*Table1014[Total Time to Repair(h)]</calculatedColumnFormula>
    </tableColumn>
    <tableColumn id="28" name="FM Penalty ITS" totalsRowFunction="sum" totalsRowDxfId="61">
      <calculatedColumnFormula>Table1014[[#This Row],[Percentage of ITS and business users]]*Table1014[[#This Row],[SLA CU per hour]]*Table1014[[#This Row],[Failures per year]]*Table1014[[#This Row],[Total Time to Repair(h)]]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416171819202122" displayName="Table1416171819202122" ref="L19:N25" totalsRowCount="1">
  <autoFilter ref="L19:N24"/>
  <tableColumns count="3">
    <tableColumn id="1" name="Component"/>
    <tableColumn id="2" name="Cost" totalsRowFunction="custom">
      <calculatedColumnFormula>M30/$J$28</calculatedColumnFormula>
      <totalsRowFormula>SUM(Table1416171819202122[Cost])</totalsRowFormula>
    </tableColumn>
    <tableColumn id="3" name="Cost ITS" totalsRowFunction="sum">
      <calculatedColumnFormula>N30/$J$28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D27:Q33" totalsRowCount="1">
  <autoFilter ref="D27:Q32"/>
  <tableColumns count="14">
    <tableColumn id="1" name="Component" totalsRowDxfId="60"/>
    <tableColumn id="2" name="FTTC_GPON_25" totalsRowFunction="custom" totalsRowDxfId="59">
      <calculatedColumnFormula>FTTC_GPON_25!$I26</calculatedColumnFormula>
      <totalsRowFormula>SUM(Table22[FTTC_GPON_25])</totalsRowFormula>
    </tableColumn>
    <tableColumn id="3" name="FTTB_XGPON_50" totalsRowFunction="sum" totalsRowDxfId="58">
      <calculatedColumnFormula>FTTB_XGPON_50!$N26</calculatedColumnFormula>
    </tableColumn>
    <tableColumn id="4" name="FTTB_DWDM_50" totalsRowFunction="sum" totalsRowDxfId="57">
      <calculatedColumnFormula>FTTB_DWDM_50!$N34</calculatedColumnFormula>
    </tableColumn>
    <tableColumn id="5" name="FTTH_DWDM_100" totalsRowFunction="sum" totalsRowDxfId="56">
      <calculatedColumnFormula>FTTH_DWDM_100!$N21</calculatedColumnFormula>
    </tableColumn>
    <tableColumn id="6" name="FTTH_XGPON_100" totalsRowFunction="sum" totalsRowDxfId="55">
      <calculatedColumnFormula>FTTH_XGPON_100!$M36</calculatedColumnFormula>
    </tableColumn>
    <tableColumn id="7" name="FTTC_GPON_100" totalsRowFunction="sum" totalsRowDxfId="54">
      <calculatedColumnFormula>FTTC_GPON_100!$P24</calculatedColumnFormula>
    </tableColumn>
    <tableColumn id="8" name="FTTB_XGPON_100" totalsRowFunction="sum" dataDxfId="53" totalsRowDxfId="52">
      <calculatedColumnFormula>FTTB_XGPON_100!$M32</calculatedColumnFormula>
    </tableColumn>
    <tableColumn id="9" name="FTTB_DWDM_100" totalsRowFunction="sum" dataDxfId="51" totalsRowDxfId="50">
      <calculatedColumnFormula>FTTB_DWDM_100!$M33</calculatedColumnFormula>
    </tableColumn>
    <tableColumn id="10" name="FTTC_Hybridpon_25" totalsRowFunction="sum" dataDxfId="49" totalsRowDxfId="48">
      <calculatedColumnFormula>FTTC_Hybridpon_25!P21</calculatedColumnFormula>
    </tableColumn>
    <tableColumn id="11" name="FTTB_Hybridpon_50" totalsRowFunction="sum" totalsRowDxfId="47">
      <calculatedColumnFormula>FTTB_Hybridpon_50!$P19</calculatedColumnFormula>
    </tableColumn>
    <tableColumn id="12" name="FTTH_Hybridpon_100" totalsRowFunction="sum" totalsRowDxfId="46">
      <calculatedColumnFormula>FTTH_Hybridpon_100!$P19</calculatedColumnFormula>
    </tableColumn>
    <tableColumn id="13" name="FTTC_Hybridpon_100" totalsRowFunction="custom" totalsRowDxfId="45">
      <calculatedColumnFormula>FTTC_Hybridpon_100!$N18</calculatedColumnFormula>
      <totalsRowFormula>SUM(Table22[FTTC_Hybridpon_100])</totalsRowFormula>
    </tableColumn>
    <tableColumn id="14" name="FTTB_Hybridpon_100" totalsRowFunction="sum" totalsRowDxfId="44">
      <calculatedColumnFormula>FTTB_Hybridpon_100!$M20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e2225" displayName="Table2225" ref="D12:Q18" totalsRowCount="1">
  <autoFilter ref="D12:Q17"/>
  <tableColumns count="14">
    <tableColumn id="1" name="Component_business" totalsRowDxfId="43"/>
    <tableColumn id="2" name="FTTC_GPON_25" totalsRowFunction="custom" totalsRowDxfId="42">
      <calculatedColumnFormula>FTTC_GPON_25!$J26</calculatedColumnFormula>
      <totalsRowFormula>SUM(Table2225[FTTC_GPON_25])</totalsRowFormula>
    </tableColumn>
    <tableColumn id="3" name="FTTB_XGPON_50" totalsRowFunction="sum" totalsRowDxfId="41">
      <calculatedColumnFormula>FTTB_XGPON_50!$O26</calculatedColumnFormula>
    </tableColumn>
    <tableColumn id="4" name="FTTB_DWDM_50" totalsRowFunction="sum" totalsRowDxfId="40">
      <calculatedColumnFormula>FTTB_DWDM_50!$O34</calculatedColumnFormula>
    </tableColumn>
    <tableColumn id="5" name="FTTH_DWDM_100" totalsRowFunction="sum" totalsRowDxfId="39">
      <calculatedColumnFormula>FTTH_DWDM_100!$O21</calculatedColumnFormula>
    </tableColumn>
    <tableColumn id="6" name="FTTH_XGPON_100" totalsRowFunction="sum" totalsRowDxfId="38">
      <calculatedColumnFormula>FTTH_XGPON_100!$N36</calculatedColumnFormula>
    </tableColumn>
    <tableColumn id="7" name="FTTC_GPON_100" totalsRowFunction="sum" totalsRowDxfId="37">
      <calculatedColumnFormula>FTTC_GPON_100!$Q24</calculatedColumnFormula>
    </tableColumn>
    <tableColumn id="8" name="FTTB_XGPON_100" totalsRowFunction="sum" dataDxfId="36" totalsRowDxfId="35">
      <calculatedColumnFormula>FTTB_XGPON_100!$N32</calculatedColumnFormula>
    </tableColumn>
    <tableColumn id="9" name="FTTB_DWDM_100" totalsRowFunction="sum" dataDxfId="34" totalsRowDxfId="33">
      <calculatedColumnFormula>FTTB_DWDM_100!$N33</calculatedColumnFormula>
    </tableColumn>
    <tableColumn id="10" name="FTTC_Hybridpon_25" totalsRowFunction="sum" dataDxfId="32" totalsRowDxfId="31">
      <calculatedColumnFormula>FTTC_Hybridpon_25!Q21</calculatedColumnFormula>
    </tableColumn>
    <tableColumn id="11" name="FTTB_Hybridpon_50" totalsRowFunction="sum" totalsRowDxfId="30">
      <calculatedColumnFormula>FTTB_Hybridpon_50!$Q19</calculatedColumnFormula>
    </tableColumn>
    <tableColumn id="12" name="FTTH_Hybridpon_100" totalsRowFunction="sum" totalsRowDxfId="29">
      <calculatedColumnFormula>FTTH_Hybridpon_100!$Q19</calculatedColumnFormula>
    </tableColumn>
    <tableColumn id="13" name="FTTC_Hybridpon_100" totalsRowFunction="sum" totalsRowDxfId="28">
      <calculatedColumnFormula>FTTC_Hybridpon_100!$O18</calculatedColumnFormula>
    </tableColumn>
    <tableColumn id="14" name="FTTB_Hybridpon_100" totalsRowFunction="sum" totalsRowDxfId="27">
      <calculatedColumnFormula>FTTB_Hybridpon_100!$N20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AB11" totalsRowCount="1">
  <autoFilter ref="B1:AB10"/>
  <tableColumns count="27">
    <tableColumn id="1" name="Component Name" dataDxfId="204" totalsRowDxfId="203"/>
    <tableColumn id="2" name="Cost per Unit (OASE)" dataDxfId="202" totalsRowDxfId="201"/>
    <tableColumn id="3" name="Quantity" dataDxfId="200" totalsRowDxfId="199"/>
    <tableColumn id="4" name="Floor Space per component" totalsRowDxfId="198"/>
    <tableColumn id="5" name="Total Floor Space" totalsRowDxfId="197">
      <calculatedColumnFormula>E2*D2</calculatedColumnFormula>
    </tableColumn>
    <tableColumn id="6" name="Rent per sqm per year" totalsRowDxfId="196"/>
    <tableColumn id="7" name="Total Rent cost per year" totalsRowFunction="sum" totalsRowDxfId="195">
      <calculatedColumnFormula>G2*F2</calculatedColumnFormula>
    </tableColumn>
    <tableColumn id="8" name="Installation Time in hours" totalsRowDxfId="194"/>
    <tableColumn id="9" name="MTTR" totalsRowDxfId="193"/>
    <tableColumn id="10" name="FIT" totalsRowDxfId="192"/>
    <tableColumn id="11" name="Energy consumption in W" totalsRowDxfId="191"/>
    <tableColumn id="12" name="Yearly Energy Consumption in kWh" totalsRowDxfId="190">
      <calculatedColumnFormula>Table1[[#This Row],[Energy consumption in W]]*24*365/1000</calculatedColumnFormula>
    </tableColumn>
    <tableColumn id="13" name="CU/kWh" totalsRowDxfId="189">
      <calculatedColumnFormula>0.15/50</calculatedColumnFormula>
    </tableColumn>
    <tableColumn id="14" name="Energy Cost per year in CU" totalsRowFunction="sum" totalsRowDxfId="188">
      <calculatedColumnFormula>Table1[[#This Row],[Yearly Energy Consumption in kWh]]*Table1[[#This Row],[CU/kWh]]</calculatedColumnFormula>
    </tableColumn>
    <tableColumn id="15" name="Mean dist in km from CO" totalsRowDxfId="187"/>
    <tableColumn id="16" name="Avg Travel Speed" totalsRowDxfId="186"/>
    <tableColumn id="17" name="Failures per year" totalsRowDxfId="185">
      <calculatedColumnFormula>Table1[[#This Row],[Quantity]]*Table1[[#This Row],[FIT]]*24*365/1000000000</calculatedColumnFormula>
    </tableColumn>
    <tableColumn id="18" name="Twice Travel Time" totalsRowDxfId="184">
      <calculatedColumnFormula>2*Table1[[#This Row],[Mean dist in km from CO]]/Table1[[#This Row],[Avg Travel Speed]]</calculatedColumnFormula>
    </tableColumn>
    <tableColumn id="19" name="Total Time to Repair(h)" totalsRowDxfId="183">
      <calculatedColumnFormula>Table1[[#This Row],[MTTR]]+Table1[[#This Row],[Twice Travel Time]]</calculatedColumnFormula>
    </tableColumn>
    <tableColumn id="20" name="No. Of technicians" totalsRowDxfId="182"/>
    <tableColumn id="21" name="Cost per hour" totalsRowDxfId="181"/>
    <tableColumn id="22" name="FM Cost" totalsRowFunction="custom" totalsRowDxfId="180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  <tableColumn id="23" name="SLA CU per hour" totalsRowDxfId="179"/>
    <tableColumn id="24" name="Percentage of Business Users" totalsRowDxfId="178"/>
    <tableColumn id="25" name="Percentage of ITS and business users" totalsRowDxfId="177"/>
    <tableColumn id="26" name="FM Penalty Business" totalsRowFunction="sum" totalsRowDxfId="176">
      <calculatedColumnFormula>Table1[[#This Row],[Percentage of Business Users]]*Table1[[#This Row],[SLA CU per hour]]*Table1[[#This Row],[Failures per year]]*Table1[[#This Row],[Total Time to Repair(h)]]</calculatedColumnFormula>
    </tableColumn>
    <tableColumn id="27" name="FM Penalty ITS" totalsRowFunction="sum" totalsRowDxfId="175">
      <calculatedColumnFormula>Table1[[#This Row],[Percentage of ITS and business users]]*Table1[[#This Row],[SLA CU per hour]]*Table1[[#This Row],[Failures per year]]*Table1[[#This Row],[Total Time to Repair(h)]]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B11" totalsRowCount="1">
  <autoFilter ref="A1:AB10"/>
  <tableColumns count="28">
    <tableColumn id="1" name="Position of component"/>
    <tableColumn id="2" name="Component Name" dataDxfId="174"/>
    <tableColumn id="3" name="Cost per Unit (OASE)"/>
    <tableColumn id="4" name="Quantity" dataDxfId="173"/>
    <tableColumn id="5" name="Floor Space per component"/>
    <tableColumn id="6" name="Total Floor Space">
      <calculatedColumnFormula>Table4[[#This Row],[Quantity]]*Table4[[#This Row],[Floor Space per component]]</calculatedColumnFormula>
    </tableColumn>
    <tableColumn id="7" name="Rent per sqm per year"/>
    <tableColumn id="8" name="Total Rent cost per year" totalsRowFunction="sum">
      <calculatedColumnFormula>G2*F2</calculatedColumnFormula>
    </tableColumn>
    <tableColumn id="10" name="Installation Time in hours"/>
    <tableColumn id="11" name="MTTR"/>
    <tableColumn id="12" name="FIT"/>
    <tableColumn id="13" name="Energy consumption in W"/>
    <tableColumn id="14" name="Yearly Energy Consumption in kWh">
      <calculatedColumnFormula>Table4[[#This Row],[Energy consumption in W]]*24*365/1000</calculatedColumnFormula>
    </tableColumn>
    <tableColumn id="15" name="CU/kWh">
      <calculatedColumnFormula>0.15/50</calculatedColumnFormula>
    </tableColumn>
    <tableColumn id="16" name="Energy Cost per year in CU" totalsRowFunction="sum">
      <calculatedColumnFormula>Table4[[#This Row],[Yearly Energy Consumption in kWh]]*Table1[[#This Row],[CU/kWh]]</calculatedColumnFormula>
    </tableColumn>
    <tableColumn id="17" name="Mean dist in km from CO"/>
    <tableColumn id="18" name="Avg Travel Speed"/>
    <tableColumn id="19" name="Failures per year">
      <calculatedColumnFormula>Table4[[#This Row],[Quantity]]*Table4[[#This Row],[FIT]]*24*365/1000000000</calculatedColumnFormula>
    </tableColumn>
    <tableColumn id="20" name="Twice Travel Time">
      <calculatedColumnFormula>2*Table4[[#This Row],[Mean dist in km from CO]]/Table4[[#This Row],[Avg Travel Speed]]</calculatedColumnFormula>
    </tableColumn>
    <tableColumn id="21" name="Total Time to Repair(h)">
      <calculatedColumnFormula>Table4[[#This Row],[MTTR]]+Table4[[#This Row],[Twice Travel Time]]</calculatedColumnFormula>
    </tableColumn>
    <tableColumn id="22" name="No. Of technicians"/>
    <tableColumn id="23" name="Cost per hour"/>
    <tableColumn id="24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  <tableColumn id="9" name="SLA CU per hour"/>
    <tableColumn id="25" name="Percentage of Business Users"/>
    <tableColumn id="26" name="Percentage of ITS and business users"/>
    <tableColumn id="27" name="FM Penalty Business" totalsRowFunction="sum">
      <calculatedColumnFormula>Table4[[#This Row],[Percentage of Business Users]]*Table4[[#This Row],[SLA CU per hour]]*Table4[[#This Row],[Failures per year]]*Table4[[#This Row],[Total Time to Repair(h)]]</calculatedColumnFormula>
    </tableColumn>
    <tableColumn id="28" name="FM Penalty ITS" totalsRowFunction="sum">
      <calculatedColumnFormula>Table4[[#This Row],[Percentage of ITS and business users]]*Table4[[#This Row],[SLA CU per hour]]*Table4[[#This Row],[Failures per year]]*Table4[[#This Row],[Total Time to Repair(h)]]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AB11" totalsRowCount="1">
  <autoFilter ref="A1:AB10"/>
  <tableColumns count="28">
    <tableColumn id="1" name="Position of component"/>
    <tableColumn id="2" name="Component Name" dataDxfId="172"/>
    <tableColumn id="3" name="Cost per Unit (OASE)"/>
    <tableColumn id="4" name="Quantity" dataDxfId="171"/>
    <tableColumn id="5" name="Floor Space per component"/>
    <tableColumn id="6" name="Total Floor Space">
      <calculatedColumnFormula>Table36[[#This Row],[Floor Space per component]]*Table36[[#This Row],[Quantity]]</calculatedColumnFormula>
    </tableColumn>
    <tableColumn id="7" name="Rent per sqm per year"/>
    <tableColumn id="8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name="Installation Time in hours"/>
    <tableColumn id="10" name="MTTR"/>
    <tableColumn id="11" name="FIT"/>
    <tableColumn id="12" name="Energy consumption in W">
      <calculatedColumnFormula>100*Table36[[#This Row],[Quantity]]</calculatedColumnFormula>
    </tableColumn>
    <tableColumn id="13" name="Yearly Energy Consumption in kWh">
      <calculatedColumnFormula>Table36[[#This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Table36[[#This Row],[Yearly Energy Consumption in kWh]]*Table36[[#This Row],[CU/kWh]]</calculatedColumnFormula>
    </tableColumn>
    <tableColumn id="16" name="Mean dist in km from CO"/>
    <tableColumn id="17" name="Avg Travel Speed"/>
    <tableColumn id="18" name="Failures per year">
      <calculatedColumnFormula>Table36[[#This Row],[Quantity]]*(Table36[[#This Row],[FIT]]*24*365)/1000000000</calculatedColumnFormula>
    </tableColumn>
    <tableColumn id="19" name="Twice Travel Time">
      <calculatedColumnFormula>2*Table36[[#This Row],[Mean dist in km from CO]]/Table36[[#This Row],[Avg Travel Speed]]</calculatedColumnFormula>
    </tableColumn>
    <tableColumn id="20" name="Total Time to Repair(h)">
      <calculatedColumnFormula>Table36[[#This Row],[MTTR]]+Table36[[#This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Table36[[#This Row],[Cost per hour]]*Table36[[#This Row],[Total Time to Repair(h)]]*Table36[[#This Row],[Failures per year]]</calculatedColumnFormula>
    </tableColumn>
    <tableColumn id="24" name="SLA CU per hour"/>
    <tableColumn id="25" name="Percentage of Business Users"/>
    <tableColumn id="26" name="Percentage of ITS and business users"/>
    <tableColumn id="27" name="FM Penalty Business" totalsRowFunction="sum">
      <calculatedColumnFormula>Table36[[#This Row],[Percentage of Business Users]]*Table36[[#This Row],[SLA CU per hour]]*Table36[[#This Row],[Failures per year]]*Table36[[#This Row],[Total Time to Repair(h)]]</calculatedColumnFormula>
    </tableColumn>
    <tableColumn id="28" name="FM Penalty ITS" totalsRowFunction="sum">
      <calculatedColumnFormula>Table36[[#This Row],[Percentage of ITS and business users]]*Table36[[#This Row],[SLA CU per hour]]*Table36[[#This Row],[Failures per year]]*Table36[[#This Row],[Total Time to Repair(h)]]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AB11" totalsRowCount="1">
  <autoFilter ref="A1:AB10"/>
  <tableColumns count="28">
    <tableColumn id="1" name="Position of component"/>
    <tableColumn id="2" name="Component Name" dataDxfId="170" totalsRowDxfId="169"/>
    <tableColumn id="3" name="Cost per Unit (OASE)" dataDxfId="168"/>
    <tableColumn id="4" name="Quantity" dataDxfId="167"/>
    <tableColumn id="24" name="Floor Space per component"/>
    <tableColumn id="25" name="Total Floor Space">
      <calculatedColumnFormula>Table27[[#This Row],[Floor Space per component]]*Table27[[#This Row],[Quantity]]</calculatedColumnFormula>
    </tableColumn>
    <tableColumn id="26" name="Rent per sqm per year"/>
    <tableColumn id="27" name="Total Rent cost per year" totalsRowFunction="custom" totalsRowDxfId="166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Table27[[#This Row],[Energy consumption in W]]*24*365/1000</calculatedColumnFormula>
    </tableColumn>
    <tableColumn id="10" name="CU/kWh">
      <calculatedColumnFormula>0.15/50</calculatedColumnFormula>
    </tableColumn>
    <tableColumn id="11" name="Energy Cost per year in CU" totalsRowFunction="custom" totalsRowDxfId="165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name="Mean dist in km from CO"/>
    <tableColumn id="13" name="Avg Travel Speed"/>
    <tableColumn id="14" name="Failures per year">
      <calculatedColumnFormula>Table27[[#This Row],[Quantity]]*(Table27[[#This Row],[FIT]]*24*365)/1000000000</calculatedColumnFormula>
    </tableColumn>
    <tableColumn id="15" name="Twice Travel Time">
      <calculatedColumnFormula>2*Table27[[#This Row],[Mean dist in km from CO]]/Table27[[#This Row],[Avg Travel Speed]]</calculatedColumnFormula>
    </tableColumn>
    <tableColumn id="16" name="Total Time to Repair(h)">
      <calculatedColumnFormula>Table27[[#This Row],[MTTR]]+Table27[[#This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64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name="SLA CU per hour"/>
    <tableColumn id="21" name="Percentage of Business Users"/>
    <tableColumn id="22" name="Percentage of ITS and business users">
      <calculatedColumnFormula>0.07+2*0.00027</calculatedColumnFormula>
    </tableColumn>
    <tableColumn id="23" name="FM Penalty Business" totalsRowFunction="sum">
      <calculatedColumnFormula>Table27[[#This Row],[Percentage of Business Users]]*Table27[[#This Row],[SLA CU per hour]]*Table27[[#This Row],[Failures per year]]*Table27[[#This Row],[Total Time to Repair(h)]]</calculatedColumnFormula>
    </tableColumn>
    <tableColumn id="28" name="FM Penalty ITS" totalsRowFunction="sum">
      <calculatedColumnFormula>Table27[[#This Row],[Percentage of ITS and business users]]*Table27[[#This Row],[SLA CU per hour]]*Table27[[#This Row],[Failures per year]]*Table27[[#This Row],[Total Time to Repair(h)]]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O23:R29" totalsRowCount="1">
  <autoFilter ref="O23:R28"/>
  <tableColumns count="4">
    <tableColumn id="1" name="Component"/>
    <tableColumn id="2" name="Residential" totalsRowFunction="custom">
      <calculatedColumnFormula>P35/$M$24</calculatedColumnFormula>
      <totalsRowFormula>SUM(Table14[Residential])</totalsRowFormula>
    </tableColumn>
    <tableColumn id="3" name="Business" totalsRowFunction="sum">
      <calculatedColumnFormula>Q35/$M$24</calculatedColumnFormula>
    </tableColumn>
    <tableColumn id="4" name="Business ITS" totalsRowFunction="sum">
      <calculatedColumnFormula>R35/$M$24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8" displayName="Table38" ref="A1:AB11" totalsRowCount="1">
  <autoFilter ref="A1:AB10"/>
  <tableColumns count="28">
    <tableColumn id="1" name="Position of component"/>
    <tableColumn id="2" name="Component Name"/>
    <tableColumn id="3" name="Cost per Unit (OASE)" dataDxfId="163"/>
    <tableColumn id="4" name="Quantity" dataDxfId="162"/>
    <tableColumn id="5" name="Floor Space per component"/>
    <tableColumn id="6" name="Total Floor Space">
      <calculatedColumnFormula>Table38[[#This Row],[Floor Space per component]]*Table38[[#This Row],[Quantity]]</calculatedColumnFormula>
    </tableColumn>
    <tableColumn id="7" name="Rent per sqm per year"/>
    <tableColumn id="8" name="Total Rent cost per year" totalsRowFunction="custom">
      <calculatedColumnFormula>Table38[[#This Row],[Rent per sqm per year]]*Table38[[#This Row],[Total Floor Space]]</calculatedColumnFormula>
      <totalsRowFormula>SUM(Table38[Total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Table38[[#This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Table38[[#This Row],[Yearly Energy Consumption in kWh]]*Table38[[#This Row],[CU/kWh]]</calculatedColumnFormula>
    </tableColumn>
    <tableColumn id="16" name="Mean dist in km from CO"/>
    <tableColumn id="17" name="Avg Travel Speed"/>
    <tableColumn id="18" name="Failures per year">
      <calculatedColumnFormula>Table38[[#This Row],[Quantity]]*(Table38[[#This Row],[FIT]]*24*365)/1000000000</calculatedColumnFormula>
    </tableColumn>
    <tableColumn id="19" name="Twice Travel Time">
      <calculatedColumnFormula>2*Table38[[#This Row],[Mean dist in km from CO]]/Table38[[#This Row],[Avg Travel Speed]]</calculatedColumnFormula>
    </tableColumn>
    <tableColumn id="20" name="Total Time to Repair(h)">
      <calculatedColumnFormula>Table38[[#This Row],[MTTR]]+Table38[[#This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Table38[[#This Row],[Cost per hour]]*Table38[[#This Row],[Total Time to Repair(h)]]*Table38[[#This Row],[Failures per year]]</calculatedColumnFormula>
    </tableColumn>
    <tableColumn id="24" name="SLA CU per hour"/>
    <tableColumn id="25" name="Percentage of Business Users"/>
    <tableColumn id="26" name="Percentage of ITS and business users">
      <calculatedColumnFormula>0.07+2*0.00027</calculatedColumnFormula>
    </tableColumn>
    <tableColumn id="27" name="FM Penalty Business" totalsRowFunction="sum">
      <calculatedColumnFormula>Table38[[#This Row],[Percentage of Business Users]]*Table38[[#This Row],[SLA CU per hour]]*Table38[[#This Row],[Failures per year]]*Table38[[#This Row],[Total Time to Repair(h)]]</calculatedColumnFormula>
    </tableColumn>
    <tableColumn id="28" name="FM Penalty ITS" totalsRowFunction="sum">
      <calculatedColumnFormula>Table38[[#This Row],[Percentage of ITS and business users]]*Table38[[#This Row],[SLA CU per hour]]*Table38[[#This Row],[Failures per year]]*Table38[[#This Row],[Total Time to Repair(h)]]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416" displayName="Table1416" ref="L31:O37" totalsRowCount="1">
  <autoFilter ref="L31:O36"/>
  <tableColumns count="4">
    <tableColumn id="1" name="Component"/>
    <tableColumn id="2" name="Residential" totalsRowFunction="custom">
      <calculatedColumnFormula>M43/$I$32</calculatedColumnFormula>
      <totalsRowFormula>SUM(Table1416[Residential])</totalsRowFormula>
    </tableColumn>
    <tableColumn id="3" name="Business" totalsRowFunction="sum">
      <calculatedColumnFormula>N43/$I$32</calculatedColumnFormula>
    </tableColumn>
    <tableColumn id="4" name="Business ITS" totalsRowFunction="sum">
      <calculatedColumnFormula>O43/$I$32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=@[Percentage%20of%20Business%20Users]*@[SLA%20CU%20per%20hour]*@[Failures%20per%20year]*@[Total%20Time%20to%20Repair(h)]" TargetMode="External"/><Relationship Id="rId1" Type="http://schemas.openxmlformats.org/officeDocument/2006/relationships/hyperlink" Target="mailto:=@[Percentage%20of%20Business%20Users]*@[SLA%20CU%20per%20hour]*@[Failures%20per%20year]*@[Total%20Time%20to%20Repair(h)]" TargetMode="Externa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F31" sqref="F31"/>
    </sheetView>
  </sheetViews>
  <sheetFormatPr defaultRowHeight="15" x14ac:dyDescent="0.25"/>
  <cols>
    <col min="1" max="1" width="15.28515625" customWidth="1"/>
    <col min="2" max="2" width="28.85546875" customWidth="1"/>
    <col min="3" max="3" width="14.85546875" customWidth="1"/>
    <col min="4" max="5" width="31.42578125" customWidth="1"/>
    <col min="6" max="12" width="14.85546875" customWidth="1"/>
    <col min="13" max="13" width="14.85546875" bestFit="1" customWidth="1"/>
  </cols>
  <sheetData>
    <row r="3" spans="1:6" x14ac:dyDescent="0.25">
      <c r="A3" s="3" t="s">
        <v>53</v>
      </c>
      <c r="B3" s="1" t="s">
        <v>55</v>
      </c>
      <c r="C3" s="1" t="s">
        <v>57</v>
      </c>
      <c r="D3" s="1" t="s">
        <v>56</v>
      </c>
    </row>
    <row r="4" spans="1:6" x14ac:dyDescent="0.25">
      <c r="A4" s="4" t="s">
        <v>13</v>
      </c>
      <c r="B4" s="5">
        <v>0</v>
      </c>
      <c r="C4" s="5">
        <v>0</v>
      </c>
      <c r="D4" s="5">
        <v>0</v>
      </c>
    </row>
    <row r="5" spans="1:6" x14ac:dyDescent="0.25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25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25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25">
      <c r="A8" s="4" t="s">
        <v>54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pageSetup paperSize="9" orientation="portrait" verticalDpi="0" r:id="rId2"/>
  <headerFooter>
    <oddFooter>&amp;LUnrestricted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G1" zoomScale="70" zoomScaleNormal="70" workbookViewId="0">
      <selection activeCell="M31" sqref="M31"/>
    </sheetView>
  </sheetViews>
  <sheetFormatPr defaultRowHeight="15" x14ac:dyDescent="0.25"/>
  <cols>
    <col min="1" max="1" width="22.140625" customWidth="1"/>
    <col min="2" max="2" width="22.7109375" customWidth="1"/>
    <col min="3" max="3" width="20.140625" customWidth="1"/>
    <col min="4" max="4" width="13.5703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24" customWidth="1"/>
    <col min="22" max="22" width="14.28515625" customWidth="1"/>
    <col min="23" max="23" width="9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t="s">
        <v>3</v>
      </c>
      <c r="B2" t="s">
        <v>4</v>
      </c>
      <c r="C2">
        <v>80</v>
      </c>
      <c r="D2" s="23">
        <v>50</v>
      </c>
      <c r="E2">
        <v>5</v>
      </c>
      <c r="F2">
        <f>Table9[[#This Row],[Floor Space per component]]*Table9[[#This Row],[Quantity]]</f>
        <v>250</v>
      </c>
      <c r="G2">
        <v>10.6</v>
      </c>
      <c r="H2">
        <f>Table9[[#This Row],[Total Floor Space]]*Table9[[#This Row],[Rent per sqm per year]]</f>
        <v>2650</v>
      </c>
      <c r="I2">
        <f>(0.5+1/6*8)*Table9[[#This Row],[Quantity]]</f>
        <v>91.666666666666657</v>
      </c>
      <c r="J2">
        <v>6</v>
      </c>
      <c r="K2">
        <v>256</v>
      </c>
      <c r="L2">
        <f>0.5*8*2.5*Table9[[#This Row],[Quantity]]</f>
        <v>500</v>
      </c>
      <c r="M2">
        <f>Table9[[#This Row],[Energy consumption in W]]*24*365/1000</f>
        <v>4380</v>
      </c>
      <c r="N2">
        <f>0.15/50</f>
        <v>3.0000000000000001E-3</v>
      </c>
      <c r="O2">
        <f>Table9[[#This Row],[Yearly Energy Consumption in kWh]]*Table9[[#This Row],[CU/kWh]]</f>
        <v>13.14</v>
      </c>
      <c r="P2">
        <v>0</v>
      </c>
      <c r="Q2">
        <v>20</v>
      </c>
      <c r="R2">
        <f>Table9[[#This Row],[FIT]]*Table9[[#This Row],[Quantity]]*24*365/1000000000</f>
        <v>0.11212800000000001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5</v>
      </c>
      <c r="W2">
        <f>Table9[[#This Row],[Failures per year]]*Table9[[#This Row],[Total Time to Repair(h)]]*Table9[[#This Row],[No. Of technicians]]*Table9[[#This Row],[Cost per hour]]</f>
        <v>3.3638400000000002</v>
      </c>
      <c r="X2" s="8">
        <v>100</v>
      </c>
      <c r="Y2" s="8">
        <v>7.0000000000000007E-2</v>
      </c>
      <c r="Z2" s="8">
        <f>0.07+2*0.00027</f>
        <v>7.0540000000000005E-2</v>
      </c>
      <c r="AA2">
        <f>Table9[Percentage of Business Users]*Table9[SLA CU per hour]*Table9[Failures per year]*Table9[Total Time to Repair(h)]</f>
        <v>4.7093760000000007</v>
      </c>
      <c r="AB2">
        <f>Table9[[#This Row],[Percentage of ITS and business users]]*Table9[[#This Row],[SLA CU per hour]]*Table9[[#This Row],[Failures per year]]*Table9[[#This Row],[Total Time to Repair(h)]]</f>
        <v>4.7457054720000009</v>
      </c>
    </row>
    <row r="3" spans="1:28" x14ac:dyDescent="0.25">
      <c r="A3" t="s">
        <v>3</v>
      </c>
      <c r="B3" t="s">
        <v>84</v>
      </c>
      <c r="C3">
        <v>40</v>
      </c>
      <c r="D3" s="23">
        <v>10</v>
      </c>
      <c r="E3">
        <v>1</v>
      </c>
      <c r="F3" s="8">
        <f>Table9[[#This Row],[Floor Space per component]]*Table9[[#This Row],[Quantity]]</f>
        <v>10</v>
      </c>
      <c r="G3" s="8">
        <v>10.6</v>
      </c>
      <c r="H3" s="8">
        <f>Table9[[#This Row],[Total Floor Space]]*Table9[[#This Row],[Rent per sqm per year]]</f>
        <v>106</v>
      </c>
      <c r="I3" s="5">
        <f>1/6*Table9[[#This Row],[Quantity]]</f>
        <v>1.6666666666666665</v>
      </c>
      <c r="J3">
        <v>6</v>
      </c>
      <c r="K3">
        <v>50</v>
      </c>
      <c r="L3">
        <f>100*Table9[[#This Row],[Quantity]]</f>
        <v>1000</v>
      </c>
      <c r="M3" s="8">
        <f>Table9[[#This Row],[Energy consumption in W]]*24*365/1000</f>
        <v>8760</v>
      </c>
      <c r="N3" s="8">
        <f t="shared" ref="N3:N10" si="0">0.15/50</f>
        <v>3.0000000000000001E-3</v>
      </c>
      <c r="O3" s="8">
        <f>Table9[[#This Row],[Yearly Energy Consumption in kWh]]*Table9[[#This Row],[CU/kWh]]</f>
        <v>26.28</v>
      </c>
      <c r="P3">
        <v>0</v>
      </c>
      <c r="Q3" s="8">
        <v>20</v>
      </c>
      <c r="R3" s="8">
        <f>Table9[[#This Row],[FIT]]*Table9[[#This Row],[Quantity]]*24*365/1000000000</f>
        <v>4.3800000000000002E-3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5</v>
      </c>
      <c r="W3" s="8">
        <f>Table9[[#This Row],[Failures per year]]*Table9[[#This Row],[Total Time to Repair(h)]]*Table9[[#This Row],[No. Of technicians]]*Table9[[#This Row],[Cost per hour]]</f>
        <v>0.13140000000000002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Table9[Percentage of Business Users]*Table9[SLA CU per hour]*Table9[Failures per year]*Table9[Total Time to Repair(h)]</f>
        <v>0.18396000000000004</v>
      </c>
      <c r="AB3" s="8">
        <f>Table9[[#This Row],[Percentage of ITS and business users]]*Table9[[#This Row],[SLA CU per hour]]*Table9[[#This Row],[Failures per year]]*Table9[[#This Row],[Total Time to Repair(h)]]</f>
        <v>0.18537912000000001</v>
      </c>
    </row>
    <row r="4" spans="1:28" x14ac:dyDescent="0.25">
      <c r="A4" t="s">
        <v>3</v>
      </c>
      <c r="B4" t="s">
        <v>6</v>
      </c>
      <c r="C4">
        <v>0.1</v>
      </c>
      <c r="D4" s="23">
        <v>1200</v>
      </c>
      <c r="E4">
        <v>0</v>
      </c>
      <c r="F4" s="8">
        <f>Table9[[#This Row],[Floor Space per component]]*Table9[[#This Row],[Quantity]]</f>
        <v>0</v>
      </c>
      <c r="G4" s="8">
        <v>10.6</v>
      </c>
      <c r="H4" s="8">
        <f>Table9[[#This Row],[Total Floor Space]]*Table9[[#This Row],[Rent per sqm per year]]</f>
        <v>0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3.0000000000000001E-3</v>
      </c>
      <c r="O4" s="8">
        <f>Table9[[#This Row],[Yearly Energy Consumption in kWh]]*Table9[[#This Row],[CU/kWh]]</f>
        <v>15.768000000000001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5</v>
      </c>
      <c r="W4" s="8">
        <f>Table9[[#This Row],[Failures per year]]*Table9[[#This Row],[Total Time to Repair(h)]]*Table9[[#This Row],[No. Of technicians]]*Table9[[#This Row],[Cost per hour]]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Table9[Percentage of Business Users]*Table9[SLA CU per hour]*Table9[Failures per year]*Table9[Total Time to Repair(h)]</f>
        <v>0</v>
      </c>
      <c r="AB4" s="8">
        <f>Table9[[#This Row],[Percentage of ITS and business users]]*Table9[[#This Row],[SLA CU per hour]]*Table9[[#This Row],[Failures per year]]*Table9[[#This Row],[Total Time to Repair(h)]]</f>
        <v>0</v>
      </c>
    </row>
    <row r="5" spans="1:28" x14ac:dyDescent="0.25">
      <c r="A5" t="s">
        <v>3</v>
      </c>
      <c r="B5" t="s">
        <v>75</v>
      </c>
      <c r="C5">
        <v>400</v>
      </c>
      <c r="D5" s="23">
        <v>1</v>
      </c>
      <c r="E5">
        <v>20</v>
      </c>
      <c r="F5" s="8">
        <f>Table9[[#This Row],[Floor Space per component]]*Table9[[#This Row],[Quantity]]</f>
        <v>20</v>
      </c>
      <c r="G5" s="8">
        <v>10.6</v>
      </c>
      <c r="H5" s="8">
        <f>Table9[[#This Row],[Total Floor Space]]*Table9[[#This Row],[Rent per sqm per year]]</f>
        <v>212</v>
      </c>
      <c r="I5">
        <f>24*Table9[[#This Row],[Quantity]]</f>
        <v>24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3.0000000000000001E-3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5</v>
      </c>
      <c r="W5" s="8">
        <f>Table9[[#This Row],[Failures per year]]*Table9[[#This Row],[Total Time to Repair(h)]]*Table9[[#This Row],[No. Of technicians]]*Table9[[#This Row],[Cost per hour]]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Table9[Percentage of Business Users]*Table9[SLA CU per hour]*Table9[Failures per year]*Table9[Total Time to Repair(h)]</f>
        <v>0</v>
      </c>
      <c r="AB5" s="8">
        <f>Table9[[#This Row],[Percentage of ITS and business users]]*Table9[[#This Row],[SLA CU per hour]]*Table9[[#This Row],[Failures per year]]*Table9[[#This Row],[Total Time to Repair(h)]]</f>
        <v>0</v>
      </c>
    </row>
    <row r="6" spans="1:28" x14ac:dyDescent="0.25">
      <c r="A6" t="s">
        <v>8</v>
      </c>
      <c r="B6" t="s">
        <v>76</v>
      </c>
      <c r="C6">
        <v>24</v>
      </c>
      <c r="D6" s="23">
        <v>31</v>
      </c>
      <c r="E6">
        <v>0</v>
      </c>
      <c r="F6" s="8">
        <f>Table9[[#This Row],[Floor Space per component]]*Table9[[#This Row],[Quantity]]</f>
        <v>0</v>
      </c>
      <c r="G6" s="8">
        <v>10.6</v>
      </c>
      <c r="H6" s="8">
        <f>Table9[[#This Row],[Total Floor Space]]*Table9[[#This Row],[Rent per sqm per year]]</f>
        <v>0</v>
      </c>
      <c r="I6">
        <f>1/6*Table9[[#This Row],[Quantity]]</f>
        <v>5.1666666666666661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3.0000000000000001E-3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1.3578E-2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5</v>
      </c>
      <c r="W6" s="8">
        <f>Table9[[#This Row],[Failures per year]]*Table9[[#This Row],[Total Time to Repair(h)]]*Table9[[#This Row],[No. Of technicians]]*Table9[[#This Row],[Cost per hour]]</f>
        <v>0.41412899999999997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Table9[Percentage of Business Users]*Table9[SLA CU per hour]*Table9[Failures per year]*Table9[Total Time to Repair(h)]</f>
        <v>0.57978059999999998</v>
      </c>
      <c r="AB6" s="8">
        <f>Table9[[#This Row],[Percentage of ITS and business users]]*Table9[[#This Row],[SLA CU per hour]]*Table9[[#This Row],[Failures per year]]*Table9[[#This Row],[Total Time to Repair(h)]]</f>
        <v>0.58425319320000002</v>
      </c>
    </row>
    <row r="7" spans="1:28" x14ac:dyDescent="0.25">
      <c r="A7" t="s">
        <v>10</v>
      </c>
      <c r="B7" t="s">
        <v>85</v>
      </c>
      <c r="C7">
        <v>112</v>
      </c>
      <c r="D7" s="23">
        <v>494</v>
      </c>
      <c r="E7">
        <v>1</v>
      </c>
      <c r="F7" s="8">
        <f>Table9[[#This Row],[Floor Space per component]]*Table9[[#This Row],[Quantity]]</f>
        <v>494</v>
      </c>
      <c r="G7" s="8">
        <v>10.6</v>
      </c>
      <c r="H7" s="8">
        <f>Table9[[#This Row],[Total Floor Space]]*Table9[[#This Row],[Rent per sqm per year]]</f>
        <v>5236.3999999999996</v>
      </c>
      <c r="I7">
        <f>(0.5+1/6*4)*Table9[[#This Row],[Quantity]]</f>
        <v>576.33333333333326</v>
      </c>
      <c r="J7">
        <v>24</v>
      </c>
      <c r="K7">
        <v>5000</v>
      </c>
      <c r="L7">
        <f>50*Table9[[#This Row],[Quantity]]</f>
        <v>24700</v>
      </c>
      <c r="M7" s="8">
        <f>Table9[[#This Row],[Energy consumption in W]]*24*365/1000</f>
        <v>216372</v>
      </c>
      <c r="N7" s="8">
        <f t="shared" si="0"/>
        <v>3.0000000000000001E-3</v>
      </c>
      <c r="O7" s="8">
        <f>Table9[[#This Row],[Yearly Energy Consumption in kWh]]*Table9[[#This Row],[CU/kWh]]</f>
        <v>649.11599999999999</v>
      </c>
      <c r="P7">
        <v>1.5</v>
      </c>
      <c r="Q7" s="8">
        <v>20</v>
      </c>
      <c r="R7" s="8">
        <f>Table9[[#This Row],[FIT]]*Table9[[#This Row],[Quantity]]*24*365/1000000000</f>
        <v>21.6372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5</v>
      </c>
      <c r="W7" s="8">
        <f>Table9[[#This Row],[Failures per year]]*Table9[[#This Row],[Total Time to Repair(h)]]*Table9[[#This Row],[No. Of technicians]]*Table9[[#This Row],[Cost per hour]]</f>
        <v>2612.6918999999998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Table9[Percentage of Business Users]*Table9[SLA CU per hour]*Table9[Failures per year]*Table9[Total Time to Repair(h)]</f>
        <v>3657.7686600000002</v>
      </c>
      <c r="AB7" s="8">
        <f>Table9[[#This Row],[Percentage of ITS and business users]]*Table9[[#This Row],[SLA CU per hour]]*Table9[[#This Row],[Failures per year]]*Table9[[#This Row],[Total Time to Repair(h)]]</f>
        <v>3685.9857325199996</v>
      </c>
    </row>
    <row r="8" spans="1:28" x14ac:dyDescent="0.25">
      <c r="A8" t="s">
        <v>10</v>
      </c>
      <c r="B8" t="s">
        <v>86</v>
      </c>
      <c r="C8">
        <v>3.1</v>
      </c>
      <c r="D8" s="23">
        <f>494*3</f>
        <v>1482</v>
      </c>
      <c r="E8">
        <v>0</v>
      </c>
      <c r="F8" s="8">
        <f>Table9[[#This Row],[Floor Space per component]]*Table9[[#This Row],[Quantity]]</f>
        <v>0</v>
      </c>
      <c r="G8" s="8">
        <v>10.6</v>
      </c>
      <c r="H8" s="8">
        <f>Table9[[#This Row],[Total Floor Space]]*Table9[[#This Row],[Rent per sqm per year]]</f>
        <v>0</v>
      </c>
      <c r="I8">
        <f>(0.5)*Table9[[#This Row],[Quantity]]</f>
        <v>741</v>
      </c>
      <c r="J8">
        <v>6</v>
      </c>
      <c r="K8">
        <v>256</v>
      </c>
      <c r="L8">
        <f>5.5*Table9[[#This Row],[Quantity]]</f>
        <v>8151</v>
      </c>
      <c r="M8" s="8">
        <f>Table9[[#This Row],[Energy consumption in W]]*24*365/1000</f>
        <v>71402.759999999995</v>
      </c>
      <c r="N8" s="8">
        <f t="shared" si="0"/>
        <v>3.0000000000000001E-3</v>
      </c>
      <c r="O8" s="8">
        <f>Table9[[#This Row],[Yearly Energy Consumption in kWh]]*Table9[[#This Row],[CU/kWh]]</f>
        <v>214.20828</v>
      </c>
      <c r="P8">
        <v>1.5</v>
      </c>
      <c r="Q8" s="8">
        <v>20</v>
      </c>
      <c r="R8" s="8">
        <f>Table9[[#This Row],[FIT]]*Table9[[#This Row],[Quantity]]*24*365/1000000000</f>
        <v>3.3234739200000001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5</v>
      </c>
      <c r="W8" s="8">
        <f>Table9[[#This Row],[Failures per year]]*Table9[[#This Row],[Total Time to Repair(h)]]*Table9[[#This Row],[No. Of technicians]]*Table9[[#This Row],[Cost per hour]]</f>
        <v>102.19682304000001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Table9[Percentage of Business Users]*Table9[SLA CU per hour]*Table9[Failures per year]*Table9[Total Time to Repair(h)]</f>
        <v>143.07555225600004</v>
      </c>
      <c r="AB8" s="8">
        <f>Table9[[#This Row],[Percentage of ITS and business users]]*Table9[[#This Row],[SLA CU per hour]]*Table9[[#This Row],[Failures per year]]*Table9[[#This Row],[Total Time to Repair(h)]]</f>
        <v>144.17927794483202</v>
      </c>
    </row>
    <row r="9" spans="1:28" x14ac:dyDescent="0.25">
      <c r="A9" t="s">
        <v>10</v>
      </c>
      <c r="B9" t="s">
        <v>87</v>
      </c>
      <c r="C9">
        <v>12</v>
      </c>
      <c r="D9" s="23">
        <f>494*3</f>
        <v>1482</v>
      </c>
      <c r="E9">
        <v>1</v>
      </c>
      <c r="F9" s="8">
        <f>Table9[[#This Row],[Floor Space per component]]*Table9[[#This Row],[Quantity]]</f>
        <v>1482</v>
      </c>
      <c r="G9" s="8">
        <v>10.6</v>
      </c>
      <c r="H9" s="8">
        <f>Table9[[#This Row],[Total Floor Space]]*Table9[[#This Row],[Rent per sqm per year]]</f>
        <v>15709.199999999999</v>
      </c>
      <c r="I9">
        <f>(0.5+1/6*16)*Table9[[#This Row],[Quantity]]</f>
        <v>4693</v>
      </c>
      <c r="J9">
        <v>24</v>
      </c>
      <c r="K9">
        <v>512</v>
      </c>
      <c r="L9">
        <f>50*Table9[[#This Row],[Quantity]]</f>
        <v>74100</v>
      </c>
      <c r="M9" s="8">
        <f>Table9[[#This Row],[Energy consumption in W]]*24*365/1000</f>
        <v>649116</v>
      </c>
      <c r="N9" s="8">
        <f t="shared" si="0"/>
        <v>3.0000000000000001E-3</v>
      </c>
      <c r="O9" s="8">
        <f>Table9[[#This Row],[Yearly Energy Consumption in kWh]]*Table9[[#This Row],[CU/kWh]]</f>
        <v>1947.348</v>
      </c>
      <c r="P9">
        <v>2</v>
      </c>
      <c r="Q9" s="8">
        <v>20</v>
      </c>
      <c r="R9" s="8">
        <f>Table9[[#This Row],[FIT]]*Table9[[#This Row],[Quantity]]*24*365/1000000000</f>
        <v>6.6469478400000002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5</v>
      </c>
      <c r="W9" s="8">
        <f>Table9[[#This Row],[Failures per year]]*Table9[[#This Row],[Total Time to Repair(h)]]*Table9[[#This Row],[No. Of technicians]]*Table9[[#This Row],[Cost per hour]]</f>
        <v>804.28068863999999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Table9[Percentage of Business Users]*Table9[SLA CU per hour]*Table9[Failures per year]*Table9[Total Time to Repair(h)]</f>
        <v>1125.9929640960002</v>
      </c>
      <c r="AB9" s="8">
        <f>Table9[[#This Row],[Percentage of ITS and business users]]*Table9[[#This Row],[SLA CU per hour]]*Table9[[#This Row],[Failures per year]]*Table9[[#This Row],[Total Time to Repair(h)]]</f>
        <v>1134.6791955333119</v>
      </c>
    </row>
    <row r="10" spans="1:28" x14ac:dyDescent="0.25">
      <c r="A10" t="s">
        <v>88</v>
      </c>
      <c r="B10" t="s">
        <v>83</v>
      </c>
      <c r="C10">
        <v>0</v>
      </c>
      <c r="D10" s="23">
        <v>0</v>
      </c>
      <c r="E10">
        <v>0</v>
      </c>
      <c r="F10" s="8">
        <f>Table9[[#This Row],[Floor Space per component]]*Table9[[#This Row],[Quantity]]</f>
        <v>0</v>
      </c>
      <c r="G10" s="8">
        <v>4</v>
      </c>
      <c r="H10" s="8">
        <f>Table9[[#This Row],[Total Floor Space]]*Table9[[#This Row],[Rent per sqm per year]]</f>
        <v>0</v>
      </c>
      <c r="I10">
        <v>0</v>
      </c>
      <c r="J10">
        <v>0</v>
      </c>
      <c r="K10">
        <v>0</v>
      </c>
      <c r="L10">
        <v>0</v>
      </c>
      <c r="M10" s="8">
        <f>Table9[[#This Row],[Energy consumption in W]]*24*365/1000</f>
        <v>0</v>
      </c>
      <c r="N10" s="8">
        <f t="shared" si="0"/>
        <v>3.0000000000000001E-3</v>
      </c>
      <c r="O10" s="8">
        <f>Table9[[#This Row],[Yearly Energy Consumption in kWh]]*Table9[[#This Row],[CU/kWh]]</f>
        <v>0</v>
      </c>
      <c r="P10">
        <v>2</v>
      </c>
      <c r="Q10" s="8">
        <v>20</v>
      </c>
      <c r="R10" s="8">
        <f>Table9[[#This Row],[FIT]]*Table9[[#This Row],[Quantity]]*24*365/1000000000</f>
        <v>0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0.2</v>
      </c>
      <c r="U10">
        <v>1</v>
      </c>
      <c r="V10" s="8">
        <v>5</v>
      </c>
      <c r="W10" s="8">
        <f>Table9[[#This Row],[Failures per year]]*Table9[[#This Row],[Total Time to Repair(h)]]*Table9[[#This Row],[No. Of technicians]]*Table9[[#This Row],[Cost per hour]]</f>
        <v>0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Table9[Percentage of Business Users]*Table9[SLA CU per hour]*Table9[Failures per year]*Table9[Total Time to Repair(h)]</f>
        <v>0</v>
      </c>
      <c r="AB10" s="8">
        <f>Table9[[#This Row],[Percentage of ITS and business users]]*Table9[[#This Row],[SLA CU per hour]]*Table9[[#This Row],[Failures per year]]*Table9[[#This Row],[Total Time to Repair(h)]]</f>
        <v>0</v>
      </c>
    </row>
    <row r="11" spans="1:28" x14ac:dyDescent="0.25">
      <c r="H11">
        <f>SUM(Table9[Total Rent cost per year])</f>
        <v>23913.599999999999</v>
      </c>
      <c r="O11">
        <f>SUBTOTAL(109,Table9[Energy Cost per year in CU])</f>
        <v>2865.8602799999999</v>
      </c>
      <c r="W11">
        <f>SUBTOTAL(109,Table9[FM Cost])</f>
        <v>3523.0787806799995</v>
      </c>
      <c r="AA11">
        <f>SUBTOTAL(109,Table9[FM Penalty Business])</f>
        <v>4932.3102929520001</v>
      </c>
      <c r="AB11">
        <f>SUBTOTAL(109,Table9[FM Penalty ITS])</f>
        <v>4970.3595437833428</v>
      </c>
    </row>
    <row r="15" spans="1:28" x14ac:dyDescent="0.25">
      <c r="P15" t="s">
        <v>69</v>
      </c>
    </row>
    <row r="16" spans="1:28" x14ac:dyDescent="0.25">
      <c r="A16" s="8" t="s">
        <v>39</v>
      </c>
      <c r="B16" s="8" t="s">
        <v>63</v>
      </c>
      <c r="C16" s="8" t="s">
        <v>17</v>
      </c>
      <c r="D16" s="8" t="s">
        <v>16</v>
      </c>
      <c r="E16" s="8" t="s">
        <v>40</v>
      </c>
      <c r="F16" s="8" t="s">
        <v>30</v>
      </c>
      <c r="G16" s="8" t="s">
        <v>44</v>
      </c>
      <c r="H16" s="8" t="s">
        <v>47</v>
      </c>
      <c r="I16" s="8" t="s">
        <v>48</v>
      </c>
      <c r="J16" s="8" t="s">
        <v>50</v>
      </c>
      <c r="P16">
        <f>Table9[[#Totals],[Total Rent cost per year]]+Table9[[#Totals],[Energy Cost per year in CU]]+Table9[[#Totals],[FM Cost]]+J20</f>
        <v>30682.381089286817</v>
      </c>
    </row>
    <row r="17" spans="1:17" x14ac:dyDescent="0.25">
      <c r="A17" t="s">
        <v>41</v>
      </c>
      <c r="B17">
        <f>8635.15425010598/1000</f>
        <v>8.6351542501059786</v>
      </c>
      <c r="C17">
        <f>570*B17</f>
        <v>4922.0379225604074</v>
      </c>
      <c r="D17">
        <v>24</v>
      </c>
      <c r="E17">
        <v>1</v>
      </c>
      <c r="F17">
        <v>5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5.1848255272459074</v>
      </c>
    </row>
    <row r="18" spans="1:17" x14ac:dyDescent="0.25">
      <c r="A18" t="s">
        <v>42</v>
      </c>
      <c r="B18">
        <f>233483.637737831/1000</f>
        <v>233.483637737831</v>
      </c>
      <c r="C18" s="8">
        <f t="shared" ref="C18:C19" si="2">570*B18</f>
        <v>133085.67351056368</v>
      </c>
      <c r="D18">
        <v>24</v>
      </c>
      <c r="E18">
        <v>1</v>
      </c>
      <c r="F18" s="8">
        <v>5</v>
      </c>
      <c r="G18">
        <v>2</v>
      </c>
      <c r="H18" s="8">
        <f t="shared" ref="H18:H19" si="3">G18/20</f>
        <v>0.1</v>
      </c>
      <c r="I18" s="8">
        <f t="shared" ref="I18:I19" si="4">D18+H18</f>
        <v>24.1</v>
      </c>
      <c r="J18" s="8">
        <f t="shared" ref="J18:J19" si="5">C18*E18*F18*I18*24*365/1000000000</f>
        <v>140.48257524428078</v>
      </c>
    </row>
    <row r="19" spans="1:17" x14ac:dyDescent="0.25">
      <c r="A19" t="s">
        <v>62</v>
      </c>
      <c r="B19">
        <f>387592.626526276/1000</f>
        <v>387.59262652627598</v>
      </c>
      <c r="C19" s="8">
        <f t="shared" si="2"/>
        <v>220927.7971199773</v>
      </c>
      <c r="D19">
        <v>24</v>
      </c>
      <c r="E19">
        <v>1</v>
      </c>
      <c r="F19" s="8">
        <v>5</v>
      </c>
      <c r="G19">
        <v>4</v>
      </c>
      <c r="H19" s="8">
        <f t="shared" si="3"/>
        <v>0.2</v>
      </c>
      <c r="I19" s="8">
        <f t="shared" si="4"/>
        <v>24.2</v>
      </c>
      <c r="J19" s="8">
        <f t="shared" si="5"/>
        <v>234.17462783529115</v>
      </c>
    </row>
    <row r="20" spans="1:17" x14ac:dyDescent="0.25">
      <c r="J20">
        <f>SUM(J17:J19)</f>
        <v>379.84202860681785</v>
      </c>
      <c r="O20" s="8" t="s">
        <v>97</v>
      </c>
      <c r="P20" s="8" t="s">
        <v>66</v>
      </c>
      <c r="Q20" t="s">
        <v>133</v>
      </c>
    </row>
    <row r="21" spans="1:17" x14ac:dyDescent="0.25">
      <c r="O21" s="8" t="s">
        <v>92</v>
      </c>
      <c r="P21" s="8">
        <f>P36/$M$31</f>
        <v>0.37861937935402151</v>
      </c>
      <c r="Q21">
        <f>Q36/$M$31</f>
        <v>0.37861937935402151</v>
      </c>
    </row>
    <row r="22" spans="1:17" x14ac:dyDescent="0.25">
      <c r="O22" s="8" t="s">
        <v>93</v>
      </c>
      <c r="P22" s="8">
        <f t="shared" ref="P22:Q25" si="6">P37/$M$31</f>
        <v>4.5374608613046229E-2</v>
      </c>
      <c r="Q22" s="8">
        <f t="shared" si="6"/>
        <v>4.5374608613046229E-2</v>
      </c>
    </row>
    <row r="23" spans="1:17" x14ac:dyDescent="0.25">
      <c r="O23" s="8" t="s">
        <v>94</v>
      </c>
      <c r="P23" s="8">
        <f t="shared" si="6"/>
        <v>5.5780221353388212E-2</v>
      </c>
      <c r="Q23" s="8">
        <f t="shared" si="6"/>
        <v>8.4106274882185209E-2</v>
      </c>
    </row>
    <row r="24" spans="1:17" x14ac:dyDescent="0.25">
      <c r="O24" s="8" t="s">
        <v>95</v>
      </c>
      <c r="P24" s="8">
        <f t="shared" si="6"/>
        <v>2.39887104660228E-2</v>
      </c>
      <c r="Q24" s="8">
        <f t="shared" si="6"/>
        <v>2.540501314246265E-2</v>
      </c>
    </row>
    <row r="25" spans="1:17" x14ac:dyDescent="0.25">
      <c r="O25" s="8" t="s">
        <v>96</v>
      </c>
      <c r="P25" s="8">
        <f t="shared" si="6"/>
        <v>3.3584194652431926E-2</v>
      </c>
      <c r="Q25" s="8">
        <f t="shared" si="6"/>
        <v>3.556701839944771E-2</v>
      </c>
    </row>
    <row r="26" spans="1:17" x14ac:dyDescent="0.25">
      <c r="O26" s="8"/>
      <c r="P26" s="8">
        <f>SUM(Table14161718[Cost])</f>
        <v>0.5373471144389107</v>
      </c>
      <c r="Q26">
        <f>SUBTOTAL(109,Table14161718[Cost ITS])</f>
        <v>0.56907229439116336</v>
      </c>
    </row>
    <row r="29" spans="1:17" x14ac:dyDescent="0.25">
      <c r="B29" s="9"/>
      <c r="C29" s="9"/>
      <c r="D29" s="9"/>
    </row>
    <row r="30" spans="1:17" x14ac:dyDescent="0.25">
      <c r="M30" t="s">
        <v>128</v>
      </c>
    </row>
    <row r="31" spans="1:17" x14ac:dyDescent="0.25">
      <c r="M31" s="8">
        <v>63160</v>
      </c>
    </row>
    <row r="35" spans="15:17" x14ac:dyDescent="0.25">
      <c r="O35" s="39" t="s">
        <v>97</v>
      </c>
      <c r="P35" s="40" t="s">
        <v>66</v>
      </c>
      <c r="Q35" t="s">
        <v>133</v>
      </c>
    </row>
    <row r="36" spans="15:17" x14ac:dyDescent="0.25">
      <c r="O36" s="32" t="s">
        <v>92</v>
      </c>
      <c r="P36" s="12">
        <f>Table9[[#Totals],[Total Rent cost per year]]</f>
        <v>23913.599999999999</v>
      </c>
      <c r="Q36">
        <f>Table9[[#Totals],[Total Rent cost per year]]</f>
        <v>23913.599999999999</v>
      </c>
    </row>
    <row r="37" spans="15:17" x14ac:dyDescent="0.25">
      <c r="O37" s="34" t="s">
        <v>93</v>
      </c>
      <c r="P37" s="13">
        <f>Table9[[#Totals],[Energy Cost per year in CU]]</f>
        <v>2865.8602799999999</v>
      </c>
      <c r="Q37">
        <f>Table9[[#Totals],[Energy Cost per year in CU]]</f>
        <v>2865.8602799999999</v>
      </c>
    </row>
    <row r="38" spans="15:17" x14ac:dyDescent="0.25">
      <c r="O38" s="32" t="s">
        <v>94</v>
      </c>
      <c r="P38" s="12">
        <f>Table9[[#Totals],[FM Cost]]+J35</f>
        <v>3523.0787806799995</v>
      </c>
      <c r="Q38">
        <f>Table9[[#Totals],[FM Penalty Business]]+$J$20</f>
        <v>5312.1523215588177</v>
      </c>
    </row>
    <row r="39" spans="15:17" x14ac:dyDescent="0.25">
      <c r="O39" s="34" t="s">
        <v>95</v>
      </c>
      <c r="P39" s="13">
        <f>0.05*SUM(P36:P38)</f>
        <v>1515.1269530340001</v>
      </c>
      <c r="Q39" s="13">
        <f>0.05*SUM(Q36:Q38)</f>
        <v>1604.5806300779409</v>
      </c>
    </row>
    <row r="40" spans="15:17" x14ac:dyDescent="0.25">
      <c r="O40" s="32" t="s">
        <v>96</v>
      </c>
      <c r="P40" s="12">
        <f>0.07*SUM(P36:P38)</f>
        <v>2121.1777342476003</v>
      </c>
      <c r="Q40" s="12">
        <f>0.07*SUM(Q36:Q38)</f>
        <v>2246.4128821091172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M1" workbookViewId="0">
      <selection activeCell="M25" sqref="M25"/>
    </sheetView>
  </sheetViews>
  <sheetFormatPr defaultRowHeight="15" x14ac:dyDescent="0.25"/>
  <cols>
    <col min="1" max="1" width="22.140625" customWidth="1"/>
    <col min="2" max="2" width="26.28515625" customWidth="1"/>
    <col min="3" max="3" width="20.140625" customWidth="1"/>
    <col min="4" max="4" width="18.42578125" customWidth="1"/>
    <col min="5" max="5" width="26" customWidth="1"/>
    <col min="6" max="6" width="20" customWidth="1"/>
    <col min="7" max="7" width="21.28515625" customWidth="1"/>
    <col min="8" max="8" width="22.7109375" customWidth="1"/>
    <col min="9" max="9" width="24" customWidth="1"/>
    <col min="10" max="10" width="15.28515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16" t="s">
        <v>3</v>
      </c>
      <c r="B2" s="17" t="s">
        <v>58</v>
      </c>
      <c r="C2" s="18">
        <v>80</v>
      </c>
      <c r="D2" s="23">
        <v>120</v>
      </c>
      <c r="E2">
        <v>5</v>
      </c>
      <c r="F2">
        <f>E2*D2</f>
        <v>600</v>
      </c>
      <c r="G2">
        <v>10.6</v>
      </c>
      <c r="H2">
        <f>Table10[[#This Row],[Total Floor Space]]*Table10[[#This Row],[Rent per sqm per year]]</f>
        <v>6360</v>
      </c>
      <c r="I2">
        <f>(0.5+1/6*6)*Table10[[#This Row],[Quantity]]</f>
        <v>180</v>
      </c>
      <c r="J2">
        <v>6</v>
      </c>
      <c r="K2">
        <v>256</v>
      </c>
      <c r="L2">
        <f>0.5*10*6*Table10[[#This Row],[Quantity]]</f>
        <v>3600</v>
      </c>
      <c r="M2">
        <f>Table10[[#This Row],[Energy consumption in W]]*24*365/1000</f>
        <v>31536</v>
      </c>
      <c r="N2">
        <f>0.15/50</f>
        <v>3.0000000000000001E-3</v>
      </c>
      <c r="O2">
        <f>Table10[[#This Row],[Yearly Energy Consumption in kWh]]*Table10[[#This Row],[CU/kWh]]</f>
        <v>94.608000000000004</v>
      </c>
      <c r="P2">
        <v>0</v>
      </c>
      <c r="Q2">
        <v>20</v>
      </c>
      <c r="R2">
        <f>Table10[[#This Row],[FIT]]*Table10[[#This Row],[Quantity]]*24*365/1000000000</f>
        <v>0.26910719999999999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5</v>
      </c>
      <c r="W2">
        <f>Table10[[#This Row],[Failures per year]]*Table10[[#This Row],[Total Time to Repair(h)]]*Table10[[#This Row],[No. Of technicians]]*Table10[[#This Row],[Cost per hour]]</f>
        <v>8.0732160000000004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Table10[Percentage of Business Users]*Table10[SLA CU per hour]*Table10[Failures per year]*Table10[Total Time to Repair(h)]</f>
        <v>11.302502400000002</v>
      </c>
      <c r="AB2" s="8">
        <f>Table10[[#This Row],[Percentage of ITS and business users]]*Table10[[#This Row],[SLA CU per hour]]*Table10[[#This Row],[Failures per year]]*Table10[[#This Row],[Total Time to Repair(h)]]</f>
        <v>11.389693132800002</v>
      </c>
    </row>
    <row r="3" spans="1:28" x14ac:dyDescent="0.25">
      <c r="A3" s="19" t="s">
        <v>3</v>
      </c>
      <c r="B3" s="20" t="s">
        <v>84</v>
      </c>
      <c r="C3" s="21">
        <v>40</v>
      </c>
      <c r="D3" s="23">
        <v>10</v>
      </c>
      <c r="E3">
        <v>0</v>
      </c>
      <c r="F3" s="8">
        <f t="shared" ref="F3:F9" si="0">E3*D3</f>
        <v>0</v>
      </c>
      <c r="G3" s="8">
        <v>10.6</v>
      </c>
      <c r="H3" s="8">
        <f>Table10[[#This Row],[Total Floor Space]]*Table10[[#This Row],[Rent per sqm per year]]</f>
        <v>0</v>
      </c>
      <c r="I3">
        <f>1/6*Table10[[#This Row],[Quantity]]</f>
        <v>1.6666666666666665</v>
      </c>
      <c r="J3">
        <v>6</v>
      </c>
      <c r="K3">
        <v>50</v>
      </c>
      <c r="L3">
        <f>100*Table10[[#This Row],[Quantity]]</f>
        <v>1000</v>
      </c>
      <c r="M3" s="8">
        <f>Table10[[#This Row],[Energy consumption in W]]*24*365/1000</f>
        <v>8760</v>
      </c>
      <c r="N3" s="8">
        <f t="shared" ref="N3:N9" si="1">0.15/50</f>
        <v>3.0000000000000001E-3</v>
      </c>
      <c r="O3" s="8">
        <f>Table10[[#This Row],[Yearly Energy Consumption in kWh]]*Table10[[#This Row],[CU/kWh]]</f>
        <v>26.28</v>
      </c>
      <c r="P3">
        <v>0</v>
      </c>
      <c r="Q3" s="8">
        <v>20</v>
      </c>
      <c r="R3" s="8">
        <f>Table10[[#This Row],[FIT]]*Table10[[#This Row],[Quantity]]*24*365/1000000000</f>
        <v>4.3800000000000002E-3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5</v>
      </c>
      <c r="W3" s="8">
        <f>Table10[[#This Row],[Failures per year]]*Table10[[#This Row],[Total Time to Repair(h)]]*Table10[[#This Row],[No. Of technicians]]*Table10[[#This Row],[Cost per hour]]</f>
        <v>0.13140000000000002</v>
      </c>
      <c r="X3" s="8">
        <v>100</v>
      </c>
      <c r="Y3" s="8">
        <v>7.0000000000000007E-2</v>
      </c>
      <c r="Z3" s="8">
        <f t="shared" ref="Z3:Z9" si="2">0.07+2*0.00027</f>
        <v>7.0540000000000005E-2</v>
      </c>
      <c r="AA3" s="8">
        <f>Table10[Percentage of Business Users]*Table10[SLA CU per hour]*Table10[Failures per year]*Table10[Total Time to Repair(h)]</f>
        <v>0.18396000000000004</v>
      </c>
      <c r="AB3" s="8">
        <f>Table10[[#This Row],[Percentage of ITS and business users]]*Table10[[#This Row],[SLA CU per hour]]*Table10[[#This Row],[Failures per year]]*Table10[[#This Row],[Total Time to Repair(h)]]</f>
        <v>0.18537912000000001</v>
      </c>
    </row>
    <row r="4" spans="1:28" x14ac:dyDescent="0.25">
      <c r="A4" s="16" t="s">
        <v>3</v>
      </c>
      <c r="B4" s="17" t="s">
        <v>6</v>
      </c>
      <c r="C4" s="18">
        <f>0.1</f>
        <v>0.1</v>
      </c>
      <c r="D4" s="23">
        <v>3000</v>
      </c>
      <c r="E4">
        <v>0</v>
      </c>
      <c r="F4" s="8">
        <f t="shared" si="0"/>
        <v>0</v>
      </c>
      <c r="G4" s="8">
        <v>10.6</v>
      </c>
      <c r="H4" s="8">
        <f>Table10[[#This Row],[Total Floor Space]]*Table10[[#This Row],[Rent per sqm per year]]</f>
        <v>0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3.0000000000000001E-3</v>
      </c>
      <c r="O4" s="8">
        <f>Table10[[#This Row],[Yearly Energy Consumption in kWh]]*Table10[[#This Row],[CU/kWh]]</f>
        <v>15.768000000000001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5</v>
      </c>
      <c r="W4" s="8">
        <f>Table10[[#This Row],[Failures per year]]*Table10[[#This Row],[Total Time to Repair(h)]]*Table10[[#This Row],[No. Of technicians]]*Table10[[#This Row],[Cost per hour]]</f>
        <v>0</v>
      </c>
      <c r="X4" s="8">
        <v>100</v>
      </c>
      <c r="Y4" s="8">
        <v>7.0000000000000007E-2</v>
      </c>
      <c r="Z4" s="8">
        <f t="shared" si="2"/>
        <v>7.0540000000000005E-2</v>
      </c>
      <c r="AA4" s="8">
        <f>Table10[Percentage of Business Users]*Table10[SLA CU per hour]*Table10[Failures per year]*Table10[Total Time to Repair(h)]</f>
        <v>0</v>
      </c>
      <c r="AB4" s="8">
        <f>Table10[[#This Row],[Percentage of ITS and business users]]*Table10[[#This Row],[SLA CU per hour]]*Table10[[#This Row],[Failures per year]]*Table10[[#This Row],[Total Time to Repair(h)]]</f>
        <v>0</v>
      </c>
    </row>
    <row r="5" spans="1:28" x14ac:dyDescent="0.25">
      <c r="A5" s="19" t="s">
        <v>3</v>
      </c>
      <c r="B5" s="20" t="s">
        <v>75</v>
      </c>
      <c r="C5" s="21">
        <v>400</v>
      </c>
      <c r="D5" s="23">
        <v>1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3.0000000000000001E-3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5</v>
      </c>
      <c r="W5" s="8">
        <f>Table10[[#This Row],[Failures per year]]*Table10[[#This Row],[Total Time to Repair(h)]]*Table10[[#This Row],[No. Of technicians]]*Table10[[#This Row],[Cost per hour]]</f>
        <v>0</v>
      </c>
      <c r="X5" s="8">
        <v>100</v>
      </c>
      <c r="Y5" s="8">
        <v>7.0000000000000007E-2</v>
      </c>
      <c r="Z5" s="8">
        <f t="shared" si="2"/>
        <v>7.0540000000000005E-2</v>
      </c>
      <c r="AA5" s="8">
        <f>Table10[Percentage of Business Users]*Table10[SLA CU per hour]*Table10[Failures per year]*Table10[Total Time to Repair(h)]</f>
        <v>0</v>
      </c>
      <c r="AB5" s="8">
        <f>Table10[[#This Row],[Percentage of ITS and business users]]*Table10[[#This Row],[SLA CU per hour]]*Table10[[#This Row],[Failures per year]]*Table10[[#This Row],[Total Time to Repair(h)]]</f>
        <v>0</v>
      </c>
    </row>
    <row r="6" spans="1:28" x14ac:dyDescent="0.25">
      <c r="A6" s="16" t="s">
        <v>8</v>
      </c>
      <c r="B6" s="17" t="s">
        <v>76</v>
      </c>
      <c r="C6" s="18">
        <f>80*0.3</f>
        <v>24</v>
      </c>
      <c r="D6" s="23">
        <v>31</v>
      </c>
      <c r="E6">
        <v>0</v>
      </c>
      <c r="F6" s="8">
        <f t="shared" si="0"/>
        <v>0</v>
      </c>
      <c r="G6" s="8">
        <v>10.6</v>
      </c>
      <c r="H6" s="8">
        <f>Table10[[#This Row],[Total Floor Space]]*Table10[[#This Row],[Rent per sqm per year]]</f>
        <v>0</v>
      </c>
      <c r="I6">
        <f>1/6*Table10[[#This Row],[Quantity]]</f>
        <v>5.1666666666666661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3.0000000000000001E-3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1.3578E-2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5</v>
      </c>
      <c r="W6" s="8">
        <f>Table10[[#This Row],[Failures per year]]*Table10[[#This Row],[Total Time to Repair(h)]]*Table10[[#This Row],[No. Of technicians]]*Table10[[#This Row],[Cost per hour]]</f>
        <v>0.41412899999999997</v>
      </c>
      <c r="X6" s="8">
        <v>100</v>
      </c>
      <c r="Y6" s="8">
        <v>7.0000000000000007E-2</v>
      </c>
      <c r="Z6" s="8">
        <f t="shared" si="2"/>
        <v>7.0540000000000005E-2</v>
      </c>
      <c r="AA6" s="8">
        <f>Table10[Percentage of Business Users]*Table10[SLA CU per hour]*Table10[Failures per year]*Table10[Total Time to Repair(h)]</f>
        <v>0.57978059999999998</v>
      </c>
      <c r="AB6" s="8">
        <f>Table10[[#This Row],[Percentage of ITS and business users]]*Table10[[#This Row],[SLA CU per hour]]*Table10[[#This Row],[Failures per year]]*Table10[[#This Row],[Total Time to Repair(h)]]</f>
        <v>0.58425319320000002</v>
      </c>
    </row>
    <row r="7" spans="1:28" x14ac:dyDescent="0.25">
      <c r="A7" s="19" t="s">
        <v>10</v>
      </c>
      <c r="B7" s="20" t="s">
        <v>89</v>
      </c>
      <c r="C7" s="21">
        <v>0.9</v>
      </c>
      <c r="D7" s="23">
        <v>494</v>
      </c>
      <c r="E7">
        <v>0</v>
      </c>
      <c r="F7" s="8">
        <f t="shared" si="0"/>
        <v>0</v>
      </c>
      <c r="G7" s="8">
        <v>10.6</v>
      </c>
      <c r="H7" s="8">
        <f>Table10[[#This Row],[Total Floor Space]]*Table10[[#This Row],[Rent per sqm per year]]</f>
        <v>0</v>
      </c>
      <c r="I7">
        <f>0.5*Table10[[#This Row],[Quantity]]</f>
        <v>247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3.0000000000000001E-3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0.21637200000000001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5</v>
      </c>
      <c r="W7" s="8">
        <f>Table10[[#This Row],[Failures per year]]*Table10[[#This Row],[Total Time to Repair(h)]]*Table10[[#This Row],[No. Of technicians]]*Table10[[#This Row],[Cost per hour]]</f>
        <v>6.7075320000000005</v>
      </c>
      <c r="X7" s="8">
        <v>100</v>
      </c>
      <c r="Y7" s="8">
        <v>7.0000000000000007E-2</v>
      </c>
      <c r="Z7" s="8">
        <f t="shared" si="2"/>
        <v>7.0540000000000005E-2</v>
      </c>
      <c r="AA7" s="8">
        <f>Table10[Percentage of Business Users]*Table10[SLA CU per hour]*Table10[Failures per year]*Table10[Total Time to Repair(h)]</f>
        <v>9.3905448000000025</v>
      </c>
      <c r="AB7" s="8">
        <f>Table10[[#This Row],[Percentage of ITS and business users]]*Table10[[#This Row],[SLA CU per hour]]*Table10[[#This Row],[Failures per year]]*Table10[[#This Row],[Total Time to Repair(h)]]</f>
        <v>9.4629861456000004</v>
      </c>
    </row>
    <row r="8" spans="1:28" x14ac:dyDescent="0.25">
      <c r="A8" s="16" t="s">
        <v>88</v>
      </c>
      <c r="B8" s="17" t="s">
        <v>86</v>
      </c>
      <c r="C8" s="18">
        <v>3.1</v>
      </c>
      <c r="D8" s="23">
        <v>8000</v>
      </c>
      <c r="E8">
        <v>0</v>
      </c>
      <c r="F8" s="8">
        <f t="shared" si="0"/>
        <v>0</v>
      </c>
      <c r="G8" s="8">
        <v>10.6</v>
      </c>
      <c r="H8" s="8">
        <f>Table10[[#This Row],[Total Floor Space]]*Table10[[#This Row],[Rent per sqm per year]]</f>
        <v>0</v>
      </c>
      <c r="I8">
        <f>0.5*Table10[[#This Row],[Quantity]]</f>
        <v>4000</v>
      </c>
      <c r="J8">
        <v>6</v>
      </c>
      <c r="K8">
        <v>256</v>
      </c>
      <c r="L8">
        <f>5.5*Table10[[#This Row],[Quantity]]</f>
        <v>44000</v>
      </c>
      <c r="M8" s="8">
        <f>Table10[[#This Row],[Energy consumption in W]]*24*365/1000</f>
        <v>385440</v>
      </c>
      <c r="N8" s="8">
        <f t="shared" si="1"/>
        <v>3.0000000000000001E-3</v>
      </c>
      <c r="O8" s="8">
        <f>Table10[[#This Row],[Yearly Energy Consumption in kWh]]*Table10[[#This Row],[CU/kWh]]</f>
        <v>1156.32</v>
      </c>
      <c r="P8">
        <v>4</v>
      </c>
      <c r="Q8" s="8">
        <v>20</v>
      </c>
      <c r="R8" s="8">
        <f>Table10[[#This Row],[FIT]]*Table10[[#This Row],[Quantity]]*24*365/1000000000</f>
        <v>17.940480000000001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6.4</v>
      </c>
      <c r="U8" s="8">
        <v>1</v>
      </c>
      <c r="V8" s="8">
        <v>5</v>
      </c>
      <c r="W8" s="8">
        <f>Table10[[#This Row],[Failures per year]]*Table10[[#This Row],[Total Time to Repair(h)]]*Table10[[#This Row],[No. Of technicians]]*Table10[[#This Row],[Cost per hour]]</f>
        <v>574.09536000000003</v>
      </c>
      <c r="X8" s="8">
        <v>100</v>
      </c>
      <c r="Y8" s="8">
        <v>7.0000000000000007E-2</v>
      </c>
      <c r="Z8" s="8">
        <f t="shared" si="2"/>
        <v>7.0540000000000005E-2</v>
      </c>
      <c r="AA8" s="8">
        <f>Table10[Percentage of Business Users]*Table10[SLA CU per hour]*Table10[Failures per year]*Table10[Total Time to Repair(h)]</f>
        <v>803.73350400000027</v>
      </c>
      <c r="AB8" s="8">
        <f>Table10[[#This Row],[Percentage of ITS and business users]]*Table10[[#This Row],[SLA CU per hour]]*Table10[[#This Row],[Failures per year]]*Table10[[#This Row],[Total Time to Repair(h)]]</f>
        <v>809.93373388800012</v>
      </c>
    </row>
    <row r="9" spans="1:28" x14ac:dyDescent="0.25">
      <c r="A9" s="19" t="s">
        <v>88</v>
      </c>
      <c r="B9" s="20" t="s">
        <v>90</v>
      </c>
      <c r="C9" s="21">
        <v>8</v>
      </c>
      <c r="D9" s="23">
        <v>8000</v>
      </c>
      <c r="E9">
        <v>1</v>
      </c>
      <c r="F9" s="8">
        <f t="shared" si="0"/>
        <v>8000</v>
      </c>
      <c r="G9" s="8">
        <v>2</v>
      </c>
      <c r="H9" s="8">
        <f>Table10[[#This Row],[Total Floor Space]]*Table10[[#This Row],[Rent per sqm per year]]</f>
        <v>16000</v>
      </c>
      <c r="I9">
        <f>(0.5+1/6*6)*Table10[[#This Row],[Quantity]]</f>
        <v>12000</v>
      </c>
      <c r="J9">
        <v>24</v>
      </c>
      <c r="K9">
        <v>512</v>
      </c>
      <c r="L9">
        <f>50*Table10[[#This Row],[Total Floor Space]]</f>
        <v>400000</v>
      </c>
      <c r="M9" s="8">
        <f>Table10[[#This Row],[Energy consumption in W]]*24*365/1000</f>
        <v>3504000</v>
      </c>
      <c r="N9" s="8">
        <f t="shared" si="1"/>
        <v>3.0000000000000001E-3</v>
      </c>
      <c r="O9" s="8">
        <f>Table10[[#This Row],[Yearly Energy Consumption in kWh]]*Table10[[#This Row],[CU/kWh]]</f>
        <v>10512</v>
      </c>
      <c r="P9">
        <v>4</v>
      </c>
      <c r="Q9">
        <v>20</v>
      </c>
      <c r="R9" s="8">
        <f>Table10[[#This Row],[FIT]]*Table10[[#This Row],[Quantity]]*24*365/1000000000</f>
        <v>35.880960000000002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5</v>
      </c>
      <c r="W9" s="8">
        <f>Table10[[#This Row],[Failures per year]]*Table10[[#This Row],[Total Time to Repair(h)]]*Table10[[#This Row],[No. Of technicians]]*Table10[[#This Row],[Cost per hour]]</f>
        <v>4377.4771199999996</v>
      </c>
      <c r="X9" s="8">
        <v>100</v>
      </c>
      <c r="Y9" s="8">
        <v>7.0000000000000007E-2</v>
      </c>
      <c r="Z9" s="8">
        <f t="shared" si="2"/>
        <v>7.0540000000000005E-2</v>
      </c>
      <c r="AA9" s="8">
        <f>Table10[Percentage of Business Users]*Table10[SLA CU per hour]*Table10[Failures per year]*Table10[Total Time to Repair(h)]</f>
        <v>6128.4679680000008</v>
      </c>
      <c r="AB9" s="8">
        <f>Table10[[#This Row],[Percentage of ITS and business users]]*Table10[[#This Row],[SLA CU per hour]]*Table10[[#This Row],[Failures per year]]*Table10[[#This Row],[Total Time to Repair(h)]]</f>
        <v>6175.7447208960002</v>
      </c>
    </row>
    <row r="10" spans="1:28" x14ac:dyDescent="0.25">
      <c r="A10" s="29"/>
      <c r="B10" s="30"/>
      <c r="C10" s="31"/>
      <c r="D10" s="31"/>
      <c r="E10" s="22"/>
      <c r="F10" s="22"/>
      <c r="G10" s="22"/>
      <c r="H10" s="22">
        <f>SUM(Table10[Total Rent cost per year])</f>
        <v>22360</v>
      </c>
      <c r="I10" s="22"/>
      <c r="J10" s="22"/>
      <c r="K10" s="22"/>
      <c r="L10" s="22"/>
      <c r="M10" s="22"/>
      <c r="N10" s="22"/>
      <c r="O10" s="22">
        <f>SUBTOTAL(109,Table10[Energy Cost per year in CU])</f>
        <v>11804.976000000001</v>
      </c>
      <c r="P10" s="22"/>
      <c r="Q10" s="22"/>
      <c r="R10" s="22"/>
      <c r="S10" s="22"/>
      <c r="T10" s="22"/>
      <c r="U10" s="22"/>
      <c r="V10" s="22"/>
      <c r="W10" s="22">
        <f>SUBTOTAL(109,Table10[FM Cost])</f>
        <v>4966.8987569999999</v>
      </c>
      <c r="X10" s="22"/>
      <c r="Y10" s="22"/>
      <c r="Z10" s="22"/>
      <c r="AA10" s="22">
        <f>SUBTOTAL(109,Table10[FM Penalty Business])</f>
        <v>6953.6582598000014</v>
      </c>
      <c r="AB10" s="22">
        <f>SUBTOTAL(109,Table10[FM Penalty ITS])</f>
        <v>7007.3007663756007</v>
      </c>
    </row>
    <row r="15" spans="1:28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t="s">
        <v>69</v>
      </c>
    </row>
    <row r="16" spans="1:28" x14ac:dyDescent="0.2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5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5.1848255272459074</v>
      </c>
      <c r="M16">
        <f>Table10[[#Totals],[Total Rent cost per year]]+Table10[[#Totals],[Energy Cost per year in CU]]+Table10[[#Totals],[FM Cost]]+J19</f>
        <v>39500.160142516514</v>
      </c>
    </row>
    <row r="17" spans="1:17" x14ac:dyDescent="0.25">
      <c r="A17" s="8" t="s">
        <v>42</v>
      </c>
      <c r="B17" s="8">
        <f>233483.637737831/1000</f>
        <v>233.483637737831</v>
      </c>
      <c r="C17" s="8">
        <f t="shared" ref="C17:C18" si="3">570*B17</f>
        <v>133085.67351056368</v>
      </c>
      <c r="D17" s="8">
        <v>24</v>
      </c>
      <c r="E17" s="8">
        <v>1</v>
      </c>
      <c r="F17" s="8">
        <v>5</v>
      </c>
      <c r="G17" s="8">
        <v>2</v>
      </c>
      <c r="H17" s="8">
        <f t="shared" ref="H17:H18" si="4">G17/20</f>
        <v>0.1</v>
      </c>
      <c r="I17" s="8">
        <f t="shared" ref="I17:I18" si="5">D17+H17</f>
        <v>24.1</v>
      </c>
      <c r="J17" s="8">
        <f t="shared" ref="J17:J18" si="6">C17*E17*F17*I17*24*365/1000000000</f>
        <v>140.48257524428078</v>
      </c>
    </row>
    <row r="18" spans="1:17" x14ac:dyDescent="0.25">
      <c r="A18" s="8" t="s">
        <v>62</v>
      </c>
      <c r="B18" s="8">
        <f>368464.723172249/1000</f>
        <v>368.46472317224897</v>
      </c>
      <c r="C18" s="8">
        <f t="shared" si="3"/>
        <v>210024.8922081819</v>
      </c>
      <c r="D18" s="8">
        <v>24</v>
      </c>
      <c r="E18" s="8">
        <v>1</v>
      </c>
      <c r="F18" s="8">
        <v>5</v>
      </c>
      <c r="G18" s="8">
        <v>4</v>
      </c>
      <c r="H18" s="8">
        <f t="shared" si="4"/>
        <v>0.2</v>
      </c>
      <c r="I18" s="8">
        <f t="shared" si="5"/>
        <v>24.2</v>
      </c>
      <c r="J18" s="8">
        <f t="shared" si="6"/>
        <v>222.61798474498445</v>
      </c>
      <c r="O18" s="8" t="s">
        <v>97</v>
      </c>
      <c r="P18" s="8" t="s">
        <v>66</v>
      </c>
      <c r="Q18" t="s">
        <v>133</v>
      </c>
    </row>
    <row r="19" spans="1:17" x14ac:dyDescent="0.25">
      <c r="J19">
        <f>SUM(J16:J18)</f>
        <v>368.28538551651116</v>
      </c>
      <c r="O19" s="8" t="s">
        <v>92</v>
      </c>
      <c r="P19" s="8">
        <f>P31/$M$25</f>
        <v>0.3540215326155795</v>
      </c>
      <c r="Q19" s="8">
        <f>Q31/$M$25</f>
        <v>0.3540215326155795</v>
      </c>
    </row>
    <row r="20" spans="1:17" x14ac:dyDescent="0.25">
      <c r="O20" s="8" t="s">
        <v>93</v>
      </c>
      <c r="P20" s="8">
        <f t="shared" ref="P20:Q23" si="7">P32/$M$25</f>
        <v>0.18690588980367323</v>
      </c>
      <c r="Q20" s="8">
        <f t="shared" si="7"/>
        <v>0.18690588980367323</v>
      </c>
    </row>
    <row r="21" spans="1:17" x14ac:dyDescent="0.25">
      <c r="O21" s="8" t="s">
        <v>94</v>
      </c>
      <c r="P21" s="8">
        <f t="shared" si="7"/>
        <v>7.8639942321089298E-2</v>
      </c>
      <c r="Q21" s="8">
        <f t="shared" si="7"/>
        <v>0.11677622153090741</v>
      </c>
    </row>
    <row r="22" spans="1:17" x14ac:dyDescent="0.25">
      <c r="O22" s="8" t="s">
        <v>95</v>
      </c>
      <c r="P22" s="8">
        <f t="shared" si="7"/>
        <v>3.0978368237017103E-2</v>
      </c>
      <c r="Q22" s="8">
        <f t="shared" si="7"/>
        <v>3.2885182197508002E-2</v>
      </c>
    </row>
    <row r="23" spans="1:17" x14ac:dyDescent="0.25">
      <c r="O23" s="8" t="s">
        <v>96</v>
      </c>
      <c r="P23" s="8">
        <f t="shared" si="7"/>
        <v>4.3369715531823949E-2</v>
      </c>
      <c r="Q23" s="8">
        <f t="shared" si="7"/>
        <v>4.6039255076511208E-2</v>
      </c>
    </row>
    <row r="24" spans="1:17" x14ac:dyDescent="0.25">
      <c r="M24" t="s">
        <v>128</v>
      </c>
      <c r="O24" s="8"/>
      <c r="P24" s="8">
        <f>SUM(Table1416171819[Cost])</f>
        <v>0.69391544850918296</v>
      </c>
      <c r="Q24">
        <f>SUBTOTAL(109,Table1416171819[Cost ITS])</f>
        <v>0.73662808122417933</v>
      </c>
    </row>
    <row r="25" spans="1:17" x14ac:dyDescent="0.25">
      <c r="M25" s="8">
        <v>63160</v>
      </c>
    </row>
    <row r="30" spans="1:17" x14ac:dyDescent="0.25">
      <c r="O30" s="39" t="s">
        <v>97</v>
      </c>
      <c r="P30" s="40" t="s">
        <v>66</v>
      </c>
      <c r="Q30" s="8" t="s">
        <v>133</v>
      </c>
    </row>
    <row r="31" spans="1:17" x14ac:dyDescent="0.25">
      <c r="O31" s="32" t="s">
        <v>92</v>
      </c>
      <c r="P31" s="12">
        <f>Table10[[#Totals],[Total Rent cost per year]]</f>
        <v>22360</v>
      </c>
      <c r="Q31" s="12">
        <f>Table10[[#Totals],[Total Rent cost per year]]</f>
        <v>22360</v>
      </c>
    </row>
    <row r="32" spans="1:17" x14ac:dyDescent="0.25">
      <c r="O32" s="34" t="s">
        <v>93</v>
      </c>
      <c r="P32" s="13">
        <f>Table10[[#Totals],[Energy Cost per year in CU]]</f>
        <v>11804.976000000001</v>
      </c>
      <c r="Q32" s="13">
        <f>Table10[[#Totals],[Energy Cost per year in CU]]</f>
        <v>11804.976000000001</v>
      </c>
    </row>
    <row r="33" spans="15:17" x14ac:dyDescent="0.25">
      <c r="O33" s="32" t="s">
        <v>94</v>
      </c>
      <c r="P33" s="12">
        <f>Table10[[#Totals],[FM Cost]]</f>
        <v>4966.8987569999999</v>
      </c>
      <c r="Q33" s="8">
        <f>Table10[[#Totals],[FM Penalty ITS]]+$J$19</f>
        <v>7375.586151892112</v>
      </c>
    </row>
    <row r="34" spans="15:17" x14ac:dyDescent="0.25">
      <c r="O34" s="34" t="s">
        <v>95</v>
      </c>
      <c r="P34" s="13">
        <f>0.05*SUM(P31:P33)</f>
        <v>1956.5937378500003</v>
      </c>
      <c r="Q34" s="13">
        <f>0.05*SUM(Q31:Q33)</f>
        <v>2077.0281075946054</v>
      </c>
    </row>
    <row r="35" spans="15:17" x14ac:dyDescent="0.25">
      <c r="O35" s="32" t="s">
        <v>96</v>
      </c>
      <c r="P35" s="12">
        <f>0.07*SUM(P31:P33)</f>
        <v>2739.2312329900005</v>
      </c>
      <c r="Q35" s="12">
        <f>0.07*SUM(Q31:Q33)</f>
        <v>2907.8393506324478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M1" workbookViewId="0">
      <selection activeCell="M24" sqref="M24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16" t="s">
        <v>3</v>
      </c>
      <c r="B2" s="24" t="s">
        <v>58</v>
      </c>
      <c r="C2" s="18">
        <v>80</v>
      </c>
      <c r="D2" s="23">
        <v>240</v>
      </c>
      <c r="E2" s="8">
        <v>5</v>
      </c>
      <c r="F2" s="8">
        <f>E2*D2</f>
        <v>1200</v>
      </c>
      <c r="G2" s="8">
        <v>10.6</v>
      </c>
      <c r="H2" s="8">
        <f>Table1012[[#This Row],[Total Floor Space]]*Table1012[[#This Row],[Rent per sqm per year]]</f>
        <v>12720</v>
      </c>
      <c r="I2" s="8">
        <f>(0.5+1/6*6)*Table1012[[#This Row],[Quantity]]</f>
        <v>360</v>
      </c>
      <c r="J2" s="8">
        <v>6</v>
      </c>
      <c r="K2" s="8">
        <v>256</v>
      </c>
      <c r="L2" s="8">
        <f>0.5*10*6*Table1012[[#This Row],[Quantity]]</f>
        <v>7200</v>
      </c>
      <c r="M2" s="8">
        <f>Table1012[[#This Row],[Energy consumption in W]]*24*365/1000</f>
        <v>63072</v>
      </c>
      <c r="N2" s="8">
        <f>0.15/50</f>
        <v>3.0000000000000001E-3</v>
      </c>
      <c r="O2" s="8">
        <f>Table1012[[#This Row],[Yearly Energy Consumption in kWh]]*Table1012[[#This Row],[CU/kWh]]</f>
        <v>189.21600000000001</v>
      </c>
      <c r="P2" s="8">
        <v>0</v>
      </c>
      <c r="Q2" s="8">
        <v>20</v>
      </c>
      <c r="R2" s="8">
        <f>Table1012[[#This Row],[FIT]]*Table1012[[#This Row],[Quantity]]*24*365/1000000000</f>
        <v>0.53821439999999998</v>
      </c>
      <c r="S2" s="8">
        <f>2*Table1012[[#This Row],[Mean dist in km from CO]]/Table1012[[#This Row],[Avg Travel Speed]]</f>
        <v>0</v>
      </c>
      <c r="T2" s="8">
        <f>Table1012[[#This Row],[MTTR]]+Table1012[[#This Row],[Twice Travel Time]]</f>
        <v>6</v>
      </c>
      <c r="U2" s="8">
        <v>1</v>
      </c>
      <c r="V2" s="8">
        <v>5</v>
      </c>
      <c r="W2" s="8">
        <f>Table1012[[#This Row],[Failures per year]]*Table1012[[#This Row],[Total Time to Repair(h)]]*Table1012[[#This Row],[No. Of technicians]]*Table1012[[#This Row],[Cost per hour]]</f>
        <v>16.146432000000001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Table1012[Percentage of Business Users]*Table1012[SLA CU per hour]*Table1012[Failures per year]*Table1012[Total Time to Repair(h)]</f>
        <v>22.605004800000003</v>
      </c>
      <c r="AB2" s="8">
        <f>Table1012[[#This Row],[Percentage of ITS and business users]]*Table1012[[#This Row],[SLA CU per hour]]*Table1012[[#This Row],[Failures per year]]*Table1012[[#This Row],[Total Time to Repair(h)]]</f>
        <v>22.779386265600003</v>
      </c>
    </row>
    <row r="3" spans="1:28" x14ac:dyDescent="0.25">
      <c r="A3" s="19" t="s">
        <v>3</v>
      </c>
      <c r="B3" s="24" t="s">
        <v>84</v>
      </c>
      <c r="C3" s="21">
        <v>40</v>
      </c>
      <c r="D3" s="23">
        <v>20</v>
      </c>
      <c r="E3" s="8">
        <v>1</v>
      </c>
      <c r="F3" s="8">
        <f t="shared" ref="F3:F9" si="0">E3*D3</f>
        <v>20</v>
      </c>
      <c r="G3" s="8">
        <v>10.6</v>
      </c>
      <c r="H3" s="8">
        <f>Table1012[[#This Row],[Total Floor Space]]*Table1012[[#This Row],[Rent per sqm per year]]</f>
        <v>212</v>
      </c>
      <c r="I3" s="8">
        <f>1/6*Table1012[[#This Row],[Quantity]]</f>
        <v>3.333333333333333</v>
      </c>
      <c r="J3" s="8">
        <v>6</v>
      </c>
      <c r="K3" s="8">
        <v>50</v>
      </c>
      <c r="L3" s="8">
        <f>100*Table1012[[#This Row],[Quantity]]</f>
        <v>2000</v>
      </c>
      <c r="M3" s="8">
        <f>Table1012[[#This Row],[Energy consumption in W]]*24*365/1000</f>
        <v>17520</v>
      </c>
      <c r="N3" s="8">
        <f t="shared" ref="N3:N9" si="1">0.15/50</f>
        <v>3.0000000000000001E-3</v>
      </c>
      <c r="O3" s="8">
        <f>Table1012[[#This Row],[Yearly Energy Consumption in kWh]]*Table1012[[#This Row],[CU/kWh]]</f>
        <v>52.56</v>
      </c>
      <c r="P3" s="8">
        <v>0</v>
      </c>
      <c r="Q3" s="8">
        <v>20</v>
      </c>
      <c r="R3" s="8">
        <f>Table1012[[#This Row],[FIT]]*Table1012[[#This Row],[Quantity]]*24*365/1000000000</f>
        <v>8.7600000000000004E-3</v>
      </c>
      <c r="S3" s="8">
        <f>2*Table1012[[#This Row],[Mean dist in km from CO]]/Table1012[[#This Row],[Avg Travel Speed]]</f>
        <v>0</v>
      </c>
      <c r="T3" s="8">
        <f>Table1012[[#This Row],[MTTR]]+Table1012[[#This Row],[Twice Travel Time]]</f>
        <v>6</v>
      </c>
      <c r="U3" s="8">
        <v>1</v>
      </c>
      <c r="V3" s="8">
        <v>5</v>
      </c>
      <c r="W3" s="8">
        <f>Table1012[[#This Row],[Failures per year]]*Table1012[[#This Row],[Total Time to Repair(h)]]*Table1012[[#This Row],[No. Of technicians]]*Table1012[[#This Row],[Cost per hour]]</f>
        <v>0.26280000000000003</v>
      </c>
      <c r="X3" s="8">
        <v>100</v>
      </c>
      <c r="Y3" s="8">
        <v>7.0000000000000007E-2</v>
      </c>
      <c r="Z3" s="8">
        <f t="shared" ref="Z3:Z9" si="2">0.07+2*0.00027</f>
        <v>7.0540000000000005E-2</v>
      </c>
      <c r="AA3" s="8">
        <f>Table1012[Percentage of Business Users]*Table1012[SLA CU per hour]*Table1012[Failures per year]*Table1012[Total Time to Repair(h)]</f>
        <v>0.36792000000000008</v>
      </c>
      <c r="AB3" s="8">
        <f>Table1012[[#This Row],[Percentage of ITS and business users]]*Table1012[[#This Row],[SLA CU per hour]]*Table1012[[#This Row],[Failures per year]]*Table1012[[#This Row],[Total Time to Repair(h)]]</f>
        <v>0.37075824000000002</v>
      </c>
    </row>
    <row r="4" spans="1:28" x14ac:dyDescent="0.25">
      <c r="A4" s="16" t="s">
        <v>3</v>
      </c>
      <c r="B4" s="24" t="s">
        <v>6</v>
      </c>
      <c r="C4" s="18">
        <v>0.1</v>
      </c>
      <c r="D4" s="23">
        <v>6000</v>
      </c>
      <c r="E4" s="8">
        <v>0</v>
      </c>
      <c r="F4" s="8">
        <f t="shared" si="0"/>
        <v>0</v>
      </c>
      <c r="G4" s="8">
        <v>10.6</v>
      </c>
      <c r="H4" s="8">
        <f>Table1012[[#This Row],[Total Floor Space]]*Table1012[[#This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Table1012[[#This Row],[Energy consumption in W]]*24*365/1000</f>
        <v>5256</v>
      </c>
      <c r="N4" s="8">
        <f t="shared" si="1"/>
        <v>3.0000000000000001E-3</v>
      </c>
      <c r="O4" s="8">
        <f>Table1012[[#This Row],[Yearly Energy Consumption in kWh]]*Table1012[[#This Row],[CU/kWh]]</f>
        <v>15.768000000000001</v>
      </c>
      <c r="P4" s="8">
        <v>0</v>
      </c>
      <c r="Q4" s="8">
        <v>20</v>
      </c>
      <c r="R4" s="8">
        <f>Table1012[[#This Row],[FIT]]*Table1012[[#This Row],[Quantity]]*24*365/1000000000</f>
        <v>0</v>
      </c>
      <c r="S4" s="8">
        <f>2*Table1012[[#This Row],[Mean dist in km from CO]]/Table1012[[#This Row],[Avg Travel Speed]]</f>
        <v>0</v>
      </c>
      <c r="T4" s="8">
        <f>Table1012[[#This Row],[MTTR]]+Table1012[[#This Row],[Twice Travel Time]]</f>
        <v>0</v>
      </c>
      <c r="U4" s="8">
        <v>1</v>
      </c>
      <c r="V4" s="8">
        <v>100</v>
      </c>
      <c r="W4" s="8">
        <f>Table1012[[#This Row],[Failures per year]]*Table1012[[#This Row],[Total Time to Repair(h)]]*Table1012[[#This Row],[No. Of technicians]]*Table1012[[#This Row],[Cost per hour]]</f>
        <v>0</v>
      </c>
      <c r="X4" s="8">
        <v>100</v>
      </c>
      <c r="Y4" s="8">
        <v>7.0000000000000007E-2</v>
      </c>
      <c r="Z4" s="8">
        <f t="shared" si="2"/>
        <v>7.0540000000000005E-2</v>
      </c>
      <c r="AA4" s="8">
        <f>Table1012[Percentage of Business Users]*Table1012[SLA CU per hour]*Table1012[Failures per year]*Table1012[Total Time to Repair(h)]</f>
        <v>0</v>
      </c>
      <c r="AB4" s="8">
        <f>Table1012[[#This Row],[Percentage of ITS and business users]]*Table1012[[#This Row],[SLA CU per hour]]*Table1012[[#This Row],[Failures per year]]*Table1012[[#This Row],[Total Time to Repair(h)]]</f>
        <v>0</v>
      </c>
    </row>
    <row r="5" spans="1:28" x14ac:dyDescent="0.25">
      <c r="A5" s="19" t="s">
        <v>3</v>
      </c>
      <c r="B5" s="24" t="s">
        <v>75</v>
      </c>
      <c r="C5" s="21">
        <v>400</v>
      </c>
      <c r="D5" s="23">
        <v>1</v>
      </c>
      <c r="E5" s="8">
        <v>20</v>
      </c>
      <c r="F5" s="8">
        <f t="shared" si="0"/>
        <v>20</v>
      </c>
      <c r="G5" s="8">
        <v>10.6</v>
      </c>
      <c r="H5" s="8">
        <f>Table1012[[#This Row],[Total Floor Space]]*Table1012[[#This Row],[Rent per sqm per year]]</f>
        <v>212</v>
      </c>
      <c r="I5" s="8">
        <v>0</v>
      </c>
      <c r="J5" s="8">
        <v>0</v>
      </c>
      <c r="K5" s="8">
        <v>0</v>
      </c>
      <c r="L5" s="8">
        <v>0</v>
      </c>
      <c r="M5" s="8">
        <f>Table1012[[#This Row],[Energy consumption in W]]*24*365/1000</f>
        <v>0</v>
      </c>
      <c r="N5" s="8">
        <f t="shared" si="1"/>
        <v>3.0000000000000001E-3</v>
      </c>
      <c r="O5" s="8">
        <f>Table1012[[#This Row],[Yearly Energy Consumption in kWh]]*Table1012[[#This Row],[CU/kWh]]</f>
        <v>0</v>
      </c>
      <c r="P5" s="8">
        <v>0</v>
      </c>
      <c r="Q5" s="8">
        <v>20</v>
      </c>
      <c r="R5" s="8">
        <f>Table1012[[#This Row],[FIT]]*Table1012[[#This Row],[Quantity]]*24*365/1000000000</f>
        <v>0</v>
      </c>
      <c r="S5" s="8">
        <f>2*Table1012[[#This Row],[Mean dist in km from CO]]/Table1012[[#This Row],[Avg Travel Speed]]</f>
        <v>0</v>
      </c>
      <c r="T5" s="8">
        <f>Table1012[[#This Row],[MTTR]]+Table1012[[#This Row],[Twice Travel Time]]</f>
        <v>0</v>
      </c>
      <c r="U5" s="8">
        <v>1</v>
      </c>
      <c r="V5" s="8">
        <v>5</v>
      </c>
      <c r="W5" s="8">
        <f>Table1012[[#This Row],[Failures per year]]*Table1012[[#This Row],[Total Time to Repair(h)]]*Table1012[[#This Row],[No. Of technicians]]*Table1012[[#This Row],[Cost per hour]]</f>
        <v>0</v>
      </c>
      <c r="X5" s="8">
        <v>100</v>
      </c>
      <c r="Y5" s="8">
        <v>7.0000000000000007E-2</v>
      </c>
      <c r="Z5" s="8">
        <f t="shared" si="2"/>
        <v>7.0540000000000005E-2</v>
      </c>
      <c r="AA5" s="8">
        <f>Table1012[Percentage of Business Users]*Table1012[SLA CU per hour]*Table1012[Failures per year]*Table1012[Total Time to Repair(h)]</f>
        <v>0</v>
      </c>
      <c r="AB5" s="8">
        <f>Table1012[[#This Row],[Percentage of ITS and business users]]*Table1012[[#This Row],[SLA CU per hour]]*Table1012[[#This Row],[Failures per year]]*Table1012[[#This Row],[Total Time to Repair(h)]]</f>
        <v>0</v>
      </c>
    </row>
    <row r="6" spans="1:28" x14ac:dyDescent="0.25">
      <c r="A6" s="16" t="s">
        <v>8</v>
      </c>
      <c r="B6" s="24" t="s">
        <v>76</v>
      </c>
      <c r="C6" s="18">
        <v>24</v>
      </c>
      <c r="D6" s="23">
        <v>62</v>
      </c>
      <c r="E6" s="8">
        <v>1</v>
      </c>
      <c r="F6" s="8">
        <f t="shared" si="0"/>
        <v>62</v>
      </c>
      <c r="G6" s="8">
        <v>10.6</v>
      </c>
      <c r="H6" s="8">
        <f>Table1012[[#This Row],[Total Floor Space]]*Table1012[[#This Row],[Rent per sqm per year]]</f>
        <v>657.19999999999993</v>
      </c>
      <c r="I6" s="8">
        <f>1/6*Table1012[[#This Row],[Quantity]]</f>
        <v>10.333333333333332</v>
      </c>
      <c r="J6" s="8">
        <v>6</v>
      </c>
      <c r="K6" s="8">
        <v>50</v>
      </c>
      <c r="L6" s="8">
        <v>0</v>
      </c>
      <c r="M6" s="8">
        <f>Table1012[[#This Row],[Energy consumption in W]]*24*365/1000</f>
        <v>0</v>
      </c>
      <c r="N6" s="8">
        <f t="shared" si="1"/>
        <v>3.0000000000000001E-3</v>
      </c>
      <c r="O6" s="8">
        <f>Table1012[[#This Row],[Yearly Energy Consumption in kWh]]*Table1012[[#This Row],[CU/kWh]]</f>
        <v>0</v>
      </c>
      <c r="P6" s="8">
        <v>1</v>
      </c>
      <c r="Q6" s="8">
        <v>20</v>
      </c>
      <c r="R6" s="8">
        <f>Table1012[[#This Row],[FIT]]*Table1012[[#This Row],[Quantity]]*24*365/1000000000</f>
        <v>2.7156E-2</v>
      </c>
      <c r="S6" s="8">
        <f>2*Table1012[[#This Row],[Mean dist in km from CO]]/Table1012[[#This Row],[Avg Travel Speed]]</f>
        <v>0.1</v>
      </c>
      <c r="T6" s="8">
        <f>Table1012[[#This Row],[MTTR]]+Table1012[[#This Row],[Twice Travel Time]]</f>
        <v>6.1</v>
      </c>
      <c r="U6" s="8">
        <v>1</v>
      </c>
      <c r="V6" s="8">
        <v>5</v>
      </c>
      <c r="W6" s="8">
        <f>Table1012[[#This Row],[Failures per year]]*Table1012[[#This Row],[Total Time to Repair(h)]]*Table1012[[#This Row],[No. Of technicians]]*Table1012[[#This Row],[Cost per hour]]</f>
        <v>0.82825799999999994</v>
      </c>
      <c r="X6" s="8">
        <v>100</v>
      </c>
      <c r="Y6" s="8">
        <v>7.0000000000000007E-2</v>
      </c>
      <c r="Z6" s="8">
        <f t="shared" si="2"/>
        <v>7.0540000000000005E-2</v>
      </c>
      <c r="AA6" s="8">
        <f>Table1012[Percentage of Business Users]*Table1012[SLA CU per hour]*Table1012[Failures per year]*Table1012[Total Time to Repair(h)]</f>
        <v>1.1595612</v>
      </c>
      <c r="AB6" s="8">
        <f>Table1012[[#This Row],[Percentage of ITS and business users]]*Table1012[[#This Row],[SLA CU per hour]]*Table1012[[#This Row],[Failures per year]]*Table1012[[#This Row],[Total Time to Repair(h)]]</f>
        <v>1.1685063864</v>
      </c>
    </row>
    <row r="7" spans="1:28" x14ac:dyDescent="0.25">
      <c r="A7" s="19" t="s">
        <v>10</v>
      </c>
      <c r="B7" s="24" t="s">
        <v>89</v>
      </c>
      <c r="C7" s="21">
        <v>0.9</v>
      </c>
      <c r="D7" s="23">
        <v>988</v>
      </c>
      <c r="E7" s="8">
        <v>1</v>
      </c>
      <c r="F7" s="8">
        <f t="shared" si="0"/>
        <v>988</v>
      </c>
      <c r="G7" s="8">
        <v>10.6</v>
      </c>
      <c r="H7" s="8">
        <f>Table1012[[#This Row],[Total Floor Space]]*Table1012[[#This Row],[Rent per sqm per year]]</f>
        <v>10472.799999999999</v>
      </c>
      <c r="I7" s="8">
        <f>0.5*Table1012[[#This Row],[Quantity]]</f>
        <v>494</v>
      </c>
      <c r="J7" s="8">
        <v>6</v>
      </c>
      <c r="K7" s="8">
        <v>50</v>
      </c>
      <c r="L7" s="8">
        <v>0</v>
      </c>
      <c r="M7" s="8">
        <f>Table1012[[#This Row],[Energy consumption in W]]*24*365/1000</f>
        <v>0</v>
      </c>
      <c r="N7" s="8">
        <f t="shared" si="1"/>
        <v>3.0000000000000001E-3</v>
      </c>
      <c r="O7" s="8">
        <f>Table1012[[#This Row],[Yearly Energy Consumption in kWh]]*Table1012[[#This Row],[CU/kWh]]</f>
        <v>0</v>
      </c>
      <c r="P7" s="8">
        <v>2</v>
      </c>
      <c r="Q7" s="8">
        <v>20</v>
      </c>
      <c r="R7" s="8">
        <f>Table1012[[#This Row],[FIT]]*Table1012[[#This Row],[Quantity]]*24*365/1000000000</f>
        <v>0.43274400000000002</v>
      </c>
      <c r="S7" s="8">
        <f>2*Table1012[[#This Row],[Mean dist in km from CO]]/Table1012[[#This Row],[Avg Travel Speed]]</f>
        <v>0.2</v>
      </c>
      <c r="T7" s="8">
        <f>Table1012[[#This Row],[MTTR]]+Table1012[[#This Row],[Twice Travel Time]]</f>
        <v>6.2</v>
      </c>
      <c r="U7" s="8">
        <v>1</v>
      </c>
      <c r="V7" s="8">
        <v>5</v>
      </c>
      <c r="W7" s="8">
        <f>Table1012[[#This Row],[Failures per year]]*Table1012[[#This Row],[Total Time to Repair(h)]]*Table1012[[#This Row],[No. Of technicians]]*Table1012[[#This Row],[Cost per hour]]</f>
        <v>13.415064000000001</v>
      </c>
      <c r="X7" s="8">
        <v>100</v>
      </c>
      <c r="Y7" s="8">
        <v>7.0000000000000007E-2</v>
      </c>
      <c r="Z7" s="8">
        <f t="shared" si="2"/>
        <v>7.0540000000000005E-2</v>
      </c>
      <c r="AA7" s="8">
        <f>Table1012[Percentage of Business Users]*Table1012[SLA CU per hour]*Table1012[Failures per year]*Table1012[Total Time to Repair(h)]</f>
        <v>18.781089600000005</v>
      </c>
      <c r="AB7" s="8">
        <f>Table1012[[#This Row],[Percentage of ITS and business users]]*Table1012[[#This Row],[SLA CU per hour]]*Table1012[[#This Row],[Failures per year]]*Table1012[[#This Row],[Total Time to Repair(h)]]</f>
        <v>18.925972291200001</v>
      </c>
    </row>
    <row r="8" spans="1:28" x14ac:dyDescent="0.25">
      <c r="A8" s="16" t="s">
        <v>88</v>
      </c>
      <c r="B8" s="24" t="s">
        <v>86</v>
      </c>
      <c r="C8" s="18">
        <v>3.3</v>
      </c>
      <c r="D8" s="23">
        <v>64000</v>
      </c>
      <c r="E8" s="8">
        <v>0</v>
      </c>
      <c r="F8" s="8">
        <f t="shared" si="0"/>
        <v>0</v>
      </c>
      <c r="G8" s="8">
        <v>0</v>
      </c>
      <c r="H8" s="8">
        <f>Table1012[[#This Row],[Total Floor Space]]*Table1012[[#This Row],[Rent per sqm per year]]</f>
        <v>0</v>
      </c>
      <c r="I8" s="8">
        <f>0.5*Table1012[[#This Row],[Quantity]]</f>
        <v>32000</v>
      </c>
      <c r="J8" s="8">
        <v>24</v>
      </c>
      <c r="K8" s="8">
        <v>256</v>
      </c>
      <c r="L8" s="8">
        <v>0</v>
      </c>
      <c r="M8" s="8">
        <f>Table1012[[#This Row],[Energy consumption in W]]*24*365/1000</f>
        <v>0</v>
      </c>
      <c r="N8" s="8">
        <f t="shared" si="1"/>
        <v>3.0000000000000001E-3</v>
      </c>
      <c r="O8" s="8">
        <f>Table1012[[#This Row],[Yearly Energy Consumption in kWh]]*Table1012[[#This Row],[CU/kWh]]</f>
        <v>0</v>
      </c>
      <c r="P8" s="8">
        <v>4</v>
      </c>
      <c r="Q8" s="8">
        <v>20</v>
      </c>
      <c r="R8" s="8">
        <f>Table1012[[#This Row],[FIT]]*Table1012[[#This Row],[Quantity]]*24*365/1000000000</f>
        <v>143.52384000000001</v>
      </c>
      <c r="S8" s="8">
        <f>2*Table1012[[#This Row],[Mean dist in km from CO]]/Table1012[[#This Row],[Avg Travel Speed]]</f>
        <v>0.4</v>
      </c>
      <c r="T8" s="8">
        <f>Table1012[[#This Row],[MTTR]]+Table1012[[#This Row],[Twice Travel Time]]</f>
        <v>24.4</v>
      </c>
      <c r="U8" s="8">
        <v>1</v>
      </c>
      <c r="V8" s="8">
        <v>5</v>
      </c>
      <c r="W8" s="8">
        <f>Table1012[[#This Row],[Failures per year]]*Table1012[[#This Row],[Total Time to Repair(h)]]*Table1012[[#This Row],[No. Of technicians]]*Table1012[[#This Row],[Cost per hour]]</f>
        <v>17509.908479999998</v>
      </c>
      <c r="X8" s="8">
        <v>100</v>
      </c>
      <c r="Y8" s="8">
        <v>7.0000000000000007E-2</v>
      </c>
      <c r="Z8" s="8">
        <f t="shared" si="2"/>
        <v>7.0540000000000005E-2</v>
      </c>
      <c r="AA8" s="8">
        <f>Table1012[Percentage of Business Users]*Table1012[SLA CU per hour]*Table1012[Failures per year]*Table1012[Total Time to Repair(h)]</f>
        <v>24513.871872000003</v>
      </c>
      <c r="AB8" s="8">
        <f>Table1012[[#This Row],[Percentage of ITS and business users]]*Table1012[[#This Row],[SLA CU per hour]]*Table1012[[#This Row],[Failures per year]]*Table1012[[#This Row],[Total Time to Repair(h)]]</f>
        <v>24702.978883584001</v>
      </c>
    </row>
    <row r="9" spans="1:28" x14ac:dyDescent="0.25">
      <c r="A9" s="19" t="s">
        <v>88</v>
      </c>
      <c r="B9" s="24" t="s">
        <v>78</v>
      </c>
      <c r="C9" s="21">
        <v>1.8</v>
      </c>
      <c r="D9" s="23">
        <v>8000</v>
      </c>
      <c r="E9" s="8">
        <v>0</v>
      </c>
      <c r="F9" s="8">
        <f t="shared" si="0"/>
        <v>0</v>
      </c>
      <c r="G9" s="8">
        <v>0</v>
      </c>
      <c r="H9" s="8">
        <f>Table1012[[#This Row],[Total Floor Space]]*Table1012[[#This Row],[Rent per sqm per year]]</f>
        <v>0</v>
      </c>
      <c r="I9" s="8">
        <f>(0.5+1/6*6)*Table1012[[#This Row],[Quantity]]</f>
        <v>12000</v>
      </c>
      <c r="J9" s="8">
        <v>24</v>
      </c>
      <c r="K9" s="8">
        <v>50</v>
      </c>
      <c r="L9" s="8">
        <f>50*Table1012[[#This Row],[Total Floor Space]]</f>
        <v>0</v>
      </c>
      <c r="M9" s="8">
        <f>Table1012[[#This Row],[Energy consumption in W]]*24*365/1000</f>
        <v>0</v>
      </c>
      <c r="N9" s="8">
        <f t="shared" si="1"/>
        <v>3.0000000000000001E-3</v>
      </c>
      <c r="O9" s="8">
        <f>Table1012[[#This Row],[Yearly Energy Consumption in kWh]]*Table1012[[#This Row],[CU/kWh]]</f>
        <v>0</v>
      </c>
      <c r="P9" s="8">
        <v>4</v>
      </c>
      <c r="Q9" s="8">
        <v>20</v>
      </c>
      <c r="R9" s="8">
        <f>Table1012[[#This Row],[FIT]]*Table1012[[#This Row],[Quantity]]*24*365/1000000000</f>
        <v>3.504</v>
      </c>
      <c r="S9" s="8">
        <f>2*Table1012[[#This Row],[Mean dist in km from CO]]/Table1012[[#This Row],[Avg Travel Speed]]</f>
        <v>0.4</v>
      </c>
      <c r="T9" s="8">
        <f>Table1012[[#This Row],[MTTR]]+Table1012[[#This Row],[Twice Travel Time]]</f>
        <v>24.4</v>
      </c>
      <c r="U9" s="8">
        <v>1</v>
      </c>
      <c r="V9" s="8">
        <v>5</v>
      </c>
      <c r="W9" s="8">
        <f>Table1012[[#This Row],[Failures per year]]*Table1012[[#This Row],[Total Time to Repair(h)]]*Table1012[[#This Row],[No. Of technicians]]*Table1012[[#This Row],[Cost per hour]]</f>
        <v>427.48799999999994</v>
      </c>
      <c r="X9" s="8">
        <v>100</v>
      </c>
      <c r="Y9" s="8">
        <v>7.0000000000000007E-2</v>
      </c>
      <c r="Z9" s="8">
        <f t="shared" si="2"/>
        <v>7.0540000000000005E-2</v>
      </c>
      <c r="AA9" s="8">
        <f>Table1012[Percentage of Business Users]*Table1012[SLA CU per hour]*Table1012[Failures per year]*Table1012[Total Time to Repair(h)]</f>
        <v>598.48320000000001</v>
      </c>
      <c r="AB9" s="8">
        <f>Table1012[[#This Row],[Percentage of ITS and business users]]*Table1012[[#This Row],[SLA CU per hour]]*Table1012[[#This Row],[Failures per year]]*Table1012[[#This Row],[Total Time to Repair(h)]]</f>
        <v>603.10007039999994</v>
      </c>
    </row>
    <row r="10" spans="1:28" x14ac:dyDescent="0.25">
      <c r="A10" s="29"/>
      <c r="B10" s="30"/>
      <c r="C10" s="31"/>
      <c r="D10" s="31"/>
      <c r="E10" s="22"/>
      <c r="F10" s="22"/>
      <c r="G10" s="22"/>
      <c r="H10" s="22">
        <f>SUM(Table1012[Total Rent cost per year])</f>
        <v>24274</v>
      </c>
      <c r="I10" s="22"/>
      <c r="J10" s="22"/>
      <c r="K10" s="22"/>
      <c r="L10" s="22"/>
      <c r="M10" s="22"/>
      <c r="N10" s="22"/>
      <c r="O10" s="22">
        <f>SUBTOTAL(109,Table1012[Energy Cost per year in CU])</f>
        <v>257.54399999999998</v>
      </c>
      <c r="P10" s="22"/>
      <c r="Q10" s="22"/>
      <c r="R10" s="22"/>
      <c r="S10" s="22"/>
      <c r="T10" s="22"/>
      <c r="U10" s="22"/>
      <c r="V10" s="22"/>
      <c r="W10" s="22">
        <f>SUBTOTAL(109,Table1012[FM Cost])</f>
        <v>17968.049034</v>
      </c>
      <c r="X10" s="22"/>
      <c r="Y10" s="22"/>
      <c r="Z10" s="22"/>
      <c r="AA10" s="22">
        <f>SUBTOTAL(109,Table1012[FM Penalty Business])</f>
        <v>25155.268647600002</v>
      </c>
      <c r="AB10" s="22">
        <f>SUBTOTAL(109,Table1012[FM Penalty ITS])</f>
        <v>25349.323577167201</v>
      </c>
    </row>
    <row r="15" spans="1:28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s="8" t="s">
        <v>69</v>
      </c>
    </row>
    <row r="16" spans="1:28" x14ac:dyDescent="0.2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5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5.1848255272459074</v>
      </c>
      <c r="M16" s="8">
        <f>Table1012[[#Totals],[Total Rent cost per year]]+Table1012[[#Totals],[Energy Cost per year in CU]]+Table1012[[#Totals],[FM Cost]]+J19</f>
        <v>42867.878419516514</v>
      </c>
    </row>
    <row r="17" spans="1:17" x14ac:dyDescent="0.25">
      <c r="A17" s="8" t="s">
        <v>42</v>
      </c>
      <c r="B17" s="8">
        <f>233483.637737831/1000</f>
        <v>233.483637737831</v>
      </c>
      <c r="C17" s="8">
        <f t="shared" ref="C17:C18" si="3">570*B17</f>
        <v>133085.67351056368</v>
      </c>
      <c r="D17" s="8">
        <v>24</v>
      </c>
      <c r="E17" s="8">
        <v>1</v>
      </c>
      <c r="F17" s="8">
        <v>5</v>
      </c>
      <c r="G17" s="8">
        <v>2</v>
      </c>
      <c r="H17" s="8">
        <f t="shared" ref="H17:H18" si="4">G17/20</f>
        <v>0.1</v>
      </c>
      <c r="I17" s="8">
        <f t="shared" ref="I17:I18" si="5">D17+H17</f>
        <v>24.1</v>
      </c>
      <c r="J17" s="8">
        <f t="shared" ref="J17:J18" si="6">C17*E17*F17*I17*24*365/1000000000</f>
        <v>140.48257524428078</v>
      </c>
    </row>
    <row r="18" spans="1:17" x14ac:dyDescent="0.25">
      <c r="A18" s="8" t="s">
        <v>62</v>
      </c>
      <c r="B18" s="8">
        <f>368464.723172249/1000</f>
        <v>368.46472317224897</v>
      </c>
      <c r="C18" s="8">
        <f t="shared" si="3"/>
        <v>210024.8922081819</v>
      </c>
      <c r="D18" s="8">
        <v>24</v>
      </c>
      <c r="E18" s="8">
        <v>1</v>
      </c>
      <c r="F18" s="8">
        <v>5</v>
      </c>
      <c r="G18" s="8">
        <v>4</v>
      </c>
      <c r="H18" s="8">
        <f t="shared" si="4"/>
        <v>0.2</v>
      </c>
      <c r="I18" s="8">
        <f t="shared" si="5"/>
        <v>24.2</v>
      </c>
      <c r="J18" s="8">
        <f t="shared" si="6"/>
        <v>222.61798474498445</v>
      </c>
      <c r="O18" s="8" t="s">
        <v>97</v>
      </c>
      <c r="P18" s="8" t="s">
        <v>66</v>
      </c>
      <c r="Q18" s="8" t="s">
        <v>133</v>
      </c>
    </row>
    <row r="19" spans="1:17" x14ac:dyDescent="0.25">
      <c r="J19" s="8">
        <f>SUM(J16:J18)</f>
        <v>368.28538551651116</v>
      </c>
      <c r="O19" s="8" t="s">
        <v>92</v>
      </c>
      <c r="P19" s="8">
        <f>P28/$M$24</f>
        <v>0.38432552248258389</v>
      </c>
      <c r="Q19" s="8">
        <f>Q28/$M$24</f>
        <v>0.38432552248258389</v>
      </c>
    </row>
    <row r="20" spans="1:17" x14ac:dyDescent="0.25">
      <c r="O20" s="8" t="s">
        <v>93</v>
      </c>
      <c r="P20" s="8">
        <f t="shared" ref="P20:Q23" si="7">P29/$M$24</f>
        <v>4.077644078530715E-3</v>
      </c>
      <c r="Q20" s="8">
        <f t="shared" si="7"/>
        <v>4.077644078530715E-3</v>
      </c>
    </row>
    <row r="21" spans="1:17" x14ac:dyDescent="0.25">
      <c r="O21" s="8" t="s">
        <v>94</v>
      </c>
      <c r="P21" s="8">
        <f t="shared" si="7"/>
        <v>0.28448462688410386</v>
      </c>
      <c r="Q21" s="8">
        <f t="shared" si="7"/>
        <v>0.40718190251240838</v>
      </c>
    </row>
    <row r="22" spans="1:17" x14ac:dyDescent="0.25">
      <c r="O22" s="8" t="s">
        <v>95</v>
      </c>
      <c r="P22" s="8">
        <f t="shared" si="7"/>
        <v>3.3644389672260931E-2</v>
      </c>
      <c r="Q22" s="8">
        <f t="shared" si="7"/>
        <v>3.9779253453676153E-2</v>
      </c>
    </row>
    <row r="23" spans="1:17" x14ac:dyDescent="0.25">
      <c r="M23" s="8" t="s">
        <v>128</v>
      </c>
      <c r="O23" s="8" t="s">
        <v>96</v>
      </c>
      <c r="P23" s="8">
        <f t="shared" si="7"/>
        <v>4.7102145541165305E-2</v>
      </c>
      <c r="Q23" s="8">
        <f t="shared" si="7"/>
        <v>5.5690954835146612E-2</v>
      </c>
    </row>
    <row r="24" spans="1:17" x14ac:dyDescent="0.25">
      <c r="M24" s="8">
        <v>63160</v>
      </c>
      <c r="P24" s="8">
        <f>SUM(Table141617181920[Cost])</f>
        <v>0.75363432865864466</v>
      </c>
      <c r="Q24" s="8">
        <f>SUBTOTAL(109,Table141617181920[Cost ITS])</f>
        <v>0.8910552773623458</v>
      </c>
    </row>
    <row r="27" spans="1:17" x14ac:dyDescent="0.25">
      <c r="O27" s="39" t="s">
        <v>97</v>
      </c>
      <c r="P27" s="40" t="s">
        <v>66</v>
      </c>
      <c r="Q27" s="8" t="s">
        <v>133</v>
      </c>
    </row>
    <row r="28" spans="1:17" x14ac:dyDescent="0.25">
      <c r="O28" s="32" t="s">
        <v>92</v>
      </c>
      <c r="P28" s="12">
        <f>Table1012[[#Totals],[Total Rent cost per year]]</f>
        <v>24274</v>
      </c>
      <c r="Q28" s="12">
        <f>Table1012[[#Totals],[Total Rent cost per year]]</f>
        <v>24274</v>
      </c>
    </row>
    <row r="29" spans="1:17" x14ac:dyDescent="0.25">
      <c r="O29" s="34" t="s">
        <v>93</v>
      </c>
      <c r="P29" s="13">
        <f>Table1012[[#Totals],[Energy Cost per year in CU]]</f>
        <v>257.54399999999998</v>
      </c>
      <c r="Q29" s="13">
        <f>Table1012[[#Totals],[Energy Cost per year in CU]]</f>
        <v>257.54399999999998</v>
      </c>
    </row>
    <row r="30" spans="1:17" x14ac:dyDescent="0.25">
      <c r="O30" s="32" t="s">
        <v>94</v>
      </c>
      <c r="P30" s="12">
        <f>Table1012[[#Totals],[FM Cost]]+J28</f>
        <v>17968.049034</v>
      </c>
      <c r="Q30" s="8">
        <f>Table1012[[#Totals],[FM Penalty ITS]]+$J$19</f>
        <v>25717.608962683713</v>
      </c>
    </row>
    <row r="31" spans="1:17" x14ac:dyDescent="0.25">
      <c r="O31" s="34" t="s">
        <v>95</v>
      </c>
      <c r="P31" s="13">
        <f>0.05*SUM(P28:P30)</f>
        <v>2124.9796517000004</v>
      </c>
      <c r="Q31" s="13">
        <f>0.05*SUM(Q28:Q30)</f>
        <v>2512.457648134186</v>
      </c>
    </row>
    <row r="32" spans="1:17" x14ac:dyDescent="0.25">
      <c r="O32" s="32" t="s">
        <v>96</v>
      </c>
      <c r="P32" s="12">
        <f>0.07*SUM(P28:P30)</f>
        <v>2974.9715123800006</v>
      </c>
      <c r="Q32" s="12">
        <f>0.07*SUM(Q28:Q30)</f>
        <v>3517.4407073878601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L27" sqref="L27"/>
    </sheetView>
  </sheetViews>
  <sheetFormatPr defaultColWidth="8.85546875" defaultRowHeight="15" x14ac:dyDescent="0.25"/>
  <cols>
    <col min="1" max="1" width="22.140625" style="8" customWidth="1"/>
    <col min="2" max="2" width="22.7109375" style="8" customWidth="1"/>
    <col min="3" max="3" width="20.140625" style="8" customWidth="1"/>
    <col min="4" max="4" width="13.5703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24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8" t="s">
        <v>3</v>
      </c>
      <c r="B2" s="8" t="s">
        <v>4</v>
      </c>
      <c r="C2" s="8">
        <v>80</v>
      </c>
      <c r="D2" s="23">
        <v>200</v>
      </c>
      <c r="E2" s="8">
        <v>5</v>
      </c>
      <c r="F2" s="8">
        <f>Table913[[#This Row],[Floor Space per component]]*Table913[[#This Row],[Quantity]]</f>
        <v>1000</v>
      </c>
      <c r="G2" s="8">
        <v>10.6</v>
      </c>
      <c r="H2" s="8">
        <f>Table913[[#This Row],[Total Floor Space]]*Table913[[#This Row],[Rent per sqm per year]]</f>
        <v>10600</v>
      </c>
      <c r="I2" s="8">
        <f>(0.5+1/6*8)*Table913[[#This Row],[Quantity]]</f>
        <v>366.66666666666663</v>
      </c>
      <c r="J2" s="8">
        <v>6</v>
      </c>
      <c r="K2" s="8">
        <v>256</v>
      </c>
      <c r="L2" s="8">
        <f>0.5*8*2.5*Table913[[#This Row],[Quantity]]</f>
        <v>2000</v>
      </c>
      <c r="M2" s="8">
        <f>Table913[[#This Row],[Energy consumption in W]]*24*365/1000</f>
        <v>17520</v>
      </c>
      <c r="N2" s="8">
        <f>0.15/50</f>
        <v>3.0000000000000001E-3</v>
      </c>
      <c r="O2" s="8">
        <f>Table913[[#This Row],[Yearly Energy Consumption in kWh]]*Table913[[#This Row],[CU/kWh]]</f>
        <v>52.56</v>
      </c>
      <c r="P2" s="8">
        <v>0</v>
      </c>
      <c r="Q2" s="8">
        <v>20</v>
      </c>
      <c r="R2" s="8">
        <f>Table913[[#This Row],[FIT]]*Table913[[#This Row],[Quantity]]*24*365/1000000000</f>
        <v>0.44851200000000002</v>
      </c>
      <c r="S2" s="8">
        <f>2*Table913[[#This Row],[Mean dist in km from CO]]/Table913[[#This Row],[Avg Travel Speed]]</f>
        <v>0</v>
      </c>
      <c r="T2" s="8">
        <f>Table913[[#This Row],[MTTR]]+Table913[[#This Row],[Twice Travel Time]]</f>
        <v>6</v>
      </c>
      <c r="U2" s="8">
        <v>1</v>
      </c>
      <c r="V2" s="8">
        <v>5</v>
      </c>
      <c r="W2" s="8">
        <f>Table913[[#This Row],[Failures per year]]*Table913[[#This Row],[Total Time to Repair(h)]]*Table913[[#This Row],[No. Of technicians]]*Table913[[#This Row],[Cost per hour]]</f>
        <v>13.455360000000001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Table913[Percentage of Business Users]*Table913[SLA CU per hour]*Table913[Failures per year]*Table913[Total Time to Repair(h)]</f>
        <v>18.837504000000003</v>
      </c>
      <c r="AB2" s="8">
        <f>Table913[[#This Row],[Percentage of ITS and business users]]*Table913[[#This Row],[SLA CU per hour]]*Table913[[#This Row],[Failures per year]]*Table913[[#This Row],[Total Time to Repair(h)]]</f>
        <v>18.982821888000004</v>
      </c>
    </row>
    <row r="3" spans="1:28" x14ac:dyDescent="0.25">
      <c r="A3" s="8" t="s">
        <v>3</v>
      </c>
      <c r="B3" s="8" t="s">
        <v>84</v>
      </c>
      <c r="C3" s="8">
        <v>40</v>
      </c>
      <c r="D3" s="23">
        <v>40</v>
      </c>
      <c r="E3" s="8">
        <v>1</v>
      </c>
      <c r="F3" s="8">
        <f>Table913[[#This Row],[Floor Space per component]]*Table913[[#This Row],[Quantity]]</f>
        <v>40</v>
      </c>
      <c r="G3" s="8">
        <v>10.6</v>
      </c>
      <c r="H3" s="8">
        <f>Table913[[#This Row],[Total Floor Space]]*Table913[[#This Row],[Rent per sqm per year]]</f>
        <v>424</v>
      </c>
      <c r="I3" s="5">
        <f>1/6*Table913[[#This Row],[Quantity]]</f>
        <v>6.6666666666666661</v>
      </c>
      <c r="J3" s="8">
        <v>6</v>
      </c>
      <c r="K3" s="8">
        <v>50</v>
      </c>
      <c r="L3" s="8">
        <f>100*Table913[[#This Row],[Quantity]]</f>
        <v>4000</v>
      </c>
      <c r="M3" s="8">
        <f>Table913[[#This Row],[Energy consumption in W]]*24*365/1000</f>
        <v>35040</v>
      </c>
      <c r="N3" s="8">
        <f t="shared" ref="N3:N10" si="0">0.15/50</f>
        <v>3.0000000000000001E-3</v>
      </c>
      <c r="O3" s="8">
        <f>Table913[[#This Row],[Yearly Energy Consumption in kWh]]*Table913[[#This Row],[CU/kWh]]</f>
        <v>105.12</v>
      </c>
      <c r="P3" s="8">
        <v>0</v>
      </c>
      <c r="Q3" s="8">
        <v>20</v>
      </c>
      <c r="R3" s="8">
        <f>Table913[[#This Row],[FIT]]*Table913[[#This Row],[Quantity]]*24*365/1000000000</f>
        <v>1.7520000000000001E-2</v>
      </c>
      <c r="S3" s="8">
        <f>2*Table913[[#This Row],[Mean dist in km from CO]]/Table913[[#This Row],[Avg Travel Speed]]</f>
        <v>0</v>
      </c>
      <c r="T3" s="8">
        <f>Table913[[#This Row],[MTTR]]+Table913[[#This Row],[Twice Travel Time]]</f>
        <v>6</v>
      </c>
      <c r="U3" s="8">
        <v>1</v>
      </c>
      <c r="V3" s="8">
        <v>5</v>
      </c>
      <c r="W3" s="8">
        <f>Table913[[#This Row],[Failures per year]]*Table913[[#This Row],[Total Time to Repair(h)]]*Table913[[#This Row],[No. Of technicians]]*Table913[[#This Row],[Cost per hour]]</f>
        <v>0.52560000000000007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Table913[Percentage of Business Users]*Table913[SLA CU per hour]*Table913[Failures per year]*Table913[Total Time to Repair(h)]</f>
        <v>0.73584000000000016</v>
      </c>
      <c r="AB3" s="8">
        <f>Table913[[#This Row],[Percentage of ITS and business users]]*Table913[[#This Row],[SLA CU per hour]]*Table913[[#This Row],[Failures per year]]*Table913[[#This Row],[Total Time to Repair(h)]]</f>
        <v>0.74151648000000003</v>
      </c>
    </row>
    <row r="4" spans="1:28" x14ac:dyDescent="0.25">
      <c r="A4" s="8" t="s">
        <v>3</v>
      </c>
      <c r="B4" s="8" t="s">
        <v>6</v>
      </c>
      <c r="C4" s="8">
        <v>0.1</v>
      </c>
      <c r="D4" s="23">
        <v>4800</v>
      </c>
      <c r="E4" s="8">
        <v>0</v>
      </c>
      <c r="F4" s="8">
        <f>Table913[[#This Row],[Floor Space per component]]*Table913[[#This Row],[Quantity]]</f>
        <v>0</v>
      </c>
      <c r="G4" s="8">
        <v>10.6</v>
      </c>
      <c r="H4" s="8">
        <f>Table913[[#This Row],[Total Floor Space]]*Table913[[#This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Table913[[#This Row],[Energy consumption in W]]*24*365/1000</f>
        <v>5256</v>
      </c>
      <c r="N4" s="8">
        <f t="shared" si="0"/>
        <v>3.0000000000000001E-3</v>
      </c>
      <c r="O4" s="8">
        <f>Table913[[#This Row],[Yearly Energy Consumption in kWh]]*Table913[[#This Row],[CU/kWh]]</f>
        <v>15.768000000000001</v>
      </c>
      <c r="P4" s="8">
        <v>0</v>
      </c>
      <c r="Q4" s="8">
        <v>20</v>
      </c>
      <c r="R4" s="8">
        <f>Table913[[#This Row],[FIT]]*Table913[[#This Row],[Quantity]]*24*365/1000000000</f>
        <v>0</v>
      </c>
      <c r="S4" s="8">
        <f>2*Table913[[#This Row],[Mean dist in km from CO]]/Table913[[#This Row],[Avg Travel Speed]]</f>
        <v>0</v>
      </c>
      <c r="T4" s="8">
        <f>Table913[[#This Row],[MTTR]]+Table913[[#This Row],[Twice Travel Time]]</f>
        <v>0</v>
      </c>
      <c r="U4" s="8">
        <v>1</v>
      </c>
      <c r="V4" s="8">
        <v>5</v>
      </c>
      <c r="W4" s="8">
        <f>Table913[[#This Row],[Failures per year]]*Table913[[#This Row],[Total Time to Repair(h)]]*Table913[[#This Row],[No. Of technicians]]*Table913[[#This Row],[Cost per hour]]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Table913[Percentage of Business Users]*Table913[SLA CU per hour]*Table913[Failures per year]*Table913[Total Time to Repair(h)]</f>
        <v>0</v>
      </c>
      <c r="AB4" s="8">
        <f>Table913[[#This Row],[Percentage of ITS and business users]]*Table913[[#This Row],[SLA CU per hour]]*Table913[[#This Row],[Failures per year]]*Table913[[#This Row],[Total Time to Repair(h)]]</f>
        <v>0</v>
      </c>
    </row>
    <row r="5" spans="1:28" x14ac:dyDescent="0.25">
      <c r="A5" s="8" t="s">
        <v>3</v>
      </c>
      <c r="B5" s="8" t="s">
        <v>75</v>
      </c>
      <c r="C5" s="8">
        <v>400</v>
      </c>
      <c r="D5" s="23">
        <v>1</v>
      </c>
      <c r="E5" s="8">
        <v>20</v>
      </c>
      <c r="F5" s="8">
        <f>Table913[[#This Row],[Floor Space per component]]*Table913[[#This Row],[Quantity]]</f>
        <v>20</v>
      </c>
      <c r="G5" s="8">
        <v>10.6</v>
      </c>
      <c r="H5" s="8">
        <f>Table913[[#This Row],[Total Floor Space]]*Table913[[#This Row],[Rent per sqm per year]]</f>
        <v>212</v>
      </c>
      <c r="I5" s="8">
        <f>24*Table913[[#This Row],[Quantity]]</f>
        <v>24</v>
      </c>
      <c r="J5" s="8">
        <v>0</v>
      </c>
      <c r="K5" s="8">
        <v>0</v>
      </c>
      <c r="L5" s="8">
        <v>0</v>
      </c>
      <c r="M5" s="8">
        <f>Table913[[#This Row],[Energy consumption in W]]*24*365/1000</f>
        <v>0</v>
      </c>
      <c r="N5" s="8">
        <f t="shared" si="0"/>
        <v>3.0000000000000001E-3</v>
      </c>
      <c r="O5" s="8">
        <f>Table913[[#This Row],[Yearly Energy Consumption in kWh]]*Table913[[#This Row],[CU/kWh]]</f>
        <v>0</v>
      </c>
      <c r="P5" s="8">
        <v>0</v>
      </c>
      <c r="Q5" s="8">
        <v>20</v>
      </c>
      <c r="R5" s="8">
        <f>Table913[[#This Row],[FIT]]*Table913[[#This Row],[Quantity]]*24*365/1000000000</f>
        <v>0</v>
      </c>
      <c r="S5" s="8">
        <f>2*Table913[[#This Row],[Mean dist in km from CO]]/Table913[[#This Row],[Avg Travel Speed]]</f>
        <v>0</v>
      </c>
      <c r="T5" s="8">
        <f>Table913[[#This Row],[MTTR]]+Table913[[#This Row],[Twice Travel Time]]</f>
        <v>0</v>
      </c>
      <c r="U5" s="8">
        <v>1</v>
      </c>
      <c r="V5" s="8">
        <v>5</v>
      </c>
      <c r="W5" s="8">
        <f>Table913[[#This Row],[Failures per year]]*Table913[[#This Row],[Total Time to Repair(h)]]*Table913[[#This Row],[No. Of technicians]]*Table913[[#This Row],[Cost per hour]]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Table913[Percentage of Business Users]*Table913[SLA CU per hour]*Table913[Failures per year]*Table913[Total Time to Repair(h)]</f>
        <v>0</v>
      </c>
      <c r="AB5" s="8">
        <f>Table913[[#This Row],[Percentage of ITS and business users]]*Table913[[#This Row],[SLA CU per hour]]*Table913[[#This Row],[Failures per year]]*Table913[[#This Row],[Total Time to Repair(h)]]</f>
        <v>0</v>
      </c>
    </row>
    <row r="6" spans="1:28" x14ac:dyDescent="0.25">
      <c r="A6" s="8" t="s">
        <v>8</v>
      </c>
      <c r="B6" s="8" t="s">
        <v>76</v>
      </c>
      <c r="C6" s="8">
        <v>24</v>
      </c>
      <c r="D6" s="23">
        <v>124</v>
      </c>
      <c r="E6" s="8">
        <v>0</v>
      </c>
      <c r="F6" s="8">
        <f>Table913[[#This Row],[Floor Space per component]]*Table913[[#This Row],[Quantity]]</f>
        <v>0</v>
      </c>
      <c r="G6" s="8">
        <v>10.6</v>
      </c>
      <c r="H6" s="8">
        <f>Table913[[#This Row],[Total Floor Space]]*Table913[[#This Row],[Rent per sqm per year]]</f>
        <v>0</v>
      </c>
      <c r="I6" s="8">
        <f>1/6*Table913[[#This Row],[Quantity]]</f>
        <v>20.666666666666664</v>
      </c>
      <c r="J6" s="8">
        <v>6</v>
      </c>
      <c r="K6" s="8">
        <v>50</v>
      </c>
      <c r="L6" s="8">
        <v>0</v>
      </c>
      <c r="M6" s="8">
        <f>Table913[[#This Row],[Energy consumption in W]]*24*365/1000</f>
        <v>0</v>
      </c>
      <c r="N6" s="8">
        <f t="shared" si="0"/>
        <v>3.0000000000000001E-3</v>
      </c>
      <c r="O6" s="8">
        <f>Table913[[#This Row],[Yearly Energy Consumption in kWh]]*Table913[[#This Row],[CU/kWh]]</f>
        <v>0</v>
      </c>
      <c r="P6" s="8">
        <v>1</v>
      </c>
      <c r="Q6" s="8">
        <v>20</v>
      </c>
      <c r="R6" s="8">
        <f>Table913[[#This Row],[FIT]]*Table913[[#This Row],[Quantity]]*24*365/1000000000</f>
        <v>5.4311999999999999E-2</v>
      </c>
      <c r="S6" s="8">
        <f>2*Table913[[#This Row],[Mean dist in km from CO]]/Table913[[#This Row],[Avg Travel Speed]]</f>
        <v>0.1</v>
      </c>
      <c r="T6" s="8">
        <f>Table913[[#This Row],[MTTR]]+Table913[[#This Row],[Twice Travel Time]]</f>
        <v>6.1</v>
      </c>
      <c r="U6" s="8">
        <v>1</v>
      </c>
      <c r="V6" s="8">
        <v>5</v>
      </c>
      <c r="W6" s="8">
        <f>Table913[[#This Row],[Failures per year]]*Table913[[#This Row],[Total Time to Repair(h)]]*Table913[[#This Row],[No. Of technicians]]*Table913[[#This Row],[Cost per hour]]</f>
        <v>1.6565159999999999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Table913[Percentage of Business Users]*Table913[SLA CU per hour]*Table913[Failures per year]*Table913[Total Time to Repair(h)]</f>
        <v>2.3191223999999999</v>
      </c>
      <c r="AB6" s="8">
        <f>Table913[[#This Row],[Percentage of ITS and business users]]*Table913[[#This Row],[SLA CU per hour]]*Table913[[#This Row],[Failures per year]]*Table913[[#This Row],[Total Time to Repair(h)]]</f>
        <v>2.3370127728000001</v>
      </c>
    </row>
    <row r="7" spans="1:28" x14ac:dyDescent="0.25">
      <c r="A7" s="8" t="s">
        <v>10</v>
      </c>
      <c r="B7" s="8" t="s">
        <v>85</v>
      </c>
      <c r="C7" s="8">
        <v>112</v>
      </c>
      <c r="D7" s="23">
        <v>1900</v>
      </c>
      <c r="E7" s="8">
        <v>1</v>
      </c>
      <c r="F7" s="8">
        <f>Table913[[#This Row],[Floor Space per component]]*Table913[[#This Row],[Quantity]]</f>
        <v>1900</v>
      </c>
      <c r="G7" s="8">
        <v>10.6</v>
      </c>
      <c r="H7" s="8">
        <f>Table913[[#This Row],[Total Floor Space]]*Table913[[#This Row],[Rent per sqm per year]]</f>
        <v>20140</v>
      </c>
      <c r="I7" s="8">
        <f>(0.5+1/6*4)*Table913[[#This Row],[Quantity]]</f>
        <v>2216.6666666666665</v>
      </c>
      <c r="J7" s="8">
        <v>24</v>
      </c>
      <c r="K7" s="8">
        <v>512</v>
      </c>
      <c r="L7" s="8">
        <f>50*Table913[[#This Row],[Quantity]]</f>
        <v>95000</v>
      </c>
      <c r="M7" s="8">
        <f>Table913[[#This Row],[Energy consumption in W]]*24*365/1000</f>
        <v>832200</v>
      </c>
      <c r="N7" s="8">
        <f t="shared" si="0"/>
        <v>3.0000000000000001E-3</v>
      </c>
      <c r="O7" s="8">
        <f>Table913[[#This Row],[Yearly Energy Consumption in kWh]]*Table913[[#This Row],[CU/kWh]]</f>
        <v>2496.6</v>
      </c>
      <c r="P7" s="8">
        <v>1.5</v>
      </c>
      <c r="Q7" s="8">
        <v>20</v>
      </c>
      <c r="R7" s="8">
        <f>Table913[[#This Row],[FIT]]*Table913[[#This Row],[Quantity]]*24*365/1000000000</f>
        <v>8.5217279999999995</v>
      </c>
      <c r="S7" s="8">
        <f>2*Table913[[#This Row],[Mean dist in km from CO]]/Table913[[#This Row],[Avg Travel Speed]]</f>
        <v>0.15</v>
      </c>
      <c r="T7" s="8">
        <f>Table913[[#This Row],[MTTR]]+Table913[[#This Row],[Twice Travel Time]]</f>
        <v>24.15</v>
      </c>
      <c r="U7" s="8">
        <v>1</v>
      </c>
      <c r="V7" s="8">
        <v>5</v>
      </c>
      <c r="W7" s="8">
        <f>Table913[[#This Row],[Failures per year]]*Table913[[#This Row],[Total Time to Repair(h)]]*Table913[[#This Row],[No. Of technicians]]*Table913[[#This Row],[Cost per hour]]</f>
        <v>1028.9986559999998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Table913[Percentage of Business Users]*Table913[SLA CU per hour]*Table913[Failures per year]*Table913[Total Time to Repair(h)]</f>
        <v>1440.5981184000002</v>
      </c>
      <c r="AB7" s="8">
        <f>Table913[[#This Row],[Percentage of ITS and business users]]*Table913[[#This Row],[SLA CU per hour]]*Table913[[#This Row],[Failures per year]]*Table913[[#This Row],[Total Time to Repair(h)]]</f>
        <v>1451.7113038847999</v>
      </c>
    </row>
    <row r="8" spans="1:28" x14ac:dyDescent="0.25">
      <c r="A8" s="8" t="s">
        <v>10</v>
      </c>
      <c r="B8" s="8" t="s">
        <v>86</v>
      </c>
      <c r="C8" s="8">
        <v>3.1</v>
      </c>
      <c r="D8" s="23">
        <f>494*3*2</f>
        <v>2964</v>
      </c>
      <c r="E8" s="8">
        <v>0</v>
      </c>
      <c r="F8" s="8">
        <f>Table913[[#This Row],[Floor Space per component]]*Table913[[#This Row],[Quantity]]</f>
        <v>0</v>
      </c>
      <c r="G8" s="8">
        <v>10.6</v>
      </c>
      <c r="H8" s="8">
        <f>Table913[[#This Row],[Total Floor Space]]*Table913[[#This Row],[Rent per sqm per year]]</f>
        <v>0</v>
      </c>
      <c r="I8" s="8">
        <f>(0.5)*Table913[[#This Row],[Quantity]]</f>
        <v>1482</v>
      </c>
      <c r="J8" s="8">
        <v>6</v>
      </c>
      <c r="K8" s="8">
        <v>256</v>
      </c>
      <c r="L8" s="8">
        <f>5.5*Table913[[#This Row],[Quantity]]</f>
        <v>16302</v>
      </c>
      <c r="M8" s="8">
        <f>Table913[[#This Row],[Energy consumption in W]]*24*365/1000</f>
        <v>142805.51999999999</v>
      </c>
      <c r="N8" s="8">
        <f t="shared" si="0"/>
        <v>3.0000000000000001E-3</v>
      </c>
      <c r="O8" s="8">
        <f>Table913[[#This Row],[Yearly Energy Consumption in kWh]]*Table913[[#This Row],[CU/kWh]]</f>
        <v>428.41656</v>
      </c>
      <c r="P8" s="8">
        <v>1.5</v>
      </c>
      <c r="Q8" s="8">
        <v>20</v>
      </c>
      <c r="R8" s="8">
        <f>Table913[[#This Row],[FIT]]*Table913[[#This Row],[Quantity]]*24*365/1000000000</f>
        <v>6.6469478400000002</v>
      </c>
      <c r="S8" s="8">
        <f>2*Table913[[#This Row],[Mean dist in km from CO]]/Table913[[#This Row],[Avg Travel Speed]]</f>
        <v>0.15</v>
      </c>
      <c r="T8" s="8">
        <f>Table913[[#This Row],[MTTR]]+Table913[[#This Row],[Twice Travel Time]]</f>
        <v>6.15</v>
      </c>
      <c r="U8" s="8">
        <v>1</v>
      </c>
      <c r="V8" s="8">
        <v>5</v>
      </c>
      <c r="W8" s="8">
        <f>Table913[[#This Row],[Failures per year]]*Table913[[#This Row],[Total Time to Repair(h)]]*Table913[[#This Row],[No. Of technicians]]*Table913[[#This Row],[Cost per hour]]</f>
        <v>204.39364608000002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Table913[Percentage of Business Users]*Table913[SLA CU per hour]*Table913[Failures per year]*Table913[Total Time to Repair(h)]</f>
        <v>286.15110451200007</v>
      </c>
      <c r="AB8" s="8">
        <f>Table913[[#This Row],[Percentage of ITS and business users]]*Table913[[#This Row],[SLA CU per hour]]*Table913[[#This Row],[Failures per year]]*Table913[[#This Row],[Total Time to Repair(h)]]</f>
        <v>288.35855588966405</v>
      </c>
    </row>
    <row r="9" spans="1:28" x14ac:dyDescent="0.25">
      <c r="A9" s="8" t="s">
        <v>10</v>
      </c>
      <c r="B9" s="8" t="s">
        <v>87</v>
      </c>
      <c r="C9" s="8">
        <v>12</v>
      </c>
      <c r="D9" s="23">
        <f>494*2*3</f>
        <v>2964</v>
      </c>
      <c r="E9" s="8">
        <v>1</v>
      </c>
      <c r="F9" s="8">
        <f>Table913[[#This Row],[Floor Space per component]]*Table913[[#This Row],[Quantity]]</f>
        <v>2964</v>
      </c>
      <c r="G9" s="8">
        <v>2</v>
      </c>
      <c r="H9" s="8">
        <f>Table913[[#This Row],[Total Floor Space]]*Table913[[#This Row],[Rent per sqm per year]]</f>
        <v>5928</v>
      </c>
      <c r="I9" s="8">
        <f>(0.5+1/6*16)*Table913[[#This Row],[Quantity]]</f>
        <v>9386</v>
      </c>
      <c r="J9" s="8">
        <v>24</v>
      </c>
      <c r="K9" s="8">
        <v>512</v>
      </c>
      <c r="L9" s="8">
        <f>50*Table913[[#This Row],[Quantity]]</f>
        <v>148200</v>
      </c>
      <c r="M9" s="8">
        <f>Table913[[#This Row],[Energy consumption in W]]*24*365/1000</f>
        <v>1298232</v>
      </c>
      <c r="N9" s="8">
        <f t="shared" si="0"/>
        <v>3.0000000000000001E-3</v>
      </c>
      <c r="O9" s="8">
        <f>Table913[[#This Row],[Yearly Energy Consumption in kWh]]*Table913[[#This Row],[CU/kWh]]</f>
        <v>3894.6959999999999</v>
      </c>
      <c r="P9" s="8">
        <v>2</v>
      </c>
      <c r="Q9" s="8">
        <v>20</v>
      </c>
      <c r="R9" s="8">
        <f>Table913[[#This Row],[FIT]]*Table913[[#This Row],[Quantity]]*24*365/1000000000</f>
        <v>13.29389568</v>
      </c>
      <c r="S9" s="8">
        <f>2*Table913[[#This Row],[Mean dist in km from CO]]/Table913[[#This Row],[Avg Travel Speed]]</f>
        <v>0.2</v>
      </c>
      <c r="T9" s="8">
        <f>Table913[[#This Row],[MTTR]]+Table913[[#This Row],[Twice Travel Time]]</f>
        <v>24.2</v>
      </c>
      <c r="U9" s="8">
        <v>1</v>
      </c>
      <c r="V9" s="8">
        <v>5</v>
      </c>
      <c r="W9" s="8">
        <f>Table913[[#This Row],[Failures per year]]*Table913[[#This Row],[Total Time to Repair(h)]]*Table913[[#This Row],[No. Of technicians]]*Table913[[#This Row],[Cost per hour]]</f>
        <v>1608.56137728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Table913[Percentage of Business Users]*Table913[SLA CU per hour]*Table913[Failures per year]*Table913[Total Time to Repair(h)]</f>
        <v>2251.9859281920003</v>
      </c>
      <c r="AB9" s="8">
        <f>Table913[[#This Row],[Percentage of ITS and business users]]*Table913[[#This Row],[SLA CU per hour]]*Table913[[#This Row],[Failures per year]]*Table913[[#This Row],[Total Time to Repair(h)]]</f>
        <v>2269.3583910666239</v>
      </c>
    </row>
    <row r="10" spans="1:28" x14ac:dyDescent="0.25">
      <c r="A10" s="8" t="s">
        <v>88</v>
      </c>
      <c r="B10" s="8" t="s">
        <v>83</v>
      </c>
      <c r="C10" s="8">
        <v>0</v>
      </c>
      <c r="D10" s="23">
        <v>0</v>
      </c>
      <c r="E10" s="8">
        <v>0</v>
      </c>
      <c r="F10" s="8">
        <f>Table913[[#This Row],[Floor Space per component]]*Table913[[#This Row],[Quantity]]</f>
        <v>0</v>
      </c>
      <c r="G10" s="8">
        <v>4</v>
      </c>
      <c r="H10" s="8">
        <f>Table913[[#This Row],[Total Floor Space]]*Table913[[#This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Table913[[#This Row],[Energy consumption in W]]*24*365/1000</f>
        <v>0</v>
      </c>
      <c r="N10" s="8">
        <f t="shared" si="0"/>
        <v>3.0000000000000001E-3</v>
      </c>
      <c r="O10" s="8">
        <f>Table913[[#This Row],[Yearly Energy Consumption in kWh]]*Table913[[#This Row],[CU/kWh]]</f>
        <v>0</v>
      </c>
      <c r="P10" s="8">
        <v>2</v>
      </c>
      <c r="Q10" s="8">
        <v>20</v>
      </c>
      <c r="R10" s="8">
        <f>Table913[[#This Row],[FIT]]*Table913[[#This Row],[Quantity]]*24*365/1000000000</f>
        <v>0</v>
      </c>
      <c r="S10" s="8">
        <f>2*Table913[[#This Row],[Mean dist in km from CO]]/Table913[[#This Row],[Avg Travel Speed]]</f>
        <v>0.2</v>
      </c>
      <c r="T10" s="8">
        <f>Table913[[#This Row],[MTTR]]+Table913[[#This Row],[Twice Travel Time]]</f>
        <v>0.2</v>
      </c>
      <c r="U10" s="8">
        <v>1</v>
      </c>
      <c r="V10" s="8">
        <v>5</v>
      </c>
      <c r="W10" s="8">
        <f>Table913[[#This Row],[Failures per year]]*Table913[[#This Row],[Total Time to Repair(h)]]*Table913[[#This Row],[No. Of technicians]]*Table913[[#This Row],[Cost per hour]]</f>
        <v>0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Table913[Percentage of Business Users]*Table913[SLA CU per hour]*Table913[Failures per year]*Table913[Total Time to Repair(h)]</f>
        <v>0</v>
      </c>
      <c r="AB10" s="8">
        <f>Table913[[#This Row],[Percentage of ITS and business users]]*Table913[[#This Row],[SLA CU per hour]]*Table913[[#This Row],[Failures per year]]*Table913[[#This Row],[Total Time to Repair(h)]]</f>
        <v>0</v>
      </c>
    </row>
    <row r="11" spans="1:28" x14ac:dyDescent="0.25">
      <c r="H11" s="8">
        <f>SUM(Table913[Total Rent cost per year])</f>
        <v>37304</v>
      </c>
      <c r="O11" s="8">
        <f>SUBTOTAL(109,Table913[Energy Cost per year in CU])</f>
        <v>6993.1605600000003</v>
      </c>
      <c r="W11" s="8">
        <f>SUBTOTAL(109,Table913[FM Cost])</f>
        <v>2857.5911553599999</v>
      </c>
      <c r="AA11" s="8">
        <f>SUBTOTAL(109,Table913[FM Penalty Business])</f>
        <v>4000.6276175040007</v>
      </c>
      <c r="AB11" s="8">
        <f>SUBTOTAL(109,Table913[FM Penalty ITS])</f>
        <v>4031.489601981888</v>
      </c>
    </row>
    <row r="15" spans="1:28" x14ac:dyDescent="0.25">
      <c r="P15" s="8" t="s">
        <v>69</v>
      </c>
    </row>
    <row r="16" spans="1:28" x14ac:dyDescent="0.25">
      <c r="A16" s="8" t="s">
        <v>39</v>
      </c>
      <c r="B16" s="8" t="s">
        <v>63</v>
      </c>
      <c r="C16" s="8" t="s">
        <v>17</v>
      </c>
      <c r="D16" s="8" t="s">
        <v>16</v>
      </c>
      <c r="E16" s="8" t="s">
        <v>40</v>
      </c>
      <c r="F16" s="8" t="s">
        <v>30</v>
      </c>
      <c r="G16" s="8" t="s">
        <v>44</v>
      </c>
      <c r="H16" s="8" t="s">
        <v>47</v>
      </c>
      <c r="I16" s="8" t="s">
        <v>48</v>
      </c>
      <c r="J16" s="8" t="s">
        <v>50</v>
      </c>
      <c r="P16" s="8">
        <f>Table913[[#Totals],[Total Rent cost per year]]+Table913[[#Totals],[Energy Cost per year in CU]]+Table913[[#Totals],[FM Cost]]+J20</f>
        <v>47534.593743966827</v>
      </c>
    </row>
    <row r="17" spans="1:15" x14ac:dyDescent="0.25">
      <c r="A17" s="8" t="s">
        <v>41</v>
      </c>
      <c r="B17" s="8">
        <f>8635.15425010598/1000</f>
        <v>8.6351542501059786</v>
      </c>
      <c r="C17" s="8">
        <f>570*B17</f>
        <v>4922.0379225604074</v>
      </c>
      <c r="D17" s="8">
        <v>24</v>
      </c>
      <c r="E17" s="8">
        <v>1</v>
      </c>
      <c r="F17" s="8">
        <v>5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5.1848255272459074</v>
      </c>
      <c r="M17" s="8" t="s">
        <v>97</v>
      </c>
      <c r="N17" s="8" t="s">
        <v>66</v>
      </c>
      <c r="O17" s="8" t="s">
        <v>133</v>
      </c>
    </row>
    <row r="18" spans="1:15" x14ac:dyDescent="0.25">
      <c r="A18" s="8" t="s">
        <v>42</v>
      </c>
      <c r="B18" s="8">
        <f>233483.637737831/1000</f>
        <v>233.483637737831</v>
      </c>
      <c r="C18" s="8">
        <f t="shared" ref="C18:C19" si="2">570*B18</f>
        <v>133085.67351056368</v>
      </c>
      <c r="D18" s="8">
        <v>24</v>
      </c>
      <c r="E18" s="8">
        <v>1</v>
      </c>
      <c r="F18" s="8">
        <v>5</v>
      </c>
      <c r="G18" s="8">
        <v>2</v>
      </c>
      <c r="H18" s="8">
        <f t="shared" ref="H18:H19" si="3">G18/20</f>
        <v>0.1</v>
      </c>
      <c r="I18" s="8">
        <f t="shared" ref="I18:I19" si="4">D18+H18</f>
        <v>24.1</v>
      </c>
      <c r="J18" s="8">
        <f t="shared" ref="J18:J19" si="5">C18*E18*F18*I18*24*365/1000000000</f>
        <v>140.48257524428078</v>
      </c>
      <c r="M18" s="8" t="s">
        <v>92</v>
      </c>
      <c r="N18" s="8">
        <f>N29/$L$27</f>
        <v>0.59062697910069661</v>
      </c>
      <c r="O18" s="8">
        <f>O29/$L$27</f>
        <v>0.59062697910069661</v>
      </c>
    </row>
    <row r="19" spans="1:15" x14ac:dyDescent="0.25">
      <c r="A19" s="8" t="s">
        <v>62</v>
      </c>
      <c r="B19" s="8">
        <f>387592.626526276/1000</f>
        <v>387.59262652627598</v>
      </c>
      <c r="C19" s="8">
        <f t="shared" si="2"/>
        <v>220927.7971199773</v>
      </c>
      <c r="D19" s="8">
        <v>24</v>
      </c>
      <c r="E19" s="8">
        <v>1</v>
      </c>
      <c r="F19" s="8">
        <v>5</v>
      </c>
      <c r="G19" s="8">
        <v>4</v>
      </c>
      <c r="H19" s="8">
        <f t="shared" si="3"/>
        <v>0.2</v>
      </c>
      <c r="I19" s="8">
        <f t="shared" si="4"/>
        <v>24.2</v>
      </c>
      <c r="J19" s="8">
        <f t="shared" si="5"/>
        <v>234.17462783529115</v>
      </c>
      <c r="M19" s="8" t="s">
        <v>93</v>
      </c>
      <c r="N19" s="8">
        <f t="shared" ref="N19:O22" si="6">N30/$L$27</f>
        <v>0.11072135148828373</v>
      </c>
      <c r="O19" s="8">
        <f t="shared" si="6"/>
        <v>0.11072135148828373</v>
      </c>
    </row>
    <row r="20" spans="1:15" x14ac:dyDescent="0.25">
      <c r="J20" s="8">
        <f>SUM(J17:J19)</f>
        <v>379.84202860681785</v>
      </c>
      <c r="M20" s="8" t="s">
        <v>94</v>
      </c>
      <c r="N20" s="8">
        <f t="shared" si="6"/>
        <v>4.5243685170360988E-2</v>
      </c>
      <c r="O20" s="8">
        <f t="shared" si="6"/>
        <v>6.9843756025786977E-2</v>
      </c>
    </row>
    <row r="21" spans="1:15" x14ac:dyDescent="0.25">
      <c r="M21" s="8" t="s">
        <v>95</v>
      </c>
      <c r="N21" s="8">
        <f t="shared" si="6"/>
        <v>3.7329600787967071E-2</v>
      </c>
      <c r="O21" s="8">
        <f t="shared" si="6"/>
        <v>3.8559604330738372E-2</v>
      </c>
    </row>
    <row r="22" spans="1:15" x14ac:dyDescent="0.25">
      <c r="M22" s="8" t="s">
        <v>96</v>
      </c>
      <c r="N22" s="8">
        <f t="shared" si="6"/>
        <v>5.2261441103153908E-2</v>
      </c>
      <c r="O22" s="8">
        <f t="shared" si="6"/>
        <v>5.3983446063033722E-2</v>
      </c>
    </row>
    <row r="23" spans="1:15" x14ac:dyDescent="0.25">
      <c r="N23" s="8">
        <f>SUM(Table14161718192021[Cost])</f>
        <v>0.83618305765046241</v>
      </c>
      <c r="O23" s="8">
        <f>SUBTOTAL(109,Table14161718192021[Cost ITS])</f>
        <v>0.86373513700853943</v>
      </c>
    </row>
    <row r="26" spans="1:15" x14ac:dyDescent="0.25">
      <c r="L26" s="8" t="s">
        <v>128</v>
      </c>
    </row>
    <row r="27" spans="1:15" x14ac:dyDescent="0.25">
      <c r="L27" s="8">
        <v>63160</v>
      </c>
    </row>
    <row r="28" spans="1:15" x14ac:dyDescent="0.25">
      <c r="M28" s="39" t="s">
        <v>97</v>
      </c>
      <c r="N28" s="40" t="s">
        <v>66</v>
      </c>
      <c r="O28" s="8" t="s">
        <v>133</v>
      </c>
    </row>
    <row r="29" spans="1:15" x14ac:dyDescent="0.25">
      <c r="B29" s="9"/>
      <c r="C29" s="9"/>
      <c r="D29" s="9"/>
      <c r="M29" s="32" t="s">
        <v>92</v>
      </c>
      <c r="N29" s="12">
        <f>Table913[[#Totals],[Total Rent cost per year]]</f>
        <v>37304</v>
      </c>
      <c r="O29" s="12">
        <f>Table913[[#Totals],[Total Rent cost per year]]</f>
        <v>37304</v>
      </c>
    </row>
    <row r="30" spans="1:15" x14ac:dyDescent="0.25">
      <c r="M30" s="34" t="s">
        <v>93</v>
      </c>
      <c r="N30" s="13">
        <f>Table913[[#Totals],[Energy Cost per year in CU]]</f>
        <v>6993.1605600000003</v>
      </c>
      <c r="O30" s="13">
        <f>Table913[[#Totals],[Energy Cost per year in CU]]</f>
        <v>6993.1605600000003</v>
      </c>
    </row>
    <row r="31" spans="1:15" x14ac:dyDescent="0.25">
      <c r="M31" s="32" t="s">
        <v>94</v>
      </c>
      <c r="N31" s="12">
        <f>Table913[[#Totals],[FM Cost]]+J31</f>
        <v>2857.5911553599999</v>
      </c>
      <c r="O31" s="8">
        <f>Table913[[#Totals],[FM Penalty ITS]]+$J$20</f>
        <v>4411.3316305887056</v>
      </c>
    </row>
    <row r="32" spans="1:15" x14ac:dyDescent="0.25">
      <c r="M32" s="34" t="s">
        <v>95</v>
      </c>
      <c r="N32" s="13">
        <f>0.05*SUM(N29:N31)</f>
        <v>2357.7375857680004</v>
      </c>
      <c r="O32" s="13">
        <f>0.05*SUM(O29:O31)</f>
        <v>2435.4246095294357</v>
      </c>
    </row>
    <row r="33" spans="13:15" x14ac:dyDescent="0.25">
      <c r="M33" s="32" t="s">
        <v>96</v>
      </c>
      <c r="N33" s="12">
        <f>0.07*SUM(N29:N31)</f>
        <v>3300.8326200752008</v>
      </c>
      <c r="O33" s="12">
        <f>0.07*SUM(O29:O31)</f>
        <v>3409.5944533412098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E1" workbookViewId="0">
      <selection activeCell="J28" sqref="J28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16" t="s">
        <v>3</v>
      </c>
      <c r="B2" s="17" t="s">
        <v>58</v>
      </c>
      <c r="C2" s="18">
        <v>80</v>
      </c>
      <c r="D2" s="23">
        <v>240</v>
      </c>
      <c r="E2" s="8">
        <v>5</v>
      </c>
      <c r="F2" s="8">
        <f>E2*D2</f>
        <v>1200</v>
      </c>
      <c r="G2" s="8">
        <v>10.6</v>
      </c>
      <c r="H2" s="8">
        <f>Table1014[[#This Row],[Total Floor Space]]*Table1014[[#This Row],[Rent per sqm per year]]</f>
        <v>12720</v>
      </c>
      <c r="I2" s="8">
        <f>(0.5+1/6*6)*Table1014[[#This Row],[Quantity]]</f>
        <v>360</v>
      </c>
      <c r="J2" s="8">
        <v>6</v>
      </c>
      <c r="K2" s="8">
        <v>256</v>
      </c>
      <c r="L2" s="8">
        <f>0.5*10*6*Table1014[[#This Row],[Quantity]]</f>
        <v>7200</v>
      </c>
      <c r="M2" s="8">
        <f>Table1014[[#This Row],[Energy consumption in W]]*24*365/1000</f>
        <v>63072</v>
      </c>
      <c r="N2" s="8">
        <f>0.15/50</f>
        <v>3.0000000000000001E-3</v>
      </c>
      <c r="O2" s="8">
        <f>Table1014[[#This Row],[Yearly Energy Consumption in kWh]]*Table1014[[#This Row],[CU/kWh]]</f>
        <v>189.21600000000001</v>
      </c>
      <c r="P2" s="8">
        <v>0</v>
      </c>
      <c r="Q2" s="8">
        <v>20</v>
      </c>
      <c r="R2" s="8">
        <f>Table1014[[#This Row],[FIT]]*Table1014[[#This Row],[Quantity]]*24*365/1000000000</f>
        <v>0.53821439999999998</v>
      </c>
      <c r="S2" s="8">
        <f>2*Table1014[[#This Row],[Mean dist in km from CO]]/Table1014[[#This Row],[Avg Travel Speed]]</f>
        <v>0</v>
      </c>
      <c r="T2" s="8">
        <f>Table1014[[#This Row],[MTTR]]+Table1014[[#This Row],[Twice Travel Time]]</f>
        <v>6</v>
      </c>
      <c r="U2" s="8">
        <v>1</v>
      </c>
      <c r="V2" s="8">
        <v>5</v>
      </c>
      <c r="W2" s="8">
        <f>Table1014[[#This Row],[Failures per year]]*Table1014[[#This Row],[Total Time to Repair(h)]]*Table1014[[#This Row],[No. Of technicians]]*Table1014[[#This Row],[Cost per hour]]</f>
        <v>16.146432000000001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Table1014[Percentage of Business Users]*Table1014[SLA CU per hour]*Table1014[Failures per year]*Table1014[Total Time to Repair(h)]</f>
        <v>22.605004800000003</v>
      </c>
      <c r="AB2" s="8">
        <f>Table1014[[#This Row],[Percentage of ITS and business users]]*Table1014[[#This Row],[SLA CU per hour]]*Table1014[[#This Row],[Failures per year]]*Table1014[[#This Row],[Total Time to Repair(h)]]</f>
        <v>22.779386265600003</v>
      </c>
    </row>
    <row r="3" spans="1:28" x14ac:dyDescent="0.25">
      <c r="A3" s="19" t="s">
        <v>3</v>
      </c>
      <c r="B3" s="20" t="s">
        <v>84</v>
      </c>
      <c r="C3" s="21">
        <v>40</v>
      </c>
      <c r="D3" s="23">
        <v>20</v>
      </c>
      <c r="E3" s="8">
        <v>0</v>
      </c>
      <c r="F3" s="8">
        <f t="shared" ref="F3:F9" si="0">E3*D3</f>
        <v>0</v>
      </c>
      <c r="G3" s="8">
        <v>10.6</v>
      </c>
      <c r="H3" s="8">
        <f>Table1014[[#This Row],[Total Floor Space]]*Table1014[[#This Row],[Rent per sqm per year]]</f>
        <v>0</v>
      </c>
      <c r="I3" s="8">
        <f>1/6*Table1014[[#This Row],[Quantity]]</f>
        <v>3.333333333333333</v>
      </c>
      <c r="J3" s="8">
        <v>6</v>
      </c>
      <c r="K3" s="8">
        <v>50</v>
      </c>
      <c r="L3" s="8">
        <f>100*Table1014[[#This Row],[Quantity]]</f>
        <v>2000</v>
      </c>
      <c r="M3" s="8">
        <f>Table1014[[#This Row],[Energy consumption in W]]*24*365/1000</f>
        <v>17520</v>
      </c>
      <c r="N3" s="8">
        <f t="shared" ref="N3:N9" si="1">0.15/50</f>
        <v>3.0000000000000001E-3</v>
      </c>
      <c r="O3" s="8">
        <f>Table1014[[#This Row],[Yearly Energy Consumption in kWh]]*Table1014[[#This Row],[CU/kWh]]</f>
        <v>52.56</v>
      </c>
      <c r="P3" s="8">
        <v>0</v>
      </c>
      <c r="Q3" s="8">
        <v>20</v>
      </c>
      <c r="R3" s="8">
        <f>Table1014[[#This Row],[FIT]]*Table1014[[#This Row],[Quantity]]*24*365/1000000000</f>
        <v>8.7600000000000004E-3</v>
      </c>
      <c r="S3" s="8">
        <f>2*Table1014[[#This Row],[Mean dist in km from CO]]/Table1014[[#This Row],[Avg Travel Speed]]</f>
        <v>0</v>
      </c>
      <c r="T3" s="8">
        <f>Table1014[[#This Row],[MTTR]]+Table1014[[#This Row],[Twice Travel Time]]</f>
        <v>6</v>
      </c>
      <c r="U3" s="8">
        <v>1</v>
      </c>
      <c r="V3" s="8">
        <v>5</v>
      </c>
      <c r="W3" s="8">
        <f>Table1014[[#This Row],[Failures per year]]*Table1014[[#This Row],[Total Time to Repair(h)]]*Table1014[[#This Row],[No. Of technicians]]*Table1014[[#This Row],[Cost per hour]]</f>
        <v>0.26280000000000003</v>
      </c>
      <c r="X3" s="8">
        <v>100</v>
      </c>
      <c r="Y3" s="8">
        <v>7.0000000000000007E-2</v>
      </c>
      <c r="Z3" s="8">
        <f t="shared" ref="Z3:Z9" si="2">0.07+2*0.00027</f>
        <v>7.0540000000000005E-2</v>
      </c>
      <c r="AA3" s="8">
        <f>Table1014[Percentage of Business Users]*Table1014[SLA CU per hour]*Table1014[Failures per year]*Table1014[Total Time to Repair(h)]</f>
        <v>0.36792000000000008</v>
      </c>
      <c r="AB3" s="8">
        <f>Table1014[[#This Row],[Percentage of ITS and business users]]*Table1014[[#This Row],[SLA CU per hour]]*Table1014[[#This Row],[Failures per year]]*Table1014[[#This Row],[Total Time to Repair(h)]]</f>
        <v>0.37075824000000002</v>
      </c>
    </row>
    <row r="4" spans="1:28" x14ac:dyDescent="0.25">
      <c r="A4" s="16" t="s">
        <v>3</v>
      </c>
      <c r="B4" s="17" t="s">
        <v>6</v>
      </c>
      <c r="C4" s="18">
        <f>0.1</f>
        <v>0.1</v>
      </c>
      <c r="D4" s="23">
        <v>6000</v>
      </c>
      <c r="E4" s="8">
        <v>0</v>
      </c>
      <c r="F4" s="8">
        <f t="shared" si="0"/>
        <v>0</v>
      </c>
      <c r="G4" s="8">
        <v>10.6</v>
      </c>
      <c r="H4" s="8">
        <f>Table1014[[#This Row],[Total Floor Space]]*Table1014[[#This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Table1014[[#This Row],[Energy consumption in W]]*24*365/1000</f>
        <v>5256</v>
      </c>
      <c r="N4" s="8">
        <f t="shared" si="1"/>
        <v>3.0000000000000001E-3</v>
      </c>
      <c r="O4" s="8">
        <f>Table1014[[#This Row],[Yearly Energy Consumption in kWh]]*Table1014[[#This Row],[CU/kWh]]</f>
        <v>15.768000000000001</v>
      </c>
      <c r="P4" s="8">
        <v>0</v>
      </c>
      <c r="Q4" s="8">
        <v>20</v>
      </c>
      <c r="R4" s="8">
        <f>Table1014[[#This Row],[FIT]]*Table1014[[#This Row],[Quantity]]*24*365/1000000000</f>
        <v>0</v>
      </c>
      <c r="S4" s="8">
        <f>2*Table1014[[#This Row],[Mean dist in km from CO]]/Table1014[[#This Row],[Avg Travel Speed]]</f>
        <v>0</v>
      </c>
      <c r="T4" s="8">
        <f>Table1014[[#This Row],[MTTR]]+Table1014[[#This Row],[Twice Travel Time]]</f>
        <v>0</v>
      </c>
      <c r="U4" s="8">
        <v>1</v>
      </c>
      <c r="V4" s="8">
        <v>5</v>
      </c>
      <c r="W4" s="8">
        <f>Table1014[[#This Row],[Failures per year]]*Table1014[[#This Row],[Total Time to Repair(h)]]*Table1014[[#This Row],[No. Of technicians]]*Table1014[[#This Row],[Cost per hour]]</f>
        <v>0</v>
      </c>
      <c r="X4" s="8">
        <v>100</v>
      </c>
      <c r="Y4" s="8">
        <v>7.0000000000000007E-2</v>
      </c>
      <c r="Z4" s="8">
        <f t="shared" si="2"/>
        <v>7.0540000000000005E-2</v>
      </c>
      <c r="AA4" s="8">
        <f>Table1014[Percentage of Business Users]*Table1014[SLA CU per hour]*Table1014[Failures per year]*Table1014[Total Time to Repair(h)]</f>
        <v>0</v>
      </c>
      <c r="AB4" s="8">
        <f>Table1014[[#This Row],[Percentage of ITS and business users]]*Table1014[[#This Row],[SLA CU per hour]]*Table1014[[#This Row],[Failures per year]]*Table1014[[#This Row],[Total Time to Repair(h)]]</f>
        <v>0</v>
      </c>
    </row>
    <row r="5" spans="1:28" x14ac:dyDescent="0.25">
      <c r="A5" s="19" t="s">
        <v>3</v>
      </c>
      <c r="B5" s="20" t="s">
        <v>75</v>
      </c>
      <c r="C5" s="21">
        <v>400</v>
      </c>
      <c r="D5" s="23">
        <v>1</v>
      </c>
      <c r="E5" s="8">
        <v>0</v>
      </c>
      <c r="F5" s="8">
        <f t="shared" si="0"/>
        <v>0</v>
      </c>
      <c r="G5" s="8">
        <v>10.6</v>
      </c>
      <c r="H5" s="8">
        <f>Table1014[[#This Row],[Total Floor Space]]*Table1014[[#This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Table1014[[#This Row],[Energy consumption in W]]*24*365/1000</f>
        <v>0</v>
      </c>
      <c r="N5" s="8">
        <f t="shared" si="1"/>
        <v>3.0000000000000001E-3</v>
      </c>
      <c r="O5" s="8">
        <f>Table1014[[#This Row],[Yearly Energy Consumption in kWh]]*Table1014[[#This Row],[CU/kWh]]</f>
        <v>0</v>
      </c>
      <c r="P5" s="8">
        <v>0</v>
      </c>
      <c r="Q5" s="8">
        <v>20</v>
      </c>
      <c r="R5" s="8">
        <f>Table1014[[#This Row],[FIT]]*Table1014[[#This Row],[Quantity]]*24*365/1000000000</f>
        <v>0</v>
      </c>
      <c r="S5" s="8">
        <f>2*Table1014[[#This Row],[Mean dist in km from CO]]/Table1014[[#This Row],[Avg Travel Speed]]</f>
        <v>0</v>
      </c>
      <c r="T5" s="8">
        <f>Table1014[[#This Row],[MTTR]]+Table1014[[#This Row],[Twice Travel Time]]</f>
        <v>0</v>
      </c>
      <c r="U5" s="8">
        <v>1</v>
      </c>
      <c r="V5" s="8">
        <v>5</v>
      </c>
      <c r="W5" s="8">
        <f>Table1014[[#This Row],[Failures per year]]*Table1014[[#This Row],[Total Time to Repair(h)]]*Table1014[[#This Row],[No. Of technicians]]*Table1014[[#This Row],[Cost per hour]]</f>
        <v>0</v>
      </c>
      <c r="X5" s="8">
        <v>100</v>
      </c>
      <c r="Y5" s="8">
        <v>7.0000000000000007E-2</v>
      </c>
      <c r="Z5" s="8">
        <f t="shared" si="2"/>
        <v>7.0540000000000005E-2</v>
      </c>
      <c r="AA5" s="8">
        <f>Table1014[Percentage of Business Users]*Table1014[SLA CU per hour]*Table1014[Failures per year]*Table1014[Total Time to Repair(h)]</f>
        <v>0</v>
      </c>
      <c r="AB5" s="8">
        <f>Table1014[[#This Row],[Percentage of ITS and business users]]*Table1014[[#This Row],[SLA CU per hour]]*Table1014[[#This Row],[Failures per year]]*Table1014[[#This Row],[Total Time to Repair(h)]]</f>
        <v>0</v>
      </c>
    </row>
    <row r="6" spans="1:28" x14ac:dyDescent="0.25">
      <c r="A6" s="16" t="s">
        <v>8</v>
      </c>
      <c r="B6" s="17" t="s">
        <v>76</v>
      </c>
      <c r="C6" s="18">
        <f>80*0.3</f>
        <v>24</v>
      </c>
      <c r="D6" s="23">
        <v>62</v>
      </c>
      <c r="E6" s="8">
        <v>0</v>
      </c>
      <c r="F6" s="8">
        <f t="shared" si="0"/>
        <v>0</v>
      </c>
      <c r="G6" s="8">
        <v>10.6</v>
      </c>
      <c r="H6" s="8">
        <f>Table1014[[#This Row],[Total Floor Space]]*Table1014[[#This Row],[Rent per sqm per year]]</f>
        <v>0</v>
      </c>
      <c r="I6" s="8">
        <f>1/6*Table1014[[#This Row],[Quantity]]</f>
        <v>10.333333333333332</v>
      </c>
      <c r="J6" s="8">
        <v>6</v>
      </c>
      <c r="K6" s="8">
        <v>50</v>
      </c>
      <c r="L6" s="8">
        <v>0</v>
      </c>
      <c r="M6" s="8">
        <f>Table1014[[#This Row],[Energy consumption in W]]*24*365/1000</f>
        <v>0</v>
      </c>
      <c r="N6" s="8">
        <f t="shared" si="1"/>
        <v>3.0000000000000001E-3</v>
      </c>
      <c r="O6" s="8">
        <f>Table1014[[#This Row],[Yearly Energy Consumption in kWh]]*Table1014[[#This Row],[CU/kWh]]</f>
        <v>0</v>
      </c>
      <c r="P6" s="8">
        <v>1</v>
      </c>
      <c r="Q6" s="8">
        <v>20</v>
      </c>
      <c r="R6" s="8">
        <f>Table1014[[#This Row],[FIT]]*Table1014[[#This Row],[Quantity]]*24*365/1000000000</f>
        <v>2.7156E-2</v>
      </c>
      <c r="S6" s="8">
        <f>2*Table1014[[#This Row],[Mean dist in km from CO]]/Table1014[[#This Row],[Avg Travel Speed]]</f>
        <v>0.1</v>
      </c>
      <c r="T6" s="8">
        <f>Table1014[[#This Row],[MTTR]]+Table1014[[#This Row],[Twice Travel Time]]</f>
        <v>6.1</v>
      </c>
      <c r="U6" s="8">
        <v>1</v>
      </c>
      <c r="V6" s="8">
        <v>5</v>
      </c>
      <c r="W6" s="8">
        <f>Table1014[[#This Row],[Failures per year]]*Table1014[[#This Row],[Total Time to Repair(h)]]*Table1014[[#This Row],[No. Of technicians]]*Table1014[[#This Row],[Cost per hour]]</f>
        <v>0.82825799999999994</v>
      </c>
      <c r="X6" s="8">
        <v>100</v>
      </c>
      <c r="Y6" s="8">
        <v>7.0000000000000007E-2</v>
      </c>
      <c r="Z6" s="8">
        <f t="shared" si="2"/>
        <v>7.0540000000000005E-2</v>
      </c>
      <c r="AA6" s="8">
        <f>Table1014[Percentage of Business Users]*Table1014[SLA CU per hour]*Table1014[Failures per year]*Table1014[Total Time to Repair(h)]</f>
        <v>1.1595612</v>
      </c>
      <c r="AB6" s="8">
        <f>Table1014[[#This Row],[Percentage of ITS and business users]]*Table1014[[#This Row],[SLA CU per hour]]*Table1014[[#This Row],[Failures per year]]*Table1014[[#This Row],[Total Time to Repair(h)]]</f>
        <v>1.1685063864</v>
      </c>
    </row>
    <row r="7" spans="1:28" x14ac:dyDescent="0.25">
      <c r="A7" s="19" t="s">
        <v>10</v>
      </c>
      <c r="B7" s="20" t="s">
        <v>89</v>
      </c>
      <c r="C7" s="21">
        <v>0.9</v>
      </c>
      <c r="D7" s="23">
        <v>988</v>
      </c>
      <c r="E7" s="8">
        <v>0</v>
      </c>
      <c r="F7" s="8">
        <f t="shared" si="0"/>
        <v>0</v>
      </c>
      <c r="G7" s="8">
        <v>10.6</v>
      </c>
      <c r="H7" s="8">
        <f>Table1014[[#This Row],[Total Floor Space]]*Table1014[[#This Row],[Rent per sqm per year]]</f>
        <v>0</v>
      </c>
      <c r="I7" s="8">
        <f>0.5*Table1014[[#This Row],[Quantity]]</f>
        <v>494</v>
      </c>
      <c r="J7" s="8">
        <v>6</v>
      </c>
      <c r="K7" s="8">
        <v>50</v>
      </c>
      <c r="L7" s="8">
        <v>0</v>
      </c>
      <c r="M7" s="8">
        <f>Table1014[[#This Row],[Energy consumption in W]]*24*365/1000</f>
        <v>0</v>
      </c>
      <c r="N7" s="8">
        <f t="shared" si="1"/>
        <v>3.0000000000000001E-3</v>
      </c>
      <c r="O7" s="8">
        <f>Table1014[[#This Row],[Yearly Energy Consumption in kWh]]*Table1014[[#This Row],[CU/kWh]]</f>
        <v>0</v>
      </c>
      <c r="P7" s="8">
        <v>2</v>
      </c>
      <c r="Q7" s="8">
        <v>20</v>
      </c>
      <c r="R7" s="8">
        <f>Table1014[[#This Row],[FIT]]*Table1014[[#This Row],[Quantity]]*24*365/1000000000</f>
        <v>0.43274400000000002</v>
      </c>
      <c r="S7" s="8">
        <f>2*Table1014[[#This Row],[Mean dist in km from CO]]/Table1014[[#This Row],[Avg Travel Speed]]</f>
        <v>0.2</v>
      </c>
      <c r="T7" s="8">
        <f>Table1014[[#This Row],[MTTR]]+Table1014[[#This Row],[Twice Travel Time]]</f>
        <v>6.2</v>
      </c>
      <c r="U7" s="8">
        <v>1</v>
      </c>
      <c r="V7" s="8">
        <v>5</v>
      </c>
      <c r="W7" s="8">
        <f>Table1014[[#This Row],[Failures per year]]*Table1014[[#This Row],[Total Time to Repair(h)]]*Table1014[[#This Row],[No. Of technicians]]*Table1014[[#This Row],[Cost per hour]]</f>
        <v>13.415064000000001</v>
      </c>
      <c r="X7" s="8">
        <v>100</v>
      </c>
      <c r="Y7" s="8">
        <v>7.0000000000000007E-2</v>
      </c>
      <c r="Z7" s="8">
        <f t="shared" si="2"/>
        <v>7.0540000000000005E-2</v>
      </c>
      <c r="AA7" s="8">
        <f>Table1014[Percentage of Business Users]*Table1014[SLA CU per hour]*Table1014[Failures per year]*Table1014[Total Time to Repair(h)]</f>
        <v>18.781089600000005</v>
      </c>
      <c r="AB7" s="8">
        <f>Table1014[[#This Row],[Percentage of ITS and business users]]*Table1014[[#This Row],[SLA CU per hour]]*Table1014[[#This Row],[Failures per year]]*Table1014[[#This Row],[Total Time to Repair(h)]]</f>
        <v>18.925972291200001</v>
      </c>
    </row>
    <row r="8" spans="1:28" x14ac:dyDescent="0.25">
      <c r="A8" s="16" t="s">
        <v>88</v>
      </c>
      <c r="B8" s="17" t="s">
        <v>86</v>
      </c>
      <c r="C8" s="18">
        <v>3.1</v>
      </c>
      <c r="D8" s="23">
        <v>16000</v>
      </c>
      <c r="E8" s="8">
        <v>0</v>
      </c>
      <c r="F8" s="8">
        <f t="shared" si="0"/>
        <v>0</v>
      </c>
      <c r="G8" s="8">
        <v>2</v>
      </c>
      <c r="H8" s="8">
        <f>Table1014[[#This Row],[Total Floor Space]]*Table1014[[#This Row],[Rent per sqm per year]]</f>
        <v>0</v>
      </c>
      <c r="I8" s="8">
        <f>0.5*Table1014[[#This Row],[Quantity]]</f>
        <v>8000</v>
      </c>
      <c r="J8" s="8">
        <v>6</v>
      </c>
      <c r="K8" s="8">
        <v>256</v>
      </c>
      <c r="L8" s="8">
        <f>5.5*Table1014[[#This Row],[Quantity]]</f>
        <v>88000</v>
      </c>
      <c r="M8" s="8">
        <f>Table1014[[#This Row],[Energy consumption in W]]*24*365/1000</f>
        <v>770880</v>
      </c>
      <c r="N8" s="8">
        <f t="shared" si="1"/>
        <v>3.0000000000000001E-3</v>
      </c>
      <c r="O8" s="8">
        <f>Table1014[[#This Row],[Yearly Energy Consumption in kWh]]*Table1014[[#This Row],[CU/kWh]]</f>
        <v>2312.64</v>
      </c>
      <c r="P8" s="8">
        <v>4</v>
      </c>
      <c r="Q8" s="8">
        <v>20</v>
      </c>
      <c r="R8" s="8">
        <f>Table1014[[#This Row],[FIT]]*Table1014[[#This Row],[Quantity]]*24*365/1000000000</f>
        <v>35.880960000000002</v>
      </c>
      <c r="S8" s="8">
        <f>2*Table1014[[#This Row],[Mean dist in km from CO]]/Table1014[[#This Row],[Avg Travel Speed]]</f>
        <v>0.4</v>
      </c>
      <c r="T8" s="8">
        <f>Table1014[[#This Row],[MTTR]]+Table1014[[#This Row],[Twice Travel Time]]</f>
        <v>6.4</v>
      </c>
      <c r="U8" s="8">
        <v>1</v>
      </c>
      <c r="V8" s="8">
        <v>5</v>
      </c>
      <c r="W8" s="8">
        <f>Table1014[[#This Row],[Failures per year]]*Table1014[[#This Row],[Total Time to Repair(h)]]*Table1014[[#This Row],[No. Of technicians]]*Table1014[[#This Row],[Cost per hour]]</f>
        <v>1148.1907200000001</v>
      </c>
      <c r="X8" s="8">
        <v>100</v>
      </c>
      <c r="Y8" s="8">
        <v>7.0000000000000007E-2</v>
      </c>
      <c r="Z8" s="8">
        <f t="shared" si="2"/>
        <v>7.0540000000000005E-2</v>
      </c>
      <c r="AA8" s="8">
        <f>Table1014[Percentage of Business Users]*Table1014[SLA CU per hour]*Table1014[Failures per year]*Table1014[Total Time to Repair(h)]</f>
        <v>1607.4670080000005</v>
      </c>
      <c r="AB8" s="8">
        <f>Table1014[[#This Row],[Percentage of ITS and business users]]*Table1014[[#This Row],[SLA CU per hour]]*Table1014[[#This Row],[Failures per year]]*Table1014[[#This Row],[Total Time to Repair(h)]]</f>
        <v>1619.8674677760002</v>
      </c>
    </row>
    <row r="9" spans="1:28" x14ac:dyDescent="0.25">
      <c r="A9" s="19" t="s">
        <v>88</v>
      </c>
      <c r="B9" s="20" t="s">
        <v>90</v>
      </c>
      <c r="C9" s="21">
        <v>8</v>
      </c>
      <c r="D9" s="23">
        <v>16000</v>
      </c>
      <c r="E9" s="8">
        <v>1</v>
      </c>
      <c r="F9" s="8">
        <f t="shared" si="0"/>
        <v>16000</v>
      </c>
      <c r="G9" s="8">
        <v>0</v>
      </c>
      <c r="H9" s="8">
        <f>Table1014[[#This Row],[Total Floor Space]]*Table1014[[#This Row],[Rent per sqm per year]]</f>
        <v>0</v>
      </c>
      <c r="I9" s="8">
        <f>(0.5+1/6*6)*Table1014[[#This Row],[Quantity]]</f>
        <v>24000</v>
      </c>
      <c r="J9" s="8">
        <v>24</v>
      </c>
      <c r="K9" s="8">
        <v>512</v>
      </c>
      <c r="L9" s="8">
        <f>50*Table1014[[#This Row],[Total Floor Space]]</f>
        <v>800000</v>
      </c>
      <c r="M9" s="8">
        <f>Table1014[[#This Row],[Energy consumption in W]]*24*365/1000</f>
        <v>7008000</v>
      </c>
      <c r="N9" s="8">
        <f t="shared" si="1"/>
        <v>3.0000000000000001E-3</v>
      </c>
      <c r="O9" s="8">
        <f>Table1014[[#This Row],[Yearly Energy Consumption in kWh]]*Table1014[[#This Row],[CU/kWh]]</f>
        <v>21024</v>
      </c>
      <c r="P9" s="8">
        <v>4</v>
      </c>
      <c r="Q9" s="8">
        <v>20</v>
      </c>
      <c r="R9" s="8">
        <f>Table1014[[#This Row],[FIT]]*Table1014[[#This Row],[Quantity]]*24*365/1000000000</f>
        <v>71.761920000000003</v>
      </c>
      <c r="S9" s="8">
        <f>2*Table1014[[#This Row],[Mean dist in km from CO]]/Table1014[[#This Row],[Avg Travel Speed]]</f>
        <v>0.4</v>
      </c>
      <c r="T9" s="8">
        <f>Table1014[[#This Row],[MTTR]]+Table1014[[#This Row],[Twice Travel Time]]</f>
        <v>24.4</v>
      </c>
      <c r="U9" s="8">
        <v>1</v>
      </c>
      <c r="V9" s="8">
        <v>5</v>
      </c>
      <c r="W9" s="8">
        <f>Table1014[[#This Row],[Failures per year]]*Table1014[[#This Row],[Total Time to Repair(h)]]*Table1014[[#This Row],[No. Of technicians]]*Table1014[[#This Row],[Cost per hour]]</f>
        <v>8754.9542399999991</v>
      </c>
      <c r="X9" s="8">
        <v>100</v>
      </c>
      <c r="Y9" s="8">
        <v>7.0000000000000007E-2</v>
      </c>
      <c r="Z9" s="8">
        <f t="shared" si="2"/>
        <v>7.0540000000000005E-2</v>
      </c>
      <c r="AA9" s="8">
        <f>Table1014[Percentage of Business Users]*Table1014[SLA CU per hour]*Table1014[Failures per year]*Table1014[Total Time to Repair(h)]</f>
        <v>12256.935936000002</v>
      </c>
      <c r="AB9" s="8">
        <f>Table1014[[#This Row],[Percentage of ITS and business users]]*Table1014[[#This Row],[SLA CU per hour]]*Table1014[[#This Row],[Failures per year]]*Table1014[[#This Row],[Total Time to Repair(h)]]</f>
        <v>12351.489441792</v>
      </c>
    </row>
    <row r="10" spans="1:28" x14ac:dyDescent="0.25">
      <c r="A10" s="29"/>
      <c r="B10" s="30"/>
      <c r="C10" s="31"/>
      <c r="D10" s="31"/>
      <c r="E10" s="22"/>
      <c r="F10" s="22"/>
      <c r="G10" s="22"/>
      <c r="H10" s="22">
        <f>SUM(Table1014[Total Rent cost per year])</f>
        <v>12720</v>
      </c>
      <c r="I10" s="22"/>
      <c r="J10" s="22"/>
      <c r="K10" s="22"/>
      <c r="L10" s="22"/>
      <c r="M10" s="22"/>
      <c r="N10" s="22"/>
      <c r="O10" s="22">
        <f>SUBTOTAL(109,Table1014[Energy Cost per year in CU])</f>
        <v>23594.184000000001</v>
      </c>
      <c r="P10" s="22"/>
      <c r="Q10" s="22"/>
      <c r="R10" s="22"/>
      <c r="S10" s="22"/>
      <c r="T10" s="22"/>
      <c r="U10" s="22"/>
      <c r="V10" s="22"/>
      <c r="W10" s="22">
        <f>SUBTOTAL(109,Table1014[FM Cost])</f>
        <v>9933.7975139999999</v>
      </c>
      <c r="X10" s="22"/>
      <c r="Y10" s="22"/>
      <c r="Z10" s="22"/>
      <c r="AA10" s="22">
        <f>SUBTOTAL(109,Table1014[FM Penalty Business])</f>
        <v>13907.316519600003</v>
      </c>
      <c r="AB10" s="22">
        <f>SUBTOTAL(109,Table1014[FM Penalty ITS])</f>
        <v>14014.601532751201</v>
      </c>
    </row>
    <row r="15" spans="1:28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s="8" t="s">
        <v>69</v>
      </c>
    </row>
    <row r="16" spans="1:28" x14ac:dyDescent="0.2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5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5.1848255272459074</v>
      </c>
      <c r="M16" s="8">
        <f>Table1014[[#Totals],[Total Rent cost per year]]+Table1014[[#Totals],[Energy Cost per year in CU]]+Table1014[[#Totals],[FM Cost]]+J19</f>
        <v>46616.266899516508</v>
      </c>
    </row>
    <row r="17" spans="1:14" x14ac:dyDescent="0.25">
      <c r="A17" s="8" t="s">
        <v>42</v>
      </c>
      <c r="B17" s="8">
        <f>233483.637737831/1000</f>
        <v>233.483637737831</v>
      </c>
      <c r="C17" s="8">
        <f t="shared" ref="C17:C18" si="3">570*B17</f>
        <v>133085.67351056368</v>
      </c>
      <c r="D17" s="8">
        <v>24</v>
      </c>
      <c r="E17" s="8">
        <v>1</v>
      </c>
      <c r="F17" s="8">
        <v>5</v>
      </c>
      <c r="G17" s="8">
        <v>2</v>
      </c>
      <c r="H17" s="8">
        <f t="shared" ref="H17:H18" si="4">G17/20</f>
        <v>0.1</v>
      </c>
      <c r="I17" s="8">
        <f t="shared" ref="I17:I18" si="5">D17+H17</f>
        <v>24.1</v>
      </c>
      <c r="J17" s="8">
        <f t="shared" ref="J17:J18" si="6">C17*E17*F17*I17*24*365/1000000000</f>
        <v>140.48257524428078</v>
      </c>
    </row>
    <row r="18" spans="1:14" x14ac:dyDescent="0.25">
      <c r="A18" s="8" t="s">
        <v>62</v>
      </c>
      <c r="B18" s="8">
        <f>368464.723172249/1000</f>
        <v>368.46472317224897</v>
      </c>
      <c r="C18" s="8">
        <f t="shared" si="3"/>
        <v>210024.8922081819</v>
      </c>
      <c r="D18" s="8">
        <v>24</v>
      </c>
      <c r="E18" s="8">
        <v>1</v>
      </c>
      <c r="F18" s="8">
        <v>5</v>
      </c>
      <c r="G18" s="8">
        <v>4</v>
      </c>
      <c r="H18" s="8">
        <f t="shared" si="4"/>
        <v>0.2</v>
      </c>
      <c r="I18" s="8">
        <f t="shared" si="5"/>
        <v>24.2</v>
      </c>
      <c r="J18" s="8">
        <f t="shared" si="6"/>
        <v>222.61798474498445</v>
      </c>
    </row>
    <row r="19" spans="1:14" x14ac:dyDescent="0.25">
      <c r="J19" s="8">
        <f>SUM(J16:J18)</f>
        <v>368.28538551651116</v>
      </c>
      <c r="L19" s="8" t="s">
        <v>97</v>
      </c>
      <c r="M19" s="8" t="s">
        <v>66</v>
      </c>
      <c r="N19" s="8" t="s">
        <v>133</v>
      </c>
    </row>
    <row r="20" spans="1:14" x14ac:dyDescent="0.25">
      <c r="L20" s="8" t="s">
        <v>92</v>
      </c>
      <c r="M20" s="8">
        <f>M30/$J$28</f>
        <v>0.20139328689043698</v>
      </c>
      <c r="N20" s="8">
        <f>N30/$J$28</f>
        <v>0.20139328689043698</v>
      </c>
    </row>
    <row r="21" spans="1:14" x14ac:dyDescent="0.25">
      <c r="L21" s="8" t="s">
        <v>93</v>
      </c>
      <c r="M21" s="8">
        <f t="shared" ref="M21:N24" si="7">M31/$J$28</f>
        <v>0.37356212792906907</v>
      </c>
      <c r="N21" s="8">
        <f t="shared" si="7"/>
        <v>0.37356212792906907</v>
      </c>
    </row>
    <row r="22" spans="1:14" x14ac:dyDescent="0.25">
      <c r="L22" s="8" t="s">
        <v>94</v>
      </c>
      <c r="M22" s="8">
        <f t="shared" si="7"/>
        <v>0.1572798846421786</v>
      </c>
      <c r="N22" s="8">
        <f t="shared" si="7"/>
        <v>0.2277214521575002</v>
      </c>
    </row>
    <row r="23" spans="1:14" x14ac:dyDescent="0.25">
      <c r="L23" s="8" t="s">
        <v>95</v>
      </c>
      <c r="M23" s="8">
        <f t="shared" si="7"/>
        <v>3.6611764973084229E-2</v>
      </c>
      <c r="N23" s="8">
        <f t="shared" si="7"/>
        <v>4.0133843348850305E-2</v>
      </c>
    </row>
    <row r="24" spans="1:14" x14ac:dyDescent="0.25">
      <c r="L24" s="8" t="s">
        <v>96</v>
      </c>
      <c r="M24" s="8">
        <f t="shared" si="7"/>
        <v>5.1256470962317925E-2</v>
      </c>
      <c r="N24" s="8">
        <f t="shared" si="7"/>
        <v>5.6187380688390437E-2</v>
      </c>
    </row>
    <row r="25" spans="1:14" x14ac:dyDescent="0.25">
      <c r="M25" s="8">
        <f>SUM(Table1416171819202122[Cost])</f>
        <v>0.8201035353970868</v>
      </c>
      <c r="N25" s="8">
        <f>SUBTOTAL(109,Table1416171819202122[Cost ITS])</f>
        <v>0.89899809101424699</v>
      </c>
    </row>
    <row r="27" spans="1:14" x14ac:dyDescent="0.25">
      <c r="J27" s="8" t="s">
        <v>132</v>
      </c>
    </row>
    <row r="28" spans="1:14" x14ac:dyDescent="0.25">
      <c r="J28" s="8">
        <v>63160</v>
      </c>
    </row>
    <row r="29" spans="1:14" x14ac:dyDescent="0.25">
      <c r="L29" s="39" t="s">
        <v>97</v>
      </c>
      <c r="M29" s="40" t="s">
        <v>66</v>
      </c>
      <c r="N29" s="8" t="s">
        <v>133</v>
      </c>
    </row>
    <row r="30" spans="1:14" x14ac:dyDescent="0.25">
      <c r="L30" s="32" t="s">
        <v>92</v>
      </c>
      <c r="M30" s="12">
        <f>Table1014[[#Totals],[Total Rent cost per year]]</f>
        <v>12720</v>
      </c>
      <c r="N30" s="12">
        <f>Table1014[[#Totals],[Total Rent cost per year]]</f>
        <v>12720</v>
      </c>
    </row>
    <row r="31" spans="1:14" x14ac:dyDescent="0.25">
      <c r="L31" s="34" t="s">
        <v>93</v>
      </c>
      <c r="M31" s="13">
        <f>Table1014[[#Totals],[Energy Cost per year in CU]]</f>
        <v>23594.184000000001</v>
      </c>
      <c r="N31" s="13">
        <f>Table1014[[#Totals],[Energy Cost per year in CU]]</f>
        <v>23594.184000000001</v>
      </c>
    </row>
    <row r="32" spans="1:14" x14ac:dyDescent="0.25">
      <c r="L32" s="32" t="s">
        <v>94</v>
      </c>
      <c r="M32" s="12">
        <f>Table1014[[#Totals],[FM Cost]]+J29</f>
        <v>9933.7975139999999</v>
      </c>
      <c r="N32" s="8">
        <f>Table1014[[#Totals],[FM Penalty ITS]]+$J$19</f>
        <v>14382.886918267712</v>
      </c>
    </row>
    <row r="33" spans="12:14" x14ac:dyDescent="0.25">
      <c r="L33" s="34" t="s">
        <v>95</v>
      </c>
      <c r="M33" s="13">
        <f>0.05*SUM(M30:M32)</f>
        <v>2312.3990757000001</v>
      </c>
      <c r="N33" s="13">
        <f>0.05*SUM(N30:N32)</f>
        <v>2534.8535459133855</v>
      </c>
    </row>
    <row r="34" spans="12:14" x14ac:dyDescent="0.25">
      <c r="L34" s="32" t="s">
        <v>96</v>
      </c>
      <c r="M34" s="12">
        <f>0.07*SUM(M30:M32)</f>
        <v>3237.3587059800002</v>
      </c>
      <c r="N34" s="12">
        <f>0.07*SUM(N30:N32)</f>
        <v>3548.7949642787398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61"/>
  <sheetViews>
    <sheetView tabSelected="1" topLeftCell="B24" workbookViewId="0">
      <selection activeCell="H47" sqref="H47"/>
    </sheetView>
  </sheetViews>
  <sheetFormatPr defaultRowHeight="15" x14ac:dyDescent="0.25"/>
  <cols>
    <col min="4" max="4" width="20" customWidth="1"/>
    <col min="5" max="5" width="22" customWidth="1"/>
    <col min="6" max="6" width="19.28515625" customWidth="1"/>
    <col min="7" max="7" width="16.85546875" customWidth="1"/>
    <col min="8" max="8" width="18" customWidth="1"/>
    <col min="9" max="9" width="18.140625" customWidth="1"/>
    <col min="10" max="10" width="16.85546875" customWidth="1"/>
    <col min="11" max="11" width="18" customWidth="1"/>
    <col min="12" max="12" width="17.85546875" customWidth="1"/>
    <col min="13" max="14" width="19.7109375" customWidth="1"/>
    <col min="15" max="15" width="20.85546875" customWidth="1"/>
    <col min="16" max="17" width="20.7109375" customWidth="1"/>
  </cols>
  <sheetData>
    <row r="6" spans="4:17" x14ac:dyDescent="0.25">
      <c r="D6" s="32"/>
      <c r="E6" s="33"/>
      <c r="F6" s="33"/>
      <c r="G6" s="33"/>
      <c r="H6" s="33"/>
      <c r="I6" s="33"/>
      <c r="J6" s="33"/>
      <c r="K6" s="12"/>
      <c r="L6" s="12"/>
      <c r="M6" s="12"/>
      <c r="N6" s="33"/>
      <c r="O6" s="33"/>
      <c r="P6" s="33"/>
      <c r="Q6" s="12"/>
    </row>
    <row r="7" spans="4:17" x14ac:dyDescent="0.25">
      <c r="D7" s="34"/>
      <c r="E7" s="35"/>
      <c r="F7" s="35"/>
      <c r="G7" s="35"/>
      <c r="H7" s="35"/>
      <c r="I7" s="35"/>
      <c r="J7" s="35"/>
      <c r="K7" s="13"/>
      <c r="L7" s="13"/>
      <c r="M7" s="13"/>
      <c r="N7" s="35"/>
      <c r="O7" s="35"/>
      <c r="P7" s="35"/>
      <c r="Q7" s="13"/>
    </row>
    <row r="8" spans="4:17" x14ac:dyDescent="0.25">
      <c r="D8" s="32"/>
      <c r="E8" s="33"/>
      <c r="F8" s="33"/>
      <c r="G8" s="33"/>
      <c r="H8" s="33"/>
      <c r="I8" s="33"/>
      <c r="J8" s="33"/>
      <c r="K8" s="12"/>
      <c r="L8" s="12"/>
      <c r="M8" s="12"/>
      <c r="N8" s="33"/>
      <c r="O8" s="33"/>
      <c r="P8" s="33"/>
      <c r="Q8" s="12"/>
    </row>
    <row r="9" spans="4:17" x14ac:dyDescent="0.25">
      <c r="D9" s="34"/>
      <c r="E9" s="35"/>
      <c r="F9" s="35"/>
      <c r="G9" s="35"/>
      <c r="H9" s="35"/>
      <c r="I9" s="35"/>
      <c r="J9" s="35"/>
      <c r="K9" s="13"/>
      <c r="L9" s="13"/>
      <c r="M9" s="13"/>
      <c r="N9" s="35"/>
      <c r="O9" s="35"/>
      <c r="P9" s="35"/>
      <c r="Q9" s="13"/>
    </row>
    <row r="10" spans="4:17" x14ac:dyDescent="0.25">
      <c r="D10" s="32"/>
      <c r="E10" s="33"/>
      <c r="F10" s="33"/>
      <c r="G10" s="33"/>
      <c r="H10" s="33"/>
      <c r="I10" s="33"/>
      <c r="J10" s="33"/>
      <c r="K10" s="12"/>
      <c r="L10" s="12"/>
      <c r="M10" s="12"/>
      <c r="N10" s="33"/>
      <c r="O10" s="33"/>
      <c r="P10" s="33"/>
      <c r="Q10" s="12"/>
    </row>
    <row r="12" spans="4:17" x14ac:dyDescent="0.25">
      <c r="D12" s="8" t="s">
        <v>122</v>
      </c>
      <c r="E12" s="8" t="s">
        <v>98</v>
      </c>
      <c r="F12" s="8" t="s">
        <v>99</v>
      </c>
      <c r="G12" s="8" t="s">
        <v>100</v>
      </c>
      <c r="H12" s="8" t="s">
        <v>101</v>
      </c>
      <c r="I12" s="8" t="s">
        <v>102</v>
      </c>
      <c r="J12" s="8" t="s">
        <v>103</v>
      </c>
      <c r="K12" s="8" t="s">
        <v>104</v>
      </c>
      <c r="L12" s="8" t="s">
        <v>106</v>
      </c>
      <c r="M12" s="8" t="s">
        <v>105</v>
      </c>
      <c r="N12" s="8" t="s">
        <v>107</v>
      </c>
      <c r="O12" s="8" t="s">
        <v>108</v>
      </c>
      <c r="P12" s="8" t="s">
        <v>110</v>
      </c>
      <c r="Q12" s="8" t="s">
        <v>109</v>
      </c>
    </row>
    <row r="13" spans="4:17" x14ac:dyDescent="0.25">
      <c r="D13" s="8" t="s">
        <v>92</v>
      </c>
      <c r="E13" s="8">
        <f>FTTC_GPON_25!$J26</f>
        <v>0.55416719442685236</v>
      </c>
      <c r="F13" s="8">
        <f>FTTB_XGPON_50!$O26</f>
        <v>0.34059531348955036</v>
      </c>
      <c r="G13" s="8">
        <f>FTTB_DWDM_50!$O34</f>
        <v>0.35486067131095628</v>
      </c>
      <c r="H13" s="8">
        <f>FTTH_DWDM_100!$O21</f>
        <v>0.10153578214059532</v>
      </c>
      <c r="I13" s="8">
        <f>FTTH_XGPON_100!$N36</f>
        <v>0.46119062697910068</v>
      </c>
      <c r="J13" s="8">
        <f>FTTC_GPON_100!$Q24</f>
        <v>0.33727042431918935</v>
      </c>
      <c r="K13" s="12">
        <f>FTTB_XGPON_100!$N32</f>
        <v>0.61070297656744776</v>
      </c>
      <c r="L13" s="12">
        <f>FTTB_DWDM_100!$N33</f>
        <v>0.72986067131095633</v>
      </c>
      <c r="M13" s="12">
        <f>FTTC_Hybridpon_25!Q21</f>
        <v>0.37861937935402151</v>
      </c>
      <c r="N13" s="8">
        <f>FTTB_Hybridpon_50!$Q19</f>
        <v>0.3540215326155795</v>
      </c>
      <c r="O13" s="8">
        <f>FTTH_Hybridpon_100!$Q19</f>
        <v>0.38432552248258389</v>
      </c>
      <c r="P13" s="8">
        <f>FTTC_Hybridpon_100!$O18</f>
        <v>0.59062697910069661</v>
      </c>
      <c r="Q13" s="8">
        <f>FTTB_Hybridpon_100!$N20</f>
        <v>0.20139328689043698</v>
      </c>
    </row>
    <row r="14" spans="4:17" x14ac:dyDescent="0.25">
      <c r="D14" s="8" t="s">
        <v>93</v>
      </c>
      <c r="E14" s="8">
        <f>FTTC_GPON_25!$J27</f>
        <v>2.2699037935402157E-2</v>
      </c>
      <c r="F14" s="8">
        <f>FTTB_XGPON_50!$O27</f>
        <v>0.19196466497783404</v>
      </c>
      <c r="G14" s="8">
        <f>FTTB_DWDM_50!$O35</f>
        <v>0.18482545915136164</v>
      </c>
      <c r="H14" s="8">
        <f>FTTH_DWDM_100!$O22</f>
        <v>0.17011681443951868</v>
      </c>
      <c r="I14" s="8">
        <f>FTTH_XGPON_100!$N37</f>
        <v>4.5651305889803678E-2</v>
      </c>
      <c r="J14" s="8">
        <f>FTTC_GPON_100!$Q25</f>
        <v>0.12751891500949969</v>
      </c>
      <c r="K14" s="12">
        <f>FTTB_XGPON_100!$N33</f>
        <v>0.38388772134262195</v>
      </c>
      <c r="L14" s="12">
        <f>FTTB_DWDM_100!$N34</f>
        <v>0.3696301139962001</v>
      </c>
      <c r="M14" s="12">
        <f>FTTC_Hybridpon_25!Q22</f>
        <v>4.5374608613046229E-2</v>
      </c>
      <c r="N14" s="8">
        <f>FTTB_Hybridpon_50!$Q20</f>
        <v>0.18690588980367323</v>
      </c>
      <c r="O14" s="8">
        <f>FTTH_Hybridpon_100!$Q20</f>
        <v>4.077644078530715E-3</v>
      </c>
      <c r="P14" s="8">
        <f>FTTC_Hybridpon_100!$O19</f>
        <v>0.11072135148828373</v>
      </c>
      <c r="Q14" s="8">
        <f>FTTB_Hybridpon_100!$N21</f>
        <v>0.37356212792906907</v>
      </c>
    </row>
    <row r="15" spans="4:17" x14ac:dyDescent="0.25">
      <c r="D15" s="8" t="s">
        <v>94</v>
      </c>
      <c r="E15" s="8">
        <f>FTTC_GPON_25!$J28</f>
        <v>4.2420272485808506E-2</v>
      </c>
      <c r="F15" s="8">
        <f>FTTB_XGPON_50!$O28</f>
        <v>0.17441433751846275</v>
      </c>
      <c r="G15" s="8">
        <f>FTTB_DWDM_50!$O36</f>
        <v>9.5662567782592953E-2</v>
      </c>
      <c r="H15" s="8">
        <f>FTTH_DWDM_100!$O23</f>
        <v>0.67920163330966776</v>
      </c>
      <c r="I15" s="8">
        <f>FTTH_XGPON_100!$N38</f>
        <v>0.18664124981991936</v>
      </c>
      <c r="J15" s="8">
        <f>FTTC_GPON_100!$Q26</f>
        <v>0.19516351816424232</v>
      </c>
      <c r="K15" s="12">
        <f>FTTB_XGPON_100!$N34</f>
        <v>0.38006744229617018</v>
      </c>
      <c r="L15" s="12">
        <f>FTTB_DWDM_100!$N35</f>
        <v>0.37314391143761877</v>
      </c>
      <c r="M15" s="12">
        <f>FTTC_Hybridpon_25!Q23</f>
        <v>8.4106274882185209E-2</v>
      </c>
      <c r="N15" s="8">
        <f>FTTB_Hybridpon_50!$Q21</f>
        <v>0.11677622153090741</v>
      </c>
      <c r="O15" s="8">
        <f>FTTH_Hybridpon_100!$Q21</f>
        <v>0.40718190251240838</v>
      </c>
      <c r="P15" s="8">
        <f>FTTC_Hybridpon_100!$O20</f>
        <v>6.9843756025786977E-2</v>
      </c>
      <c r="Q15" s="8">
        <f>FTTB_Hybridpon_100!$N22</f>
        <v>0.2277214521575002</v>
      </c>
    </row>
    <row r="16" spans="4:17" x14ac:dyDescent="0.25">
      <c r="D16" s="8" t="s">
        <v>95</v>
      </c>
      <c r="E16" s="8">
        <f>FTTC_GPON_25!$J29</f>
        <v>3.0964325242403157E-2</v>
      </c>
      <c r="F16" s="8">
        <f>FTTB_XGPON_50!$O29</f>
        <v>3.534871579929235E-2</v>
      </c>
      <c r="G16" s="8">
        <f>FTTB_DWDM_50!$O37</f>
        <v>3.1767434912245547E-2</v>
      </c>
      <c r="H16" s="8">
        <f>FTTH_DWDM_100!$O24</f>
        <v>4.754271149448909E-2</v>
      </c>
      <c r="I16" s="8">
        <f>FTTH_XGPON_100!$N39</f>
        <v>3.4674159134441183E-2</v>
      </c>
      <c r="J16" s="8">
        <f>FTTC_GPON_100!$Q27</f>
        <v>3.2997642874646564E-2</v>
      </c>
      <c r="K16" s="12">
        <f>FTTB_XGPON_100!$N35</f>
        <v>6.8732907010312011E-2</v>
      </c>
      <c r="L16" s="12">
        <f>FTTB_DWDM_100!$N36</f>
        <v>7.3631734837238769E-2</v>
      </c>
      <c r="M16" s="12">
        <f>FTTC_Hybridpon_25!Q24</f>
        <v>2.540501314246265E-2</v>
      </c>
      <c r="N16" s="8">
        <f>FTTB_Hybridpon_50!$Q22</f>
        <v>3.2885182197508002E-2</v>
      </c>
      <c r="O16" s="8">
        <f>FTTH_Hybridpon_100!$Q22</f>
        <v>3.9779253453676153E-2</v>
      </c>
      <c r="P16" s="8">
        <f>FTTC_Hybridpon_100!$O21</f>
        <v>3.8559604330738372E-2</v>
      </c>
      <c r="Q16" s="8">
        <f>FTTB_Hybridpon_100!$N23</f>
        <v>4.0133843348850305E-2</v>
      </c>
    </row>
    <row r="17" spans="4:17" x14ac:dyDescent="0.25">
      <c r="D17" s="8" t="s">
        <v>96</v>
      </c>
      <c r="E17" s="8">
        <f>FTTC_GPON_25!$J30</f>
        <v>4.3350055339364417E-2</v>
      </c>
      <c r="F17" s="8">
        <f>FTTB_XGPON_50!$O30</f>
        <v>4.9488202119009297E-2</v>
      </c>
      <c r="G17" s="8">
        <f>FTTB_DWDM_50!$O38</f>
        <v>4.447440887714376E-2</v>
      </c>
      <c r="H17" s="8">
        <f>FTTH_DWDM_100!$O25</f>
        <v>6.6559796092284726E-2</v>
      </c>
      <c r="I17" s="8">
        <f>FTTH_XGPON_100!$N40</f>
        <v>4.8543822788217665E-2</v>
      </c>
      <c r="J17" s="8">
        <f>FTTC_GPON_100!$Q28</f>
        <v>4.6196700024505197E-2</v>
      </c>
      <c r="K17" s="12">
        <f>FTTB_XGPON_100!$N36</f>
        <v>9.6226069814436793E-2</v>
      </c>
      <c r="L17" s="12">
        <f>FTTB_DWDM_100!$N37</f>
        <v>0.10308442877213429</v>
      </c>
      <c r="M17" s="12">
        <f>FTTC_Hybridpon_25!Q25</f>
        <v>3.556701839944771E-2</v>
      </c>
      <c r="N17" s="8">
        <f>FTTB_Hybridpon_50!$Q23</f>
        <v>4.6039255076511208E-2</v>
      </c>
      <c r="O17" s="8">
        <f>FTTH_Hybridpon_100!$Q23</f>
        <v>5.5690954835146612E-2</v>
      </c>
      <c r="P17" s="8">
        <f>FTTC_Hybridpon_100!$O22</f>
        <v>5.3983446063033722E-2</v>
      </c>
      <c r="Q17" s="8">
        <f>FTTB_Hybridpon_100!$N24</f>
        <v>5.6187380688390437E-2</v>
      </c>
    </row>
    <row r="18" spans="4:17" x14ac:dyDescent="0.25">
      <c r="D18" s="22"/>
      <c r="E18" s="22">
        <f>SUM(Table2225[FTTC_GPON_25])</f>
        <v>0.69360088542983056</v>
      </c>
      <c r="F18" s="22">
        <f>SUBTOTAL(109,Table2225[FTTB_XGPON_50])</f>
        <v>0.79181123390414887</v>
      </c>
      <c r="G18" s="22">
        <f>SUBTOTAL(109,Table2225[FTTB_DWDM_50])</f>
        <v>0.71159054203430017</v>
      </c>
      <c r="H18" s="22">
        <f>SUBTOTAL(109,Table2225[FTTH_DWDM_100])</f>
        <v>1.0649567374765556</v>
      </c>
      <c r="I18" s="22">
        <f>SUBTOTAL(109,Table2225[FTTH_XGPON_100])</f>
        <v>0.77670116461148253</v>
      </c>
      <c r="J18" s="22">
        <f>SUBTOTAL(109,Table2225[FTTC_GPON_100])</f>
        <v>0.73914720039208315</v>
      </c>
      <c r="K18" s="26">
        <f>SUBTOTAL(109,Table2225[FTTB_XGPON_100])</f>
        <v>1.5396171170309887</v>
      </c>
      <c r="L18" s="26">
        <f>SUBTOTAL(109,Table2225[FTTB_DWDM_100])</f>
        <v>1.6493508603541482</v>
      </c>
      <c r="M18" s="26">
        <f>SUBTOTAL(109,Table2225[FTTC_Hybridpon_25])</f>
        <v>0.56907229439116336</v>
      </c>
      <c r="N18" s="22">
        <f>SUBTOTAL(109,Table2225[FTTB_Hybridpon_50])</f>
        <v>0.73662808122417933</v>
      </c>
      <c r="O18" s="22">
        <f>SUBTOTAL(109,Table2225[FTTH_Hybridpon_100])</f>
        <v>0.8910552773623458</v>
      </c>
      <c r="P18" s="22">
        <f>SUBTOTAL(109,Table2225[FTTC_Hybridpon_100])</f>
        <v>0.86373513700853943</v>
      </c>
      <c r="Q18" s="22">
        <f>SUBTOTAL(109,Table2225[FTTB_Hybridpon_100])</f>
        <v>0.89899809101424699</v>
      </c>
    </row>
    <row r="27" spans="4:17" x14ac:dyDescent="0.25">
      <c r="D27" t="s">
        <v>97</v>
      </c>
      <c r="E27" t="s">
        <v>98</v>
      </c>
      <c r="F27" t="s">
        <v>99</v>
      </c>
      <c r="G27" t="s">
        <v>100</v>
      </c>
      <c r="H27" t="s">
        <v>101</v>
      </c>
      <c r="I27" t="s">
        <v>102</v>
      </c>
      <c r="J27" t="s">
        <v>103</v>
      </c>
      <c r="K27" t="s">
        <v>104</v>
      </c>
      <c r="L27" t="s">
        <v>106</v>
      </c>
      <c r="M27" t="s">
        <v>105</v>
      </c>
      <c r="N27" t="s">
        <v>107</v>
      </c>
      <c r="O27" t="s">
        <v>108</v>
      </c>
      <c r="P27" t="s">
        <v>110</v>
      </c>
      <c r="Q27" t="s">
        <v>109</v>
      </c>
    </row>
    <row r="28" spans="4:17" x14ac:dyDescent="0.25">
      <c r="D28" s="8" t="s">
        <v>92</v>
      </c>
      <c r="E28" s="8">
        <f>FTTC_GPON_25!$I26</f>
        <v>0.55416719442685236</v>
      </c>
      <c r="F28" s="8">
        <f>FTTB_XGPON_50!$N26</f>
        <v>0.34059531348955036</v>
      </c>
      <c r="G28" s="8">
        <f>FTTB_DWDM_50!$N34</f>
        <v>0.35486067131095628</v>
      </c>
      <c r="H28" s="8">
        <f>FTTH_DWDM_100!$N21</f>
        <v>0.10153578214059532</v>
      </c>
      <c r="I28" s="8">
        <f>FTTH_XGPON_100!$M36</f>
        <v>0.46119062697910068</v>
      </c>
      <c r="J28" s="8">
        <f>FTTC_GPON_100!$P24</f>
        <v>0.33727042431918935</v>
      </c>
      <c r="K28" s="12">
        <f>FTTB_XGPON_100!$M32</f>
        <v>0.61070297656744776</v>
      </c>
      <c r="L28" s="12">
        <f>FTTB_DWDM_100!$M33</f>
        <v>0.72986067131095633</v>
      </c>
      <c r="M28" s="12">
        <f>FTTC_Hybridpon_25!P21</f>
        <v>0.37861937935402151</v>
      </c>
      <c r="N28" s="8">
        <f>FTTB_Hybridpon_50!$P19</f>
        <v>0.3540215326155795</v>
      </c>
      <c r="O28" s="8">
        <f>FTTH_Hybridpon_100!$P19</f>
        <v>0.38432552248258389</v>
      </c>
      <c r="P28" s="8">
        <f>FTTC_Hybridpon_100!$N18</f>
        <v>0.59062697910069661</v>
      </c>
      <c r="Q28" s="8">
        <f>FTTB_Hybridpon_100!$M20</f>
        <v>0.20139328689043698</v>
      </c>
    </row>
    <row r="29" spans="4:17" x14ac:dyDescent="0.25">
      <c r="D29" s="8" t="s">
        <v>93</v>
      </c>
      <c r="E29" s="8">
        <f>FTTC_GPON_25!$I27</f>
        <v>2.2699037935402157E-2</v>
      </c>
      <c r="F29" s="8">
        <f>FTTB_XGPON_50!$N27</f>
        <v>0.19196466497783404</v>
      </c>
      <c r="G29" s="8">
        <f>FTTB_DWDM_50!$N35</f>
        <v>0.18482545915136164</v>
      </c>
      <c r="H29" s="8">
        <f>FTTH_DWDM_100!$N22</f>
        <v>0.17011681443951868</v>
      </c>
      <c r="I29" s="8">
        <f>FTTH_XGPON_100!$M37</f>
        <v>4.5651305889803678E-2</v>
      </c>
      <c r="J29" s="8">
        <f>FTTC_GPON_100!$P25</f>
        <v>0.12751891500949969</v>
      </c>
      <c r="K29" s="12">
        <f>FTTB_XGPON_100!$M33</f>
        <v>0.38388772134262195</v>
      </c>
      <c r="L29" s="12">
        <f>FTTB_DWDM_100!$M34</f>
        <v>0.3696301139962001</v>
      </c>
      <c r="M29" s="12">
        <f>FTTC_Hybridpon_25!P22</f>
        <v>4.5374608613046229E-2</v>
      </c>
      <c r="N29" s="8">
        <f>FTTB_Hybridpon_50!$P20</f>
        <v>0.18690588980367323</v>
      </c>
      <c r="O29" s="8">
        <f>FTTH_Hybridpon_100!$P20</f>
        <v>4.077644078530715E-3</v>
      </c>
      <c r="P29" s="8">
        <f>FTTC_Hybridpon_100!$N19</f>
        <v>0.11072135148828373</v>
      </c>
      <c r="Q29" s="8">
        <f>FTTB_Hybridpon_100!$M21</f>
        <v>0.37356212792906907</v>
      </c>
    </row>
    <row r="30" spans="4:17" x14ac:dyDescent="0.25">
      <c r="D30" s="8" t="s">
        <v>94</v>
      </c>
      <c r="E30" s="8">
        <f>FTTC_GPON_25!$I28</f>
        <v>1.918486906925004E-2</v>
      </c>
      <c r="F30" s="8">
        <f>FTTB_XGPON_50!$N28</f>
        <v>6.5355872863617881E-2</v>
      </c>
      <c r="G30" s="8">
        <f>FTTB_DWDM_50!$N36</f>
        <v>7.7738314882837237E-2</v>
      </c>
      <c r="H30" s="8">
        <f>FTTH_DWDM_100!$N23</f>
        <v>0.27765144547181764</v>
      </c>
      <c r="I30" s="8">
        <f>FTTH_XGPON_100!$M38</f>
        <v>7.2792340658644719E-2</v>
      </c>
      <c r="J30" s="8">
        <f>FTTC_GPON_100!$P26</f>
        <v>8.2826908177546441E-2</v>
      </c>
      <c r="K30" s="12">
        <f>FTTB_XGPON_100!$M34</f>
        <v>0.15579780664977835</v>
      </c>
      <c r="L30" s="12">
        <f>FTTB_DWDM_100!$M35</f>
        <v>0.15547662976567447</v>
      </c>
      <c r="M30" s="12">
        <f>FTTC_Hybridpon_25!P23</f>
        <v>5.5780221353388212E-2</v>
      </c>
      <c r="N30" s="8">
        <f>FTTB_Hybridpon_50!$P21</f>
        <v>7.8639942321089298E-2</v>
      </c>
      <c r="O30" s="8">
        <f>FTTH_Hybridpon_100!$P21</f>
        <v>0.28448462688410386</v>
      </c>
      <c r="P30" s="8">
        <f>FTTC_Hybridpon_100!$N20</f>
        <v>4.5243685170360988E-2</v>
      </c>
      <c r="Q30" s="8">
        <f>FTTB_Hybridpon_100!$M22</f>
        <v>0.1572798846421786</v>
      </c>
    </row>
    <row r="31" spans="4:17" x14ac:dyDescent="0.25">
      <c r="D31" s="8" t="s">
        <v>95</v>
      </c>
      <c r="E31" s="8">
        <f>FTTC_GPON_25!$I29</f>
        <v>2.980255507157523E-2</v>
      </c>
      <c r="F31" s="8">
        <f>FTTB_XGPON_50!$N29</f>
        <v>2.9895792566550117E-2</v>
      </c>
      <c r="G31" s="8">
        <f>FTTB_DWDM_50!$N37</f>
        <v>3.0871222267257761E-2</v>
      </c>
      <c r="H31" s="8">
        <f>FTTH_DWDM_100!$N24</f>
        <v>2.7465202102596585E-2</v>
      </c>
      <c r="I31" s="8">
        <f>FTTH_XGPON_100!$M39</f>
        <v>2.8981713676377457E-2</v>
      </c>
      <c r="J31" s="8">
        <f>FTTC_GPON_100!$P27</f>
        <v>2.7380812375311776E-2</v>
      </c>
      <c r="K31" s="12">
        <f>FTTB_XGPON_100!$M35</f>
        <v>5.7519425227992402E-2</v>
      </c>
      <c r="L31" s="12">
        <f>FTTB_DWDM_100!$M36</f>
        <v>6.274837075364155E-2</v>
      </c>
      <c r="M31" s="12">
        <f>FTTC_Hybridpon_25!P24</f>
        <v>2.39887104660228E-2</v>
      </c>
      <c r="N31" s="8">
        <f>FTTB_Hybridpon_50!$P22</f>
        <v>3.0978368237017103E-2</v>
      </c>
      <c r="O31" s="8">
        <f>FTTH_Hybridpon_100!$P22</f>
        <v>3.3644389672260931E-2</v>
      </c>
      <c r="P31" s="8">
        <f>FTTC_Hybridpon_100!$N21</f>
        <v>3.7329600787967071E-2</v>
      </c>
      <c r="Q31" s="8">
        <f>FTTB_Hybridpon_100!$M23</f>
        <v>3.6611764973084229E-2</v>
      </c>
    </row>
    <row r="32" spans="4:17" x14ac:dyDescent="0.25">
      <c r="D32" s="8" t="s">
        <v>96</v>
      </c>
      <c r="E32" s="8">
        <f>FTTC_GPON_25!$I30</f>
        <v>4.1723577100205321E-2</v>
      </c>
      <c r="F32" s="8">
        <f>FTTB_XGPON_50!$N30</f>
        <v>4.1854109593170173E-2</v>
      </c>
      <c r="G32" s="8">
        <f>FTTB_DWDM_50!$N38</f>
        <v>4.3219711174160867E-2</v>
      </c>
      <c r="H32" s="8">
        <f>FTTH_DWDM_100!$N25</f>
        <v>3.8451282943635215E-2</v>
      </c>
      <c r="I32" s="8">
        <f>FTTH_XGPON_100!$M40</f>
        <v>4.0574399146928439E-2</v>
      </c>
      <c r="J32" s="8">
        <f>FTTC_GPON_100!$P28</f>
        <v>3.8333137325436493E-2</v>
      </c>
      <c r="K32" s="12">
        <f>FTTB_XGPON_100!$M36</f>
        <v>8.0527195319189365E-2</v>
      </c>
      <c r="L32" s="12">
        <f>FTTB_DWDM_100!$M37</f>
        <v>8.7847719055098181E-2</v>
      </c>
      <c r="M32" s="12">
        <f>FTTC_Hybridpon_25!P25</f>
        <v>3.3584194652431926E-2</v>
      </c>
      <c r="N32" s="8">
        <f>FTTB_Hybridpon_50!$P23</f>
        <v>4.3369715531823949E-2</v>
      </c>
      <c r="O32" s="8">
        <f>FTTH_Hybridpon_100!$P23</f>
        <v>4.7102145541165305E-2</v>
      </c>
      <c r="P32" s="8">
        <f>FTTC_Hybridpon_100!$N22</f>
        <v>5.2261441103153908E-2</v>
      </c>
      <c r="Q32" s="8">
        <f>FTTB_Hybridpon_100!$M24</f>
        <v>5.1256470962317925E-2</v>
      </c>
    </row>
    <row r="33" spans="4:17" x14ac:dyDescent="0.25">
      <c r="D33" s="22"/>
      <c r="E33" s="22">
        <f>SUM(Table22[FTTC_GPON_25])</f>
        <v>0.66757723360328514</v>
      </c>
      <c r="F33" s="22">
        <f>SUBTOTAL(109,Table22[FTTB_XGPON_50])</f>
        <v>0.66966575349072266</v>
      </c>
      <c r="G33" s="22">
        <f>SUBTOTAL(109,Table22[FTTB_DWDM_50])</f>
        <v>0.69151537878657388</v>
      </c>
      <c r="H33" s="22">
        <f>SUBTOTAL(109,Table22[FTTH_DWDM_100])</f>
        <v>0.61522052709816344</v>
      </c>
      <c r="I33" s="22">
        <f>SUBTOTAL(109,Table22[FTTH_XGPON_100])</f>
        <v>0.64919038635085491</v>
      </c>
      <c r="J33" s="22">
        <f>SUBTOTAL(109,Table22[FTTC_GPON_100])</f>
        <v>0.61333019720698378</v>
      </c>
      <c r="K33" s="26">
        <f>SUBTOTAL(109,Table22[FTTB_XGPON_100])</f>
        <v>1.2884351251070298</v>
      </c>
      <c r="L33" s="26">
        <f>SUBTOTAL(109,Table22[FTTB_DWDM_100])</f>
        <v>1.4055635048815707</v>
      </c>
      <c r="M33" s="26">
        <f>SUBTOTAL(109,Table22[FTTC_Hybridpon_25])</f>
        <v>0.5373471144389107</v>
      </c>
      <c r="N33" s="22">
        <f>SUBTOTAL(109,Table22[FTTB_Hybridpon_50])</f>
        <v>0.69391544850918296</v>
      </c>
      <c r="O33" s="22">
        <f>SUBTOTAL(109,Table22[FTTH_Hybridpon_100])</f>
        <v>0.75363432865864466</v>
      </c>
      <c r="P33" s="22">
        <f>SUM(Table22[FTTC_Hybridpon_100])</f>
        <v>0.83618305765046241</v>
      </c>
      <c r="Q33" s="22">
        <f>SUBTOTAL(109,Table22[FTTB_Hybridpon_100])</f>
        <v>0.8201035353970868</v>
      </c>
    </row>
    <row r="40" spans="4:17" ht="15.75" thickBot="1" x14ac:dyDescent="0.3">
      <c r="J40" t="s">
        <v>126</v>
      </c>
      <c r="N40" t="s">
        <v>127</v>
      </c>
    </row>
    <row r="41" spans="4:17" ht="16.5" thickTop="1" thickBot="1" x14ac:dyDescent="0.3">
      <c r="J41" s="11">
        <f>SUM(Table22[FTTC_GPON_25])</f>
        <v>0.66757723360328514</v>
      </c>
      <c r="N41" s="11">
        <f>SUM(Table2225[FTTC_GPON_25])</f>
        <v>0.69360088542983056</v>
      </c>
    </row>
    <row r="42" spans="4:17" ht="16.5" thickTop="1" thickBot="1" x14ac:dyDescent="0.3">
      <c r="J42" s="11">
        <f>SUBTOTAL(109,Table22[FTTB_XGPON_50])</f>
        <v>0.66966575349072266</v>
      </c>
      <c r="N42" s="11">
        <f>SUBTOTAL(109,Table2225[FTTB_XGPON_50])</f>
        <v>0.79181123390414887</v>
      </c>
    </row>
    <row r="43" spans="4:17" ht="16.5" thickTop="1" thickBot="1" x14ac:dyDescent="0.3">
      <c r="J43" s="11">
        <f>SUBTOTAL(109,Table22[FTTB_DWDM_50])</f>
        <v>0.69151537878657388</v>
      </c>
      <c r="N43" s="11">
        <f>SUBTOTAL(109,Table2225[FTTB_DWDM_50])</f>
        <v>0.71159054203430017</v>
      </c>
    </row>
    <row r="44" spans="4:17" ht="16.5" thickTop="1" thickBot="1" x14ac:dyDescent="0.3">
      <c r="J44" s="11">
        <f>SUBTOTAL(109,Table22[FTTH_DWDM_100])</f>
        <v>0.61522052709816344</v>
      </c>
      <c r="N44" s="11">
        <f>SUBTOTAL(109,Table2225[FTTH_DWDM_100])</f>
        <v>1.0649567374765556</v>
      </c>
    </row>
    <row r="45" spans="4:17" ht="16.5" thickTop="1" thickBot="1" x14ac:dyDescent="0.3">
      <c r="J45" s="11">
        <f>SUBTOTAL(109,Table22[FTTH_XGPON_100])</f>
        <v>0.64919038635085491</v>
      </c>
      <c r="N45" s="11">
        <f>SUBTOTAL(109,Table2225[FTTH_XGPON_100])</f>
        <v>0.77670116461148253</v>
      </c>
    </row>
    <row r="46" spans="4:17" ht="15.75" thickTop="1" x14ac:dyDescent="0.25">
      <c r="J46" s="11">
        <f>SUBTOTAL(109,Table22[FTTC_GPON_100])</f>
        <v>0.61333019720698378</v>
      </c>
      <c r="N46" s="11">
        <f>SUBTOTAL(109,Table2225[FTTC_GPON_100])</f>
        <v>0.73914720039208315</v>
      </c>
    </row>
    <row r="47" spans="4:17" x14ac:dyDescent="0.25">
      <c r="J47" s="25">
        <f>SUBTOTAL(109,Table22[FTTB_XGPON_100])</f>
        <v>1.2884351251070298</v>
      </c>
      <c r="N47" s="25">
        <f>SUBTOTAL(109,Table2225[FTTB_XGPON_100])</f>
        <v>1.5396171170309887</v>
      </c>
    </row>
    <row r="48" spans="4:17" ht="15.75" thickBot="1" x14ac:dyDescent="0.3">
      <c r="J48" s="25">
        <f>SUBTOTAL(109,Table22[FTTB_DWDM_100])</f>
        <v>1.4055635048815707</v>
      </c>
      <c r="N48" s="25">
        <f>SUBTOTAL(109,Table2225[FTTB_DWDM_100])</f>
        <v>1.6493508603541482</v>
      </c>
    </row>
    <row r="49" spans="10:14" ht="16.5" thickTop="1" thickBot="1" x14ac:dyDescent="0.3">
      <c r="J49" s="25">
        <f>SUBTOTAL(109,Table22[FTTC_Hybridpon_25])</f>
        <v>0.5373471144389107</v>
      </c>
      <c r="M49" s="11"/>
      <c r="N49" s="25">
        <f>SUBTOTAL(109,Table2225[FTTC_Hybridpon_25])</f>
        <v>0.56907229439116336</v>
      </c>
    </row>
    <row r="50" spans="10:14" ht="16.5" thickTop="1" thickBot="1" x14ac:dyDescent="0.3">
      <c r="J50" s="11">
        <f>SUBTOTAL(109,Table22[FTTB_Hybridpon_50])</f>
        <v>0.69391544850918296</v>
      </c>
      <c r="M50" s="11"/>
      <c r="N50" s="11">
        <f>SUBTOTAL(109,Table2225[FTTB_Hybridpon_50])</f>
        <v>0.73662808122417933</v>
      </c>
    </row>
    <row r="51" spans="10:14" ht="16.5" thickTop="1" thickBot="1" x14ac:dyDescent="0.3">
      <c r="J51" s="11">
        <f>SUBTOTAL(109,Table22[FTTH_Hybridpon_100])</f>
        <v>0.75363432865864466</v>
      </c>
      <c r="M51" s="11"/>
      <c r="N51" s="11">
        <f>SUBTOTAL(109,Table2225[FTTH_Hybridpon_100])</f>
        <v>0.8910552773623458</v>
      </c>
    </row>
    <row r="52" spans="10:14" ht="16.5" thickTop="1" thickBot="1" x14ac:dyDescent="0.3">
      <c r="J52" s="11">
        <f>SUBTOTAL(109,Table22[FTTC_Hybridpon_100])</f>
        <v>0.83618305765046241</v>
      </c>
      <c r="M52" s="11"/>
      <c r="N52" s="11">
        <f>SUBTOTAL(109,Table2225[FTTC_Hybridpon_100])</f>
        <v>0.86373513700853943</v>
      </c>
    </row>
    <row r="53" spans="10:14" ht="16.5" thickTop="1" thickBot="1" x14ac:dyDescent="0.3">
      <c r="J53" s="14">
        <f>SUBTOTAL(109,Table22[FTTB_Hybridpon_100])</f>
        <v>0.8201035353970868</v>
      </c>
      <c r="M53" s="11"/>
      <c r="N53" s="14">
        <f>SUBTOTAL(109,Table2225[FTTB_Hybridpon_100])</f>
        <v>0.89899809101424699</v>
      </c>
    </row>
    <row r="54" spans="10:14" ht="15.75" thickTop="1" x14ac:dyDescent="0.25">
      <c r="M54" s="11"/>
    </row>
    <row r="55" spans="10:14" x14ac:dyDescent="0.25">
      <c r="M55" s="25"/>
    </row>
    <row r="56" spans="10:14" x14ac:dyDescent="0.25">
      <c r="M56" s="25"/>
    </row>
    <row r="57" spans="10:14" ht="15.75" thickBot="1" x14ac:dyDescent="0.3">
      <c r="M57" s="25"/>
    </row>
    <row r="58" spans="10:14" ht="16.5" thickTop="1" thickBot="1" x14ac:dyDescent="0.3">
      <c r="M58" s="11"/>
    </row>
    <row r="59" spans="10:14" ht="16.5" thickTop="1" thickBot="1" x14ac:dyDescent="0.3">
      <c r="M59" s="11"/>
    </row>
    <row r="60" spans="10:14" ht="16.5" thickTop="1" thickBot="1" x14ac:dyDescent="0.3">
      <c r="M60" s="11"/>
    </row>
    <row r="61" spans="10:14" ht="15.75" thickTop="1" x14ac:dyDescent="0.25">
      <c r="M61" s="14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E26" sqref="E26"/>
    </sheetView>
  </sheetViews>
  <sheetFormatPr defaultRowHeight="15" x14ac:dyDescent="0.25"/>
  <cols>
    <col min="1" max="1" width="23.28515625" customWidth="1"/>
    <col min="2" max="3" width="21.28515625" customWidth="1"/>
    <col min="4" max="4" width="13" customWidth="1"/>
    <col min="5" max="5" width="21" customWidth="1"/>
    <col min="6" max="8" width="18" style="1" customWidth="1"/>
    <col min="9" max="9" width="20.7109375" customWidth="1"/>
    <col min="10" max="10" width="21" customWidth="1"/>
    <col min="11" max="11" width="20" customWidth="1"/>
    <col min="12" max="12" width="17.140625" customWidth="1"/>
    <col min="13" max="13" width="20.85546875" customWidth="1"/>
    <col min="14" max="14" width="24.140625" customWidth="1"/>
    <col min="15" max="15" width="26.42578125" customWidth="1"/>
    <col min="16" max="16" width="21.140625" customWidth="1"/>
    <col min="17" max="17" width="14.85546875" customWidth="1"/>
    <col min="18" max="18" width="23.5703125" customWidth="1"/>
    <col min="19" max="19" width="19.7109375" customWidth="1"/>
    <col min="20" max="20" width="7.5703125" customWidth="1"/>
    <col min="22" max="23" width="16.7109375" customWidth="1"/>
    <col min="24" max="24" width="18.5703125" customWidth="1"/>
    <col min="25" max="25" width="18.7109375" customWidth="1"/>
    <col min="26" max="26" width="14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s="1" t="s">
        <v>34</v>
      </c>
      <c r="G1" s="1" t="s">
        <v>36</v>
      </c>
      <c r="H1" s="2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111</v>
      </c>
      <c r="Y1" t="s">
        <v>115</v>
      </c>
      <c r="Z1" t="s">
        <v>116</v>
      </c>
      <c r="AA1" t="s">
        <v>32</v>
      </c>
      <c r="AB1" t="s">
        <v>33</v>
      </c>
    </row>
    <row r="2" spans="1:28" x14ac:dyDescent="0.25">
      <c r="A2" t="s">
        <v>3</v>
      </c>
      <c r="B2" t="s">
        <v>4</v>
      </c>
      <c r="C2">
        <v>40</v>
      </c>
      <c r="D2" s="23">
        <v>50</v>
      </c>
      <c r="E2">
        <f>5</f>
        <v>5</v>
      </c>
      <c r="F2" s="1">
        <f>Table2[[#This Row],[Floor Space per component]]*Table2[[#This Row],[Quantity]]</f>
        <v>250</v>
      </c>
      <c r="G2" s="1">
        <f>530/50</f>
        <v>10.6</v>
      </c>
      <c r="H2" s="2">
        <f>Table2[[#This Row],[Rent per sqm per year]]*Table2[[#This Row],[Total Floor Space]]</f>
        <v>2650</v>
      </c>
      <c r="I2">
        <v>7.1666666666666696</v>
      </c>
      <c r="J2">
        <v>2</v>
      </c>
      <c r="K2">
        <v>256</v>
      </c>
      <c r="L2">
        <f>10+Table2[[#This Row],[Quantity]]*2.5*0.5</f>
        <v>72.5</v>
      </c>
      <c r="M2">
        <f>Table2[[#This Row],[Energy consumption in W]]*24*365/1000</f>
        <v>635.1</v>
      </c>
      <c r="N2" s="8">
        <f t="shared" ref="N2:N10" si="0">0.15/50</f>
        <v>3.0000000000000001E-3</v>
      </c>
      <c r="O2" s="2">
        <f>Table2[[#This Row],[Yearly Energy Consumption in kWh]]*Table2[[#This Row],[CU/kWh]]</f>
        <v>1.9053000000000002</v>
      </c>
      <c r="P2">
        <v>0</v>
      </c>
      <c r="Q2">
        <v>20</v>
      </c>
      <c r="R2">
        <f>Table2[[#This Row],[Quantity]]*(Table2[[#This Row],[FIT]]*24*365)/1000000000</f>
        <v>0.11212800000000001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v>5</v>
      </c>
      <c r="W2" s="2">
        <f>Table2[[#This Row],[Cost per hour]]*Table2[[#This Row],[Total Time to Repair(h)]]*Table2[[#This Row],[Failures per year]]</f>
        <v>1.1212800000000001</v>
      </c>
      <c r="X2">
        <v>100</v>
      </c>
      <c r="Y2">
        <v>7.0000000000000007E-2</v>
      </c>
      <c r="Z2">
        <f>0.07+2*0.00027</f>
        <v>7.0540000000000005E-2</v>
      </c>
      <c r="AA2">
        <f>Table2[[#This Row],[Percentage of Business Users]]*Table2[[#This Row],[SLA CU per hour]]*Table2[[#This Row],[Failures per year]]*Table2[[#This Row],[Total Time to Repair(h)]]</f>
        <v>1.5697920000000003</v>
      </c>
      <c r="AB2">
        <f>Table2[[#This Row],[Percentage of ITS and business users]]*Table2[[#This Row],[SLA CU per hour]]*Table2[[#This Row],[Failures per year]]*Table2[[#This Row],[Total Time to Repair(h)]]</f>
        <v>1.5819018240000002</v>
      </c>
    </row>
    <row r="3" spans="1:28" x14ac:dyDescent="0.25">
      <c r="A3" t="s">
        <v>3</v>
      </c>
      <c r="B3" t="s">
        <v>5</v>
      </c>
      <c r="C3">
        <v>4</v>
      </c>
      <c r="D3" s="23">
        <f>124*2</f>
        <v>248</v>
      </c>
      <c r="E3">
        <v>1</v>
      </c>
      <c r="F3" s="1">
        <f>Table2[[#This Row],[Floor Space per component]]*Table2[[#This Row],[Quantity]]</f>
        <v>248</v>
      </c>
      <c r="G3" s="1">
        <v>10.6</v>
      </c>
      <c r="H3" s="2">
        <f>Table2[[#This Row],[Rent per sqm per year]]*Table2[[#This Row],[Total Floor Space]]</f>
        <v>2628.7999999999997</v>
      </c>
      <c r="I3">
        <v>0</v>
      </c>
      <c r="J3">
        <v>0</v>
      </c>
      <c r="K3">
        <v>0</v>
      </c>
      <c r="L3">
        <f>1.2*Table2[[#This Row],[Quantity]]</f>
        <v>297.59999999999997</v>
      </c>
      <c r="M3" s="1">
        <f>Table2[[#This Row],[Energy consumption in W]]*24*365/1000</f>
        <v>2606.9760000000001</v>
      </c>
      <c r="N3" s="8">
        <f t="shared" si="0"/>
        <v>3.0000000000000001E-3</v>
      </c>
      <c r="O3" s="2">
        <f>Table2[[#This Row],[Yearly Energy Consumption in kWh]]*Table2[[#This Row],[CU/kWh]]</f>
        <v>7.8209280000000003</v>
      </c>
      <c r="P3">
        <v>0</v>
      </c>
      <c r="Q3">
        <v>20</v>
      </c>
      <c r="R3" s="8">
        <f>Table2[[#This Row],[Quantity]]*(Table2[[#This Row],[FIT]]*24*365)/1000000000</f>
        <v>0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8">
        <v>5</v>
      </c>
      <c r="W3" s="2">
        <f>Table2[[#This Row],[Cost per hour]]*Table2[[#This Row],[Total Time to Repair(h)]]*Table2[[#This Row],[Failures per year]]</f>
        <v>0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Table2[[#This Row],[Percentage of Business Users]]*Table2[[#This Row],[SLA CU per hour]]*Table2[[#This Row],[Failures per year]]*Table2[[#This Row],[Total Time to Repair(h)]]</f>
        <v>0</v>
      </c>
      <c r="AB3" s="8">
        <f>Table2[[#This Row],[Percentage of ITS and business users]]*Table2[[#This Row],[SLA CU per hour]]*Table2[[#This Row],[Failures per year]]*Table2[[#This Row],[Total Time to Repair(h)]]</f>
        <v>0</v>
      </c>
    </row>
    <row r="4" spans="1:28" x14ac:dyDescent="0.25">
      <c r="A4" t="s">
        <v>3</v>
      </c>
      <c r="B4" t="s">
        <v>6</v>
      </c>
      <c r="C4">
        <v>1.1111111111111112E-2</v>
      </c>
      <c r="D4" s="23">
        <v>620</v>
      </c>
      <c r="E4">
        <v>0</v>
      </c>
      <c r="F4" s="1">
        <f>Table2[[#This Row],[Floor Space per component]]*Table2[[#This Row],[Quantity]]</f>
        <v>0</v>
      </c>
      <c r="G4" s="1">
        <v>10.6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62</v>
      </c>
      <c r="M4" s="1">
        <f>Table2[[#This Row],[Energy consumption in W]]*24*365/1000</f>
        <v>543.12</v>
      </c>
      <c r="N4" s="8">
        <f t="shared" si="0"/>
        <v>3.0000000000000001E-3</v>
      </c>
      <c r="O4" s="2">
        <f>Table2[[#This Row],[Yearly Energy Consumption in kWh]]*Table2[[#This Row],[CU/kWh]]</f>
        <v>1.6293600000000001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8">
        <v>5</v>
      </c>
      <c r="W4" s="2">
        <f>Table2[[#This Row],[Cost per hour]]*Table2[[#This Row],[Total Time to Repair(h)]]*Table2[[#This Row],[Failures per year]]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Table2[[#This Row],[Percentage of Business Users]]*Table2[[#This Row],[SLA CU per hour]]*Table2[[#This Row],[Failures per year]]*Table2[[#This Row],[Total Time to Repair(h)]]</f>
        <v>0</v>
      </c>
      <c r="AB4" s="8">
        <f>Table2[[#This Row],[Percentage of ITS and business users]]*Table2[[#This Row],[SLA CU per hour]]*Table2[[#This Row],[Failures per year]]*Table2[[#This Row],[Total Time to Repair(h)]]</f>
        <v>0</v>
      </c>
    </row>
    <row r="5" spans="1:28" x14ac:dyDescent="0.25">
      <c r="A5" t="s">
        <v>3</v>
      </c>
      <c r="B5" t="s">
        <v>7</v>
      </c>
      <c r="C5">
        <v>200</v>
      </c>
      <c r="D5" s="23">
        <v>1</v>
      </c>
      <c r="E5">
        <v>20</v>
      </c>
      <c r="F5" s="1">
        <f>Table2[[#This Row],[Floor Space per component]]*Table2[[#This Row],[Quantity]]</f>
        <v>20</v>
      </c>
      <c r="G5" s="1">
        <v>10.6</v>
      </c>
      <c r="H5" s="2">
        <f>Table2[[#This Row],[Rent per sqm per year]]*Table2[[#This Row],[Total Floor Space]]</f>
        <v>212</v>
      </c>
      <c r="I5">
        <v>1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8">
        <f t="shared" si="0"/>
        <v>3.0000000000000001E-3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8">
        <v>5</v>
      </c>
      <c r="W5" s="2">
        <f>Table2[[#This Row],[Cost per hour]]*Table2[[#This Row],[Total Time to Repair(h)]]*Table2[[#This Row],[Failures per year]]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Table2[[#This Row],[Percentage of Business Users]]*Table2[[#This Row],[SLA CU per hour]]*Table2[[#This Row],[Failures per year]]*Table2[[#This Row],[Total Time to Repair(h)]]</f>
        <v>0</v>
      </c>
      <c r="AB5" s="8">
        <f>Table2[[#This Row],[Percentage of ITS and business users]]*Table2[[#This Row],[SLA CU per hour]]*Table2[[#This Row],[Failures per year]]*Table2[[#This Row],[Total Time to Repair(h)]]</f>
        <v>0</v>
      </c>
    </row>
    <row r="6" spans="1:28" x14ac:dyDescent="0.25">
      <c r="A6" t="s">
        <v>8</v>
      </c>
      <c r="B6" t="s">
        <v>9</v>
      </c>
      <c r="C6">
        <v>1.8</v>
      </c>
      <c r="D6" s="23">
        <f>124*2</f>
        <v>248</v>
      </c>
      <c r="E6">
        <v>0</v>
      </c>
      <c r="F6" s="1">
        <f>Table2[[#This Row],[Floor Space per component]]*Table2[[#This Row],[Quantity]]</f>
        <v>0</v>
      </c>
      <c r="G6" s="1">
        <v>10.6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8">
        <f t="shared" si="0"/>
        <v>3.0000000000000001E-3</v>
      </c>
      <c r="O6" s="2">
        <f>Table2[[#This Row],[Yearly Energy Consumption in kWh]]*Table2[[#This Row],[CU/kWh]]</f>
        <v>0</v>
      </c>
      <c r="P6">
        <v>0.5</v>
      </c>
      <c r="Q6">
        <v>20</v>
      </c>
      <c r="R6" s="8">
        <f>Table2[[#This Row],[Quantity]]*(Table2[[#This Row],[FIT]]*24*365)/1000000000</f>
        <v>0.26069759999999997</v>
      </c>
      <c r="S6" s="1">
        <f>2*Table2[[#This Row],[Mean dist in km from CO]]/Table2[[#This Row],[Avg Travel Speed]]</f>
        <v>0.05</v>
      </c>
      <c r="T6" s="1">
        <f>Table2[[#This Row],[MTTR]]+Table2[[#This Row],[Twice Travel Time]]</f>
        <v>6.05</v>
      </c>
      <c r="U6">
        <v>1</v>
      </c>
      <c r="V6" s="8">
        <v>5</v>
      </c>
      <c r="W6" s="2">
        <f>Table2[[#This Row],[Cost per hour]]*Table2[[#This Row],[Total Time to Repair(h)]]*Table2[[#This Row],[Failures per year]]</f>
        <v>7.8861023999999995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Table2[[#This Row],[Percentage of Business Users]]*Table2[[#This Row],[SLA CU per hour]]*Table2[[#This Row],[Failures per year]]*Table2[[#This Row],[Total Time to Repair(h)]]</f>
        <v>11.040543360000001</v>
      </c>
      <c r="AB6" s="8">
        <f>Table2[[#This Row],[Percentage of ITS and business users]]*Table2[[#This Row],[SLA CU per hour]]*Table2[[#This Row],[Failures per year]]*Table2[[#This Row],[Total Time to Repair(h)]]</f>
        <v>11.125713265919998</v>
      </c>
    </row>
    <row r="7" spans="1:28" x14ac:dyDescent="0.25">
      <c r="A7" t="s">
        <v>10</v>
      </c>
      <c r="B7" t="s">
        <v>5</v>
      </c>
      <c r="C7">
        <v>4</v>
      </c>
      <c r="D7" s="23">
        <f>124*2</f>
        <v>248</v>
      </c>
      <c r="E7">
        <v>0</v>
      </c>
      <c r="F7" s="1">
        <f>Table2[[#This Row],[Floor Space per component]]*Table2[[#This Row],[Quantity]]</f>
        <v>0</v>
      </c>
      <c r="G7" s="1">
        <v>10.6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0</v>
      </c>
      <c r="L7">
        <f>1.2*Table2[[#This Row],[Quantity]]</f>
        <v>297.59999999999997</v>
      </c>
      <c r="M7" s="1">
        <f>Table2[[#This Row],[Energy consumption in W]]*24*365/1000</f>
        <v>2606.9760000000001</v>
      </c>
      <c r="N7" s="8">
        <f t="shared" si="0"/>
        <v>3.0000000000000001E-3</v>
      </c>
      <c r="O7" s="2">
        <f>Table2[[#This Row],[Yearly Energy Consumption in kWh]]*Table2[[#This Row],[CU/kWh]]</f>
        <v>7.8209280000000003</v>
      </c>
      <c r="P7">
        <v>1.5</v>
      </c>
      <c r="Q7">
        <v>20</v>
      </c>
      <c r="R7" s="8">
        <f>Table2[[#This Row],[Quantity]]*(Table2[[#This Row],[FIT]]*24*365)/1000000000</f>
        <v>0</v>
      </c>
      <c r="S7" s="1">
        <f>2*Table2[[#This Row],[Mean dist in km from CO]]/Table2[[#This Row],[Avg Travel Speed]]</f>
        <v>0.15</v>
      </c>
      <c r="T7" s="1">
        <f>Table2[[#This Row],[MTTR]]+Table2[[#This Row],[Twice Travel Time]]</f>
        <v>0.15</v>
      </c>
      <c r="U7">
        <v>1</v>
      </c>
      <c r="V7" s="8">
        <v>5</v>
      </c>
      <c r="W7" s="2">
        <f>Table2[[#This Row],[Cost per hour]]*Table2[[#This Row],[Total Time to Repair(h)]]*Table2[[#This Row],[Failures per year]]</f>
        <v>0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Table2[[#This Row],[Percentage of Business Users]]*Table2[[#This Row],[SLA CU per hour]]*Table2[[#This Row],[Failures per year]]*Table2[[#This Row],[Total Time to Repair(h)]]</f>
        <v>0</v>
      </c>
      <c r="AB7" s="8">
        <f>Table2[[#This Row],[Percentage of ITS and business users]]*Table2[[#This Row],[SLA CU per hour]]*Table2[[#This Row],[Failures per year]]*Table2[[#This Row],[Total Time to Repair(h)]]</f>
        <v>0</v>
      </c>
    </row>
    <row r="8" spans="1:28" x14ac:dyDescent="0.25">
      <c r="A8" t="s">
        <v>10</v>
      </c>
      <c r="B8" t="s">
        <v>11</v>
      </c>
      <c r="C8">
        <v>1</v>
      </c>
      <c r="D8" s="23">
        <f>928*2</f>
        <v>1856</v>
      </c>
      <c r="E8">
        <v>1</v>
      </c>
      <c r="F8" s="1">
        <f>Table2[[#This Row],[Floor Space per component]]*Table2[[#This Row],[Quantity]]</f>
        <v>1856</v>
      </c>
      <c r="G8" s="1">
        <v>10.6</v>
      </c>
      <c r="H8" s="2">
        <f>Table2[[#This Row],[Rent per sqm per year]]*Table2[[#This Row],[Total Floor Space]]</f>
        <v>19673.599999999999</v>
      </c>
      <c r="I8">
        <v>2488</v>
      </c>
      <c r="J8">
        <v>6</v>
      </c>
      <c r="K8">
        <v>256</v>
      </c>
      <c r="L8">
        <f>4*Table2[[#This Row],[Quantity]]</f>
        <v>7424</v>
      </c>
      <c r="M8" s="1">
        <f>Table2[[#This Row],[Energy consumption in W]]*24*365/1000</f>
        <v>65034.239999999998</v>
      </c>
      <c r="N8" s="8">
        <f t="shared" si="0"/>
        <v>3.0000000000000001E-3</v>
      </c>
      <c r="O8" s="2">
        <f>Table2[[#This Row],[Yearly Energy Consumption in kWh]]*Table2[[#This Row],[CU/kWh]]</f>
        <v>195.10272000000001</v>
      </c>
      <c r="P8">
        <v>1.5</v>
      </c>
      <c r="Q8">
        <v>20</v>
      </c>
      <c r="R8" s="8">
        <f>Table2[[#This Row],[Quantity]]*(Table2[[#This Row],[FIT]]*24*365)/1000000000</f>
        <v>4.1621913599999996</v>
      </c>
      <c r="S8" s="1">
        <f>2*Table2[[#This Row],[Mean dist in km from CO]]/Table2[[#This Row],[Avg Travel Speed]]</f>
        <v>0.15</v>
      </c>
      <c r="T8" s="1">
        <f>Table2[[#This Row],[MTTR]]+Table2[[#This Row],[Twice Travel Time]]</f>
        <v>6.15</v>
      </c>
      <c r="U8">
        <v>1</v>
      </c>
      <c r="V8" s="8">
        <v>5</v>
      </c>
      <c r="W8" s="2">
        <f>Table2[[#This Row],[Cost per hour]]*Table2[[#This Row],[Total Time to Repair(h)]]*Table2[[#This Row],[Failures per year]]</f>
        <v>127.98738431999999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Table2[[#This Row],[Percentage of Business Users]]*Table2[[#This Row],[SLA CU per hour]]*Table2[[#This Row],[Failures per year]]*Table2[[#This Row],[Total Time to Repair(h)]]</f>
        <v>179.18233804800002</v>
      </c>
      <c r="AB8" s="8">
        <f>Table2[[#This Row],[Percentage of ITS and business users]]*Table2[[#This Row],[SLA CU per hour]]*Table2[[#This Row],[Failures per year]]*Table2[[#This Row],[Total Time to Repair(h)]]</f>
        <v>180.56460179865601</v>
      </c>
    </row>
    <row r="9" spans="1:28" x14ac:dyDescent="0.25">
      <c r="A9" t="s">
        <v>10</v>
      </c>
      <c r="B9" t="s">
        <v>12</v>
      </c>
      <c r="C9">
        <v>124</v>
      </c>
      <c r="D9" s="23">
        <v>928</v>
      </c>
      <c r="E9">
        <v>1</v>
      </c>
      <c r="F9" s="1">
        <f>Table2[[#This Row],[Floor Space per component]]*Table2[[#This Row],[Quantity]]</f>
        <v>928</v>
      </c>
      <c r="G9" s="1">
        <v>10.6</v>
      </c>
      <c r="H9" s="2">
        <f>Table2[[#This Row],[Rent per sqm per year]]*Table2[[#This Row],[Total Floor Space]]</f>
        <v>9836.7999999999993</v>
      </c>
      <c r="I9">
        <v>207.83333333333331</v>
      </c>
      <c r="J9">
        <v>24</v>
      </c>
      <c r="K9">
        <v>512</v>
      </c>
      <c r="L9">
        <f>50*Table2[[#This Row],[Quantity]]</f>
        <v>46400</v>
      </c>
      <c r="M9" s="1">
        <f>Table2[[#This Row],[Energy consumption in W]]*24*365/1000</f>
        <v>406464</v>
      </c>
      <c r="N9" s="8">
        <f t="shared" si="0"/>
        <v>3.0000000000000001E-3</v>
      </c>
      <c r="O9" s="2">
        <f>Table2[[#This Row],[Yearly Energy Consumption in kWh]]*Table2[[#This Row],[CU/kWh]]</f>
        <v>1219.3920000000001</v>
      </c>
      <c r="P9">
        <v>1.5</v>
      </c>
      <c r="Q9">
        <v>20</v>
      </c>
      <c r="R9" s="8">
        <f>Table2[[#This Row],[Quantity]]*(Table2[[#This Row],[FIT]]*24*365)/1000000000</f>
        <v>4.1621913599999996</v>
      </c>
      <c r="S9" s="1">
        <f>2*Table2[[#This Row],[Mean dist in km from CO]]/Table2[[#This Row],[Avg Travel Speed]]</f>
        <v>0.15</v>
      </c>
      <c r="T9" s="1">
        <f>Table2[[#This Row],[MTTR]]+Table2[[#This Row],[Twice Travel Time]]</f>
        <v>24.15</v>
      </c>
      <c r="U9">
        <v>1</v>
      </c>
      <c r="V9" s="8">
        <v>5</v>
      </c>
      <c r="W9" s="2">
        <f>Table2[[#This Row],[Cost per hour]]*Table2[[#This Row],[Total Time to Repair(h)]]*Table2[[#This Row],[Failures per year]]</f>
        <v>502.58460671999995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Table2[[#This Row],[Percentage of Business Users]]*Table2[[#This Row],[SLA CU per hour]]*Table2[[#This Row],[Failures per year]]*Table2[[#This Row],[Total Time to Repair(h)]]</f>
        <v>703.61844940800006</v>
      </c>
      <c r="AB9" s="8">
        <f>Table2[[#This Row],[Percentage of ITS and business users]]*Table2[[#This Row],[SLA CU per hour]]*Table2[[#This Row],[Failures per year]]*Table2[[#This Row],[Total Time to Repair(h)]]</f>
        <v>709.04636316057599</v>
      </c>
    </row>
    <row r="10" spans="1:28" x14ac:dyDescent="0.25">
      <c r="A10" t="s">
        <v>13</v>
      </c>
      <c r="B10" t="s">
        <v>14</v>
      </c>
      <c r="C10">
        <v>0</v>
      </c>
      <c r="D10" s="23">
        <v>7895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8">
        <f t="shared" si="0"/>
        <v>3.0000000000000001E-3</v>
      </c>
      <c r="O10" s="2">
        <f>Table2[[#This Row],[Yearly Energy Consumption in kWh]]*Table2[[#This Row],[CU/kWh]]</f>
        <v>0</v>
      </c>
      <c r="P10">
        <v>2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0.2</v>
      </c>
      <c r="T10" s="1">
        <f>Table2[[#This Row],[MTTR]]+Table2[[#This Row],[Twice Travel Time]]</f>
        <v>0.2</v>
      </c>
      <c r="U10">
        <v>1</v>
      </c>
      <c r="V10" s="8">
        <v>5</v>
      </c>
      <c r="W10" s="2">
        <f>Table2[[#This Row],[Cost per hour]]*Table2[[#This Row],[Total Time to Repair(h)]]*Table2[[#This Row],[Failures per year]]</f>
        <v>0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Table2[[#This Row],[Percentage of Business Users]]*Table2[[#This Row],[SLA CU per hour]]*Table2[[#This Row],[Failures per year]]*Table2[[#This Row],[Total Time to Repair(h)]]</f>
        <v>0</v>
      </c>
      <c r="AB10" s="8">
        <f>Table2[[#This Row],[Percentage of ITS and business users]]*Table2[[#This Row],[SLA CU per hour]]*Table2[[#This Row],[Failures per year]]*Table2[[#This Row],[Total Time to Repair(h)]]</f>
        <v>0</v>
      </c>
    </row>
    <row r="11" spans="1:28" x14ac:dyDescent="0.25">
      <c r="H11" s="27">
        <f>SUM(Table2[Total Rent cost per year])</f>
        <v>35001.199999999997</v>
      </c>
      <c r="O11" s="27">
        <f>SUM(Table2[Energy Cost per year in CU])</f>
        <v>1433.6712360000001</v>
      </c>
      <c r="W11" s="27">
        <f>SUM(Table2[FM Cost])+L20</f>
        <v>1211.7163304138326</v>
      </c>
      <c r="AA11">
        <f>SUBTOTAL(109,Table2[FM Penalty Business])</f>
        <v>895.4111228160001</v>
      </c>
      <c r="AB11">
        <f>SUBTOTAL(109,Table2[FM Penalty ITS])</f>
        <v>902.31858004915205</v>
      </c>
    </row>
    <row r="14" spans="1:28" x14ac:dyDescent="0.25">
      <c r="A14" t="s">
        <v>39</v>
      </c>
      <c r="B14" t="s">
        <v>17</v>
      </c>
      <c r="C14" t="s">
        <v>16</v>
      </c>
      <c r="D14" t="s">
        <v>40</v>
      </c>
      <c r="E14" t="s">
        <v>30</v>
      </c>
      <c r="F14" s="1" t="s">
        <v>44</v>
      </c>
      <c r="G14" s="1" t="s">
        <v>45</v>
      </c>
      <c r="H14" s="1" t="s">
        <v>47</v>
      </c>
      <c r="I14" t="s">
        <v>46</v>
      </c>
      <c r="J14" t="s">
        <v>48</v>
      </c>
      <c r="K14" t="s">
        <v>49</v>
      </c>
      <c r="L14" t="s">
        <v>50</v>
      </c>
      <c r="M14" t="s">
        <v>111</v>
      </c>
      <c r="N14" t="s">
        <v>117</v>
      </c>
      <c r="O14" t="s">
        <v>118</v>
      </c>
      <c r="P14" t="s">
        <v>119</v>
      </c>
      <c r="Q14" t="s">
        <v>120</v>
      </c>
    </row>
    <row r="15" spans="1:28" x14ac:dyDescent="0.25">
      <c r="A15" t="s">
        <v>41</v>
      </c>
      <c r="B15">
        <f>570*B29/1000</f>
        <v>97502.201320258406</v>
      </c>
      <c r="C15">
        <v>24</v>
      </c>
      <c r="D15">
        <v>1</v>
      </c>
      <c r="E15">
        <v>5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B15*24*365*J15*E15/1000000000</f>
        <v>102.92137366963837</v>
      </c>
      <c r="M15">
        <v>100</v>
      </c>
      <c r="N15">
        <v>7.0000000000000007E-2</v>
      </c>
      <c r="O15">
        <f>0.07+2*0.00027</f>
        <v>7.0540000000000005E-2</v>
      </c>
      <c r="P15">
        <f>N15*M15*J15*B15*24*365/1000000000</f>
        <v>144.08992313749374</v>
      </c>
      <c r="Q15">
        <f>O15*M15*J15*B15*24*365/1000000000</f>
        <v>145.20147397312581</v>
      </c>
    </row>
    <row r="16" spans="1:28" x14ac:dyDescent="0.25">
      <c r="A16" t="s">
        <v>42</v>
      </c>
      <c r="B16">
        <f>570*C29/1000</f>
        <v>48782.100875533812</v>
      </c>
      <c r="C16">
        <v>24</v>
      </c>
      <c r="D16">
        <v>1</v>
      </c>
      <c r="E16">
        <v>5</v>
      </c>
      <c r="F16" s="1">
        <v>2</v>
      </c>
      <c r="G16" s="1">
        <v>1</v>
      </c>
      <c r="H16" s="1">
        <f t="shared" ref="H16:H17" si="2">F16/20</f>
        <v>0.1</v>
      </c>
      <c r="I16" s="1">
        <f t="shared" ref="I16:I17" si="3">G16/20</f>
        <v>0.05</v>
      </c>
      <c r="J16" s="1">
        <f t="shared" ref="J16:J17" si="4">C16+2*H16</f>
        <v>24.2</v>
      </c>
      <c r="K16" s="1">
        <f t="shared" ref="K16:K17" si="5">C16+2*I16</f>
        <v>24.1</v>
      </c>
      <c r="L16" s="1">
        <f t="shared" ref="L16:L17" si="6">B16*24*365*J16*E16/1000000000</f>
        <v>51.707075644030809</v>
      </c>
      <c r="M16">
        <v>100</v>
      </c>
      <c r="N16" s="8">
        <v>7.0000000000000007E-2</v>
      </c>
      <c r="O16" s="8">
        <f t="shared" ref="O16:O17" si="7">0.07+2*0.00027</f>
        <v>7.0540000000000005E-2</v>
      </c>
      <c r="P16" s="8">
        <f t="shared" ref="P16:P17" si="8">N16*M16*J16*B16*24*365/1000000000</f>
        <v>72.389905901643147</v>
      </c>
      <c r="Q16" s="8">
        <f t="shared" ref="Q16:Q17" si="9">O16*M16*J16*B16*24*365/1000000000</f>
        <v>72.948342318598677</v>
      </c>
    </row>
    <row r="17" spans="1:19" x14ac:dyDescent="0.25">
      <c r="A17" t="s">
        <v>43</v>
      </c>
      <c r="B17">
        <f>570*D29/1000</f>
        <v>390662.20119410474</v>
      </c>
      <c r="C17">
        <v>24</v>
      </c>
      <c r="D17">
        <v>1</v>
      </c>
      <c r="E17">
        <v>5</v>
      </c>
      <c r="F17" s="1">
        <v>4</v>
      </c>
      <c r="G17" s="1">
        <v>1.5</v>
      </c>
      <c r="H17" s="1">
        <f t="shared" si="2"/>
        <v>0.2</v>
      </c>
      <c r="I17" s="1">
        <f t="shared" si="3"/>
        <v>7.4999999999999997E-2</v>
      </c>
      <c r="J17" s="1">
        <f t="shared" si="4"/>
        <v>24.4</v>
      </c>
      <c r="K17" s="1">
        <f t="shared" si="5"/>
        <v>24.15</v>
      </c>
      <c r="L17" s="1">
        <f t="shared" si="6"/>
        <v>417.50850766016356</v>
      </c>
      <c r="M17">
        <v>100</v>
      </c>
      <c r="N17" s="8">
        <v>7.0000000000000007E-2</v>
      </c>
      <c r="O17" s="8">
        <f t="shared" si="7"/>
        <v>7.0540000000000005E-2</v>
      </c>
      <c r="P17" s="8">
        <f t="shared" si="8"/>
        <v>584.5119107242291</v>
      </c>
      <c r="Q17" s="8">
        <f t="shared" si="9"/>
        <v>589.02100260695886</v>
      </c>
    </row>
    <row r="20" spans="1:19" x14ac:dyDescent="0.25">
      <c r="K20" t="s">
        <v>51</v>
      </c>
      <c r="L20">
        <f>SUM(L15:L17)</f>
        <v>572.13695697383275</v>
      </c>
    </row>
    <row r="25" spans="1:19" x14ac:dyDescent="0.25">
      <c r="E25" t="s">
        <v>128</v>
      </c>
      <c r="H25" s="1" t="s">
        <v>91</v>
      </c>
      <c r="I25" t="s">
        <v>112</v>
      </c>
      <c r="J25" t="s">
        <v>113</v>
      </c>
      <c r="K25" t="s">
        <v>114</v>
      </c>
    </row>
    <row r="26" spans="1:19" x14ac:dyDescent="0.25">
      <c r="E26">
        <v>63160</v>
      </c>
      <c r="H26" s="1" t="s">
        <v>92</v>
      </c>
      <c r="I26">
        <f>I36/$E$26</f>
        <v>0.55416719442685236</v>
      </c>
      <c r="J26" s="8">
        <f t="shared" ref="J26:K26" si="10">J36/$E$26</f>
        <v>0.55416719442685236</v>
      </c>
      <c r="K26" s="8">
        <f t="shared" si="10"/>
        <v>0.55416719442685236</v>
      </c>
    </row>
    <row r="27" spans="1:19" x14ac:dyDescent="0.25">
      <c r="H27" s="1" t="s">
        <v>93</v>
      </c>
      <c r="I27" s="8">
        <f t="shared" ref="I27:J30" si="11">I37/$E$26</f>
        <v>2.2699037935402157E-2</v>
      </c>
      <c r="J27" s="8">
        <f t="shared" si="11"/>
        <v>2.2699037935402157E-2</v>
      </c>
      <c r="K27" s="8">
        <f t="shared" ref="K27" si="12">K37/$E$26</f>
        <v>2.2699037935402157E-2</v>
      </c>
      <c r="Q27" t="s">
        <v>52</v>
      </c>
    </row>
    <row r="28" spans="1:19" x14ac:dyDescent="0.25">
      <c r="H28" s="1" t="s">
        <v>94</v>
      </c>
      <c r="I28" s="8">
        <f t="shared" si="11"/>
        <v>1.918486906925004E-2</v>
      </c>
      <c r="J28" s="8">
        <f t="shared" si="11"/>
        <v>4.2420272485808506E-2</v>
      </c>
      <c r="K28" s="8">
        <f t="shared" ref="K28" si="13">K38/$E$26</f>
        <v>4.2529636913185835E-2</v>
      </c>
      <c r="Q28">
        <f>Table2[[#Totals],[Total Rent cost per year]]+Table2[[#Totals],[Energy Cost per year in CU]]+Table2[[#Totals],[FM Cost]]+L20</f>
        <v>38218.72452338766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H29" s="1" t="s">
        <v>95</v>
      </c>
      <c r="I29" s="8">
        <f t="shared" si="11"/>
        <v>2.980255507157523E-2</v>
      </c>
      <c r="J29" s="8">
        <f t="shared" si="11"/>
        <v>3.0964325242403157E-2</v>
      </c>
      <c r="K29" s="8">
        <f t="shared" ref="K29" si="14">K39/$E$26</f>
        <v>3.0969793463772023E-2</v>
      </c>
      <c r="S29">
        <v>11727.88547395296</v>
      </c>
    </row>
    <row r="30" spans="1:19" x14ac:dyDescent="0.25">
      <c r="H30" s="1" t="s">
        <v>96</v>
      </c>
      <c r="I30" s="8">
        <f t="shared" si="11"/>
        <v>4.1723577100205321E-2</v>
      </c>
      <c r="J30" s="8">
        <f t="shared" si="11"/>
        <v>4.3350055339364417E-2</v>
      </c>
      <c r="K30" s="8">
        <f t="shared" ref="K30" si="15">K40/$E$26</f>
        <v>4.3357710849280834E-2</v>
      </c>
    </row>
    <row r="31" spans="1:19" x14ac:dyDescent="0.25">
      <c r="I31" s="28">
        <f>SUM(I26:I30)</f>
        <v>0.66757723360328514</v>
      </c>
      <c r="J31" s="28">
        <f>SUM(J26:J30)</f>
        <v>0.69360088542983056</v>
      </c>
      <c r="K31" s="28">
        <f>SUM(K26:K30)</f>
        <v>0.69372337358849323</v>
      </c>
    </row>
    <row r="35" spans="8:11" x14ac:dyDescent="0.25">
      <c r="H35" s="8" t="s">
        <v>91</v>
      </c>
      <c r="I35" s="8" t="s">
        <v>112</v>
      </c>
      <c r="J35" s="8" t="s">
        <v>113</v>
      </c>
      <c r="K35" s="8" t="s">
        <v>114</v>
      </c>
    </row>
    <row r="36" spans="8:11" x14ac:dyDescent="0.25">
      <c r="H36" s="8" t="s">
        <v>92</v>
      </c>
      <c r="I36" s="8">
        <f>Table2[[#Totals],[Total Rent cost per year]]</f>
        <v>35001.199999999997</v>
      </c>
      <c r="J36" s="8">
        <f>Table2[[#Totals],[Total Rent cost per year]]</f>
        <v>35001.199999999997</v>
      </c>
      <c r="K36" s="8">
        <f>Table2[[#Totals],[Total Rent cost per year]]</f>
        <v>35001.199999999997</v>
      </c>
    </row>
    <row r="37" spans="8:11" x14ac:dyDescent="0.25">
      <c r="H37" s="8" t="s">
        <v>93</v>
      </c>
      <c r="I37" s="8">
        <f>Table2[[#Totals],[Energy Cost per year in CU]]</f>
        <v>1433.6712360000001</v>
      </c>
      <c r="J37" s="8">
        <f>Table2[[#Totals],[Energy Cost per year in CU]]</f>
        <v>1433.6712360000001</v>
      </c>
      <c r="K37" s="8">
        <f>Table2[[#Totals],[Energy Cost per year in CU]]</f>
        <v>1433.6712360000001</v>
      </c>
    </row>
    <row r="38" spans="8:11" x14ac:dyDescent="0.25">
      <c r="H38" s="8" t="s">
        <v>94</v>
      </c>
      <c r="I38" s="8">
        <f>Table2[[#Totals],[FM Cost]]+L30</f>
        <v>1211.7163304138326</v>
      </c>
      <c r="J38" s="8">
        <f>Table2[[#Totals],[FM Cost]]+$L$20+P25+P26+P27+Table2[[#Totals],[FM Penalty Business]]</f>
        <v>2679.2644102036652</v>
      </c>
      <c r="K38" s="8">
        <f>Table2[[#Totals],[FM Cost]]+$L$20+Table2[[#Totals],[FM Penalty ITS]]</f>
        <v>2686.1718674368171</v>
      </c>
    </row>
    <row r="39" spans="8:11" x14ac:dyDescent="0.25">
      <c r="H39" s="8" t="s">
        <v>95</v>
      </c>
      <c r="I39" s="8">
        <f>0.05*SUM(I36:I38)</f>
        <v>1882.3293783206916</v>
      </c>
      <c r="J39" s="8">
        <f>0.05*SUM(J36:J38)</f>
        <v>1955.7067823101834</v>
      </c>
      <c r="K39" s="8">
        <f>0.05*SUM(K36:K38)</f>
        <v>1956.0521551718409</v>
      </c>
    </row>
    <row r="40" spans="8:11" x14ac:dyDescent="0.25">
      <c r="H40" s="8" t="s">
        <v>96</v>
      </c>
      <c r="I40" s="8">
        <f>0.07*SUM(I36:I38)</f>
        <v>2635.2611296489681</v>
      </c>
      <c r="J40" s="8">
        <f>0.07*SUM(J36:J38)</f>
        <v>2737.9894952342565</v>
      </c>
      <c r="K40" s="8">
        <f>0.07*SUM(K36:K38)</f>
        <v>2738.4730172405775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J29" sqref="J29"/>
    </sheetView>
  </sheetViews>
  <sheetFormatPr defaultRowHeight="15" x14ac:dyDescent="0.25"/>
  <cols>
    <col min="1" max="1" width="23.28515625" customWidth="1"/>
    <col min="2" max="2" width="27.42578125" customWidth="1"/>
    <col min="3" max="3" width="21.28515625" customWidth="1"/>
    <col min="4" max="4" width="21.140625" customWidth="1"/>
    <col min="5" max="5" width="31.42578125" customWidth="1"/>
    <col min="6" max="6" width="25" customWidth="1"/>
    <col min="7" max="7" width="22.5703125" customWidth="1"/>
    <col min="8" max="8" width="23.85546875" customWidth="1"/>
    <col min="9" max="9" width="25.5703125" customWidth="1"/>
    <col min="10" max="10" width="18.28515625" customWidth="1"/>
    <col min="12" max="12" width="25.7109375" customWidth="1"/>
    <col min="13" max="13" width="34.140625" customWidth="1"/>
    <col min="14" max="14" width="10.7109375" customWidth="1"/>
    <col min="15" max="15" width="26.28515625" customWidth="1"/>
    <col min="16" max="16" width="25" customWidth="1"/>
    <col min="17" max="17" width="18.28515625" customWidth="1"/>
    <col min="18" max="18" width="17.85546875" customWidth="1"/>
    <col min="19" max="19" width="19" customWidth="1"/>
    <col min="20" max="20" width="23.42578125" customWidth="1"/>
    <col min="21" max="21" width="19.28515625" customWidth="1"/>
    <col min="22" max="22" width="15" customWidth="1"/>
    <col min="23" max="23" width="19.28515625" customWidth="1"/>
    <col min="24" max="24" width="23.5703125" customWidth="1"/>
    <col min="25" max="25" width="21.28515625" customWidth="1"/>
    <col min="26" max="26" width="16.140625" customWidth="1"/>
    <col min="27" max="27" width="14" customWidth="1"/>
    <col min="28" max="28" width="11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t="s">
        <v>3</v>
      </c>
      <c r="B2" t="s">
        <v>58</v>
      </c>
      <c r="C2">
        <v>80</v>
      </c>
      <c r="D2" s="23">
        <v>60</v>
      </c>
      <c r="E2">
        <v>5</v>
      </c>
      <c r="F2">
        <f>Table3[[#This Row],[Floor Space per component]]*Table3[[#This Row],[Quantity]]</f>
        <v>300</v>
      </c>
      <c r="G2">
        <v>10.6</v>
      </c>
      <c r="H2">
        <f>Table3[[#This Row],[Rent per sqm per year]]*Table3[[#This Row],[Total Floor Space]]</f>
        <v>3180</v>
      </c>
      <c r="I2">
        <f>0.5+(1/6)*Table3[[#This Row],[Quantity]]</f>
        <v>10.5</v>
      </c>
      <c r="J2">
        <v>2</v>
      </c>
      <c r="K2">
        <v>256</v>
      </c>
      <c r="L2">
        <f>100*Table3[[#This Row],[Quantity]]</f>
        <v>6000</v>
      </c>
      <c r="M2">
        <f>Table3[[#This Row],[Energy consumption in W]]*24*365/1000</f>
        <v>52560</v>
      </c>
      <c r="N2">
        <f>0.15/50</f>
        <v>3.0000000000000001E-3</v>
      </c>
      <c r="O2">
        <f>Table3[[#This Row],[Yearly Energy Consumption in kWh]]*Table3[[#This Row],[CU/kWh]]</f>
        <v>157.68</v>
      </c>
      <c r="P2">
        <v>0</v>
      </c>
      <c r="Q2">
        <v>20</v>
      </c>
      <c r="R2">
        <f>Table3[[#This Row],[Quantity]]*(Table3[[#This Row],[FIT]]*24*365)/1000000000</f>
        <v>0.1345536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f>190/50</f>
        <v>3.8</v>
      </c>
      <c r="W2">
        <f>Table3[[#This Row],[Cost per hour]]*Table3[[#This Row],[Total Time to Repair(h)]]*Table3[[#This Row],[Failures per year]]</f>
        <v>1.0226073599999999</v>
      </c>
      <c r="X2">
        <v>100</v>
      </c>
      <c r="Y2">
        <v>7.0000000000000007E-2</v>
      </c>
      <c r="Z2">
        <f>0.07+2*0.00027</f>
        <v>7.0540000000000005E-2</v>
      </c>
      <c r="AA2">
        <f>Table3[[#This Row],[Percentage of Business Users]]*Table3[[#This Row],[SLA CU per hour]]*Table3[[#This Row],[Failures per year]]*Table3[[#This Row],[Total Time to Repair(h)]]</f>
        <v>1.8837504000000003</v>
      </c>
      <c r="AB2">
        <f>Table3[[#This Row],[Percentage of ITS and business users]]*Table3[[#This Row],[SLA CU per hour]]*Table3[[#This Row],[Failures per year]]*Table3[[#This Row],[Total Time to Repair(h)]]</f>
        <v>1.8982821888000001</v>
      </c>
    </row>
    <row r="3" spans="1:28" x14ac:dyDescent="0.25">
      <c r="A3" t="s">
        <v>3</v>
      </c>
      <c r="B3" t="s">
        <v>59</v>
      </c>
      <c r="C3">
        <v>12</v>
      </c>
      <c r="D3" s="23">
        <v>200</v>
      </c>
      <c r="E3">
        <v>1</v>
      </c>
      <c r="F3" s="6">
        <f>Table3[[#This Row],[Floor Space per component]]*Table3[[#This Row],[Quantity]]</f>
        <v>200</v>
      </c>
      <c r="G3" s="8">
        <v>10.6</v>
      </c>
      <c r="H3" s="6">
        <f>Table3[[#This Row],[Rent per sqm per year]]*Table3[[#This Row],[Total Floor Space]]</f>
        <v>2120</v>
      </c>
      <c r="I3">
        <v>0</v>
      </c>
      <c r="J3">
        <v>0</v>
      </c>
      <c r="K3">
        <v>0</v>
      </c>
      <c r="L3">
        <f>4.5*Table3[[#This Row],[Quantity]]</f>
        <v>900</v>
      </c>
      <c r="M3" s="6">
        <f>Table3[[#This Row],[Energy consumption in W]]*24*365/1000</f>
        <v>7884</v>
      </c>
      <c r="N3" s="8">
        <f t="shared" ref="N3:N10" si="0">0.15/50</f>
        <v>3.0000000000000001E-3</v>
      </c>
      <c r="O3" s="6">
        <f>Table3[[#This Row],[Yearly Energy Consumption in kWh]]*Table3[[#This Row],[CU/kWh]]</f>
        <v>23.652000000000001</v>
      </c>
      <c r="P3">
        <v>0</v>
      </c>
      <c r="Q3" s="6">
        <v>20</v>
      </c>
      <c r="R3" s="8">
        <f>Table3[[#This Row],[Quantity]]*(Table3[[#This Row],[FIT]]*24*365)/1000000000</f>
        <v>0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6">
        <f t="shared" ref="V3:V10" si="1">190/50</f>
        <v>3.8</v>
      </c>
      <c r="W3" s="6">
        <f>Table3[[#This Row],[Cost per hour]]*Table3[[#This Row],[Total Time to Repair(h)]]*Table3[[#This Row],[Failures per year]]</f>
        <v>0</v>
      </c>
      <c r="X3" s="8">
        <v>100</v>
      </c>
      <c r="Y3" s="8">
        <v>7.0000000000000007E-2</v>
      </c>
      <c r="Z3" s="8">
        <f t="shared" ref="Z3:Z10" si="2">0.07+2*0.00027</f>
        <v>7.0540000000000005E-2</v>
      </c>
      <c r="AA3" s="8">
        <f>Table3[[#This Row],[Percentage of Business Users]]*Table3[[#This Row],[SLA CU per hour]]*Table3[[#This Row],[Failures per year]]*Table3[[#This Row],[Total Time to Repair(h)]]</f>
        <v>0</v>
      </c>
      <c r="AB3" s="8">
        <f>Table3[[#This Row],[Percentage of ITS and business users]]*Table3[[#This Row],[SLA CU per hour]]*Table3[[#This Row],[Failures per year]]*Table3[[#This Row],[Total Time to Repair(h)]]</f>
        <v>0</v>
      </c>
    </row>
    <row r="4" spans="1:28" x14ac:dyDescent="0.25">
      <c r="A4" t="s">
        <v>3</v>
      </c>
      <c r="B4" t="s">
        <v>6</v>
      </c>
      <c r="C4">
        <v>1.1111111E-2</v>
      </c>
      <c r="D4" s="23">
        <v>1800</v>
      </c>
      <c r="E4">
        <v>0</v>
      </c>
      <c r="F4" s="6">
        <f>Table3[[#This Row],[Floor Space per component]]*Table3[[#This Row],[Quantity]]</f>
        <v>0</v>
      </c>
      <c r="G4" s="8">
        <v>10.6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1800</v>
      </c>
      <c r="M4" s="6">
        <f>Table3[[#This Row],[Energy consumption in W]]*24*365/1000</f>
        <v>15768</v>
      </c>
      <c r="N4" s="8">
        <f t="shared" si="0"/>
        <v>3.0000000000000001E-3</v>
      </c>
      <c r="O4" s="6">
        <f>Table3[[#This Row],[Yearly Energy Consumption in kWh]]*Table3[[#This Row],[CU/kWh]]</f>
        <v>47.304000000000002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6">
        <f t="shared" si="1"/>
        <v>3.8</v>
      </c>
      <c r="W4" s="6">
        <f>Table3[[#This Row],[Cost per hour]]*Table3[[#This Row],[Total Time to Repair(h)]]*Table3[[#This Row],[Failures per year]]</f>
        <v>0</v>
      </c>
      <c r="X4" s="8">
        <v>100</v>
      </c>
      <c r="Y4" s="8">
        <v>7.0000000000000007E-2</v>
      </c>
      <c r="Z4" s="8">
        <f t="shared" si="2"/>
        <v>7.0540000000000005E-2</v>
      </c>
      <c r="AA4" s="8">
        <f>Table3[[#This Row],[Percentage of Business Users]]*Table3[[#This Row],[SLA CU per hour]]*Table3[[#This Row],[Failures per year]]*Table3[[#This Row],[Total Time to Repair(h)]]</f>
        <v>0</v>
      </c>
      <c r="AB4" s="8">
        <f>Table3[[#This Row],[Percentage of ITS and business users]]*Table3[[#This Row],[SLA CU per hour]]*Table3[[#This Row],[Failures per year]]*Table3[[#This Row],[Total Time to Repair(h)]]</f>
        <v>0</v>
      </c>
    </row>
    <row r="5" spans="1:28" x14ac:dyDescent="0.25">
      <c r="A5" t="s">
        <v>3</v>
      </c>
      <c r="B5" t="s">
        <v>7</v>
      </c>
      <c r="C5">
        <v>200</v>
      </c>
      <c r="D5" s="23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8">
        <f t="shared" si="0"/>
        <v>3.0000000000000001E-3</v>
      </c>
      <c r="O5" s="6">
        <f>Table3[[#This Row],[Yearly Energy Consumption in kWh]]*Table3[[#This Row],[CU/kWh]]</f>
        <v>2.6280000000000001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6">
        <f t="shared" si="1"/>
        <v>3.8</v>
      </c>
      <c r="W5" s="6">
        <f>Table3[[#This Row],[Cost per hour]]*Table3[[#This Row],[Total Time to Repair(h)]]*Table3[[#This Row],[Failures per year]]</f>
        <v>0</v>
      </c>
      <c r="X5" s="8">
        <v>100</v>
      </c>
      <c r="Y5" s="8">
        <v>7.0000000000000007E-2</v>
      </c>
      <c r="Z5" s="8">
        <f t="shared" si="2"/>
        <v>7.0540000000000005E-2</v>
      </c>
      <c r="AA5" s="8">
        <f>Table3[[#This Row],[Percentage of Business Users]]*Table3[[#This Row],[SLA CU per hour]]*Table3[[#This Row],[Failures per year]]*Table3[[#This Row],[Total Time to Repair(h)]]</f>
        <v>0</v>
      </c>
      <c r="AB5" s="8">
        <f>Table3[[#This Row],[Percentage of ITS and business users]]*Table3[[#This Row],[SLA CU per hour]]*Table3[[#This Row],[Failures per year]]*Table3[[#This Row],[Total Time to Repair(h)]]</f>
        <v>0</v>
      </c>
    </row>
    <row r="6" spans="1:28" x14ac:dyDescent="0.25">
      <c r="A6" t="s">
        <v>8</v>
      </c>
      <c r="B6" t="s">
        <v>9</v>
      </c>
      <c r="C6">
        <v>1.8</v>
      </c>
      <c r="D6" s="23">
        <v>124</v>
      </c>
      <c r="E6">
        <v>0</v>
      </c>
      <c r="F6" s="6">
        <f>Table3[[#This Row],[Floor Space per component]]*Table3[[#This Row],[Quantity]]</f>
        <v>0</v>
      </c>
      <c r="G6" s="8">
        <v>10.6</v>
      </c>
      <c r="H6" s="6">
        <f>Table3[[#This Row],[Rent per sqm per year]]*Table3[[#This Row],[Total Floor Space]]</f>
        <v>0</v>
      </c>
      <c r="I6">
        <f>1/6*(1+Table3[[#This Row],[Quantity]])</f>
        <v>20.833333333333332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8">
        <f t="shared" si="0"/>
        <v>3.0000000000000001E-3</v>
      </c>
      <c r="O6" s="6">
        <f>Table3[[#This Row],[Yearly Energy Consumption in kWh]]*Table3[[#This Row],[CU/kWh]]</f>
        <v>0</v>
      </c>
      <c r="P6">
        <v>1.5</v>
      </c>
      <c r="Q6" s="6">
        <v>20</v>
      </c>
      <c r="R6" s="8">
        <f>Table3[[#This Row],[Quantity]]*(Table3[[#This Row],[FIT]]*24*365)/1000000000</f>
        <v>5.4311999999999999E-2</v>
      </c>
      <c r="S6" s="6">
        <f>2*Table3[[#This Row],[Mean dist in km from CO]]/Table3[[#This Row],[Avg Travel Speed]]</f>
        <v>0.15</v>
      </c>
      <c r="T6" s="6">
        <f>Table3[[#This Row],[MTTR]]+Table3[[#This Row],[Twice Travel Time]]</f>
        <v>6.15</v>
      </c>
      <c r="U6" s="6">
        <v>1</v>
      </c>
      <c r="V6" s="6">
        <f t="shared" si="1"/>
        <v>3.8</v>
      </c>
      <c r="W6" s="6">
        <f>Table3[[#This Row],[Cost per hour]]*Table3[[#This Row],[Total Time to Repair(h)]]*Table3[[#This Row],[Failures per year]]</f>
        <v>1.26927144</v>
      </c>
      <c r="X6" s="8">
        <v>100</v>
      </c>
      <c r="Y6" s="8">
        <v>7.0000000000000007E-2</v>
      </c>
      <c r="Z6" s="8">
        <f t="shared" si="2"/>
        <v>7.0540000000000005E-2</v>
      </c>
      <c r="AA6" s="8">
        <f>Table3[[#This Row],[Percentage of Business Users]]*Table3[[#This Row],[SLA CU per hour]]*Table3[[#This Row],[Failures per year]]*Table3[[#This Row],[Total Time to Repair(h)]]</f>
        <v>2.3381316000000001</v>
      </c>
      <c r="AB6" s="8">
        <f>Table3[[#This Row],[Percentage of ITS and business users]]*Table3[[#This Row],[SLA CU per hour]]*Table3[[#This Row],[Failures per year]]*Table3[[#This Row],[Total Time to Repair(h)]]</f>
        <v>2.3561686152000001</v>
      </c>
    </row>
    <row r="7" spans="1:28" x14ac:dyDescent="0.25">
      <c r="A7" t="s">
        <v>8</v>
      </c>
      <c r="B7" t="s">
        <v>59</v>
      </c>
      <c r="C7">
        <v>12</v>
      </c>
      <c r="D7" s="23">
        <v>124</v>
      </c>
      <c r="E7">
        <v>0</v>
      </c>
      <c r="F7" s="6">
        <f>Table3[[#This Row],[Floor Space per component]]*Table3[[#This Row],[Quantity]]</f>
        <v>0</v>
      </c>
      <c r="G7" s="8">
        <v>10.6</v>
      </c>
      <c r="H7" s="6">
        <f>Table3[[#This Row],[Rent per sqm per year]]*Table3[[#This Row],[Total Floor Space]]</f>
        <v>0</v>
      </c>
      <c r="I7">
        <v>0</v>
      </c>
      <c r="J7">
        <v>0</v>
      </c>
      <c r="K7">
        <v>0</v>
      </c>
      <c r="L7">
        <f>4.5*Table3[[#This Row],[Quantity]]</f>
        <v>558</v>
      </c>
      <c r="M7" s="6">
        <f>Table3[[#This Row],[Energy consumption in W]]*24*365/1000</f>
        <v>4888.08</v>
      </c>
      <c r="N7" s="8">
        <f t="shared" si="0"/>
        <v>3.0000000000000001E-3</v>
      </c>
      <c r="O7" s="6">
        <f>Table3[[#This Row],[Yearly Energy Consumption in kWh]]*Table3[[#This Row],[CU/kWh]]</f>
        <v>14.664239999999999</v>
      </c>
      <c r="P7">
        <v>1.5</v>
      </c>
      <c r="Q7" s="6">
        <v>20</v>
      </c>
      <c r="R7" s="8">
        <f>Table3[[#This Row],[Quantity]]*(Table3[[#This Row],[FIT]]*24*365)/1000000000</f>
        <v>0</v>
      </c>
      <c r="S7" s="6">
        <f>2*Table3[[#This Row],[Mean dist in km from CO]]/Table3[[#This Row],[Avg Travel Speed]]</f>
        <v>0.15</v>
      </c>
      <c r="T7" s="6">
        <f>Table3[[#This Row],[MTTR]]+Table3[[#This Row],[Twice Travel Time]]</f>
        <v>0.15</v>
      </c>
      <c r="U7" s="6">
        <v>1</v>
      </c>
      <c r="V7" s="6">
        <f t="shared" si="1"/>
        <v>3.8</v>
      </c>
      <c r="W7" s="6">
        <f>Table3[[#This Row],[Cost per hour]]*Table3[[#This Row],[Total Time to Repair(h)]]*Table3[[#This Row],[Failures per year]]</f>
        <v>0</v>
      </c>
      <c r="X7" s="8">
        <v>100</v>
      </c>
      <c r="Y7" s="8">
        <v>7.0000000000000007E-2</v>
      </c>
      <c r="Z7" s="8">
        <f t="shared" si="2"/>
        <v>7.0540000000000005E-2</v>
      </c>
      <c r="AA7" s="8">
        <f>Table3[[#This Row],[Percentage of Business Users]]*Table3[[#This Row],[SLA CU per hour]]*Table3[[#This Row],[Failures per year]]*Table3[[#This Row],[Total Time to Repair(h)]]</f>
        <v>0</v>
      </c>
      <c r="AB7" s="8">
        <f>Table3[[#This Row],[Percentage of ITS and business users]]*Table3[[#This Row],[SLA CU per hour]]*Table3[[#This Row],[Failures per year]]*Table3[[#This Row],[Total Time to Repair(h)]]</f>
        <v>0</v>
      </c>
    </row>
    <row r="8" spans="1:28" x14ac:dyDescent="0.25">
      <c r="A8" t="s">
        <v>10</v>
      </c>
      <c r="B8" t="s">
        <v>9</v>
      </c>
      <c r="C8">
        <v>1.8</v>
      </c>
      <c r="D8" s="23">
        <v>928</v>
      </c>
      <c r="E8">
        <v>0</v>
      </c>
      <c r="F8" s="6">
        <f>Table3[[#This Row],[Floor Space per component]]*Table3[[#This Row],[Quantity]]</f>
        <v>0</v>
      </c>
      <c r="G8" s="8">
        <v>10.6</v>
      </c>
      <c r="H8" s="6">
        <f>Table3[[#This Row],[Rent per sqm per year]]*Table3[[#This Row],[Total Floor Space]]</f>
        <v>0</v>
      </c>
      <c r="I8" s="6">
        <f>1/6*(1+Table3[[#This Row],[Quantity]])</f>
        <v>154.83333333333331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8">
        <f t="shared" si="0"/>
        <v>3.0000000000000001E-3</v>
      </c>
      <c r="O8" s="6">
        <f>Table3[[#This Row],[Yearly Energy Consumption in kWh]]*Table3[[#This Row],[CU/kWh]]</f>
        <v>0</v>
      </c>
      <c r="P8">
        <v>2</v>
      </c>
      <c r="Q8" s="6">
        <v>20</v>
      </c>
      <c r="R8" s="8">
        <f>Table3[[#This Row],[Quantity]]*(Table3[[#This Row],[FIT]]*24*365)/1000000000</f>
        <v>0.40646399999999999</v>
      </c>
      <c r="S8" s="6">
        <f>2*Table3[[#This Row],[Mean dist in km from CO]]/Table3[[#This Row],[Avg Travel Speed]]</f>
        <v>0.2</v>
      </c>
      <c r="T8" s="6">
        <f>Table3[[#This Row],[MTTR]]+Table3[[#This Row],[Twice Travel Time]]</f>
        <v>6.2</v>
      </c>
      <c r="U8" s="6">
        <v>1</v>
      </c>
      <c r="V8" s="6">
        <f t="shared" si="1"/>
        <v>3.8</v>
      </c>
      <c r="W8" s="6">
        <f>Table3[[#This Row],[Cost per hour]]*Table3[[#This Row],[Total Time to Repair(h)]]*Table3[[#This Row],[Failures per year]]</f>
        <v>9.5762918399999997</v>
      </c>
      <c r="X8" s="8">
        <v>100</v>
      </c>
      <c r="Y8" s="8">
        <v>7.0000000000000007E-2</v>
      </c>
      <c r="Z8" s="8">
        <f t="shared" si="2"/>
        <v>7.0540000000000005E-2</v>
      </c>
      <c r="AA8" s="8">
        <f>Table3[[#This Row],[Percentage of Business Users]]*Table3[[#This Row],[SLA CU per hour]]*Table3[[#This Row],[Failures per year]]*Table3[[#This Row],[Total Time to Repair(h)]]</f>
        <v>17.640537600000002</v>
      </c>
      <c r="AB8" s="8">
        <f>Table3[[#This Row],[Percentage of ITS and business users]]*Table3[[#This Row],[SLA CU per hour]]*Table3[[#This Row],[Failures per year]]*Table3[[#This Row],[Total Time to Repair(h)]]</f>
        <v>17.7766217472</v>
      </c>
    </row>
    <row r="9" spans="1:28" x14ac:dyDescent="0.25">
      <c r="A9" t="s">
        <v>13</v>
      </c>
      <c r="B9" t="s">
        <v>60</v>
      </c>
      <c r="C9">
        <v>10</v>
      </c>
      <c r="D9" s="23">
        <v>8000</v>
      </c>
      <c r="E9">
        <v>0.5</v>
      </c>
      <c r="F9" s="6">
        <f>Table3[[#This Row],[Floor Space per component]]*Table3[[#This Row],[Quantity]]</f>
        <v>4000</v>
      </c>
      <c r="G9">
        <v>2</v>
      </c>
      <c r="H9" s="6">
        <f>Table3[[#This Row],[Rent per sqm per year]]*Table3[[#This Row],[Total Floor Space]]</f>
        <v>8000</v>
      </c>
      <c r="I9">
        <f>(0.5+1/6*8)*Table3[[#This Row],[Quantity]]</f>
        <v>14666.666666666666</v>
      </c>
      <c r="J9">
        <v>24</v>
      </c>
      <c r="K9">
        <v>512</v>
      </c>
      <c r="L9">
        <f>50*Table3[[#This Row],[Quantity]]</f>
        <v>400000</v>
      </c>
      <c r="M9" s="6">
        <f>Table3[[#This Row],[Energy consumption in W]]*24*365/1000</f>
        <v>3504000</v>
      </c>
      <c r="N9" s="8">
        <f t="shared" si="0"/>
        <v>3.0000000000000001E-3</v>
      </c>
      <c r="O9" s="6">
        <f>Table3[[#This Row],[Yearly Energy Consumption in kWh]]*Table3[[#This Row],[CU/kWh]]</f>
        <v>10512</v>
      </c>
      <c r="P9">
        <v>2.25</v>
      </c>
      <c r="Q9" s="6">
        <v>20</v>
      </c>
      <c r="R9" s="8">
        <f>Table3[[#This Row],[Quantity]]*(Table3[[#This Row],[FIT]]*24*365)/1000000000</f>
        <v>35.880960000000002</v>
      </c>
      <c r="S9" s="6">
        <f>2*Table3[[#This Row],[Mean dist in km from CO]]/Table3[[#This Row],[Avg Travel Speed]]</f>
        <v>0.22500000000000001</v>
      </c>
      <c r="T9" s="6">
        <f>Table3[[#This Row],[MTTR]]+Table3[[#This Row],[Twice Travel Time]]</f>
        <v>24.225000000000001</v>
      </c>
      <c r="U9" s="6">
        <v>1</v>
      </c>
      <c r="V9" s="6">
        <f t="shared" si="1"/>
        <v>3.8</v>
      </c>
      <c r="W9" s="6">
        <f>Table3[[#This Row],[Cost per hour]]*Table3[[#This Row],[Total Time to Repair(h)]]*Table3[[#This Row],[Failures per year]]</f>
        <v>3303.0217728000002</v>
      </c>
      <c r="X9" s="8">
        <v>100</v>
      </c>
      <c r="Y9" s="8">
        <v>7.0000000000000007E-2</v>
      </c>
      <c r="Z9" s="8">
        <f t="shared" si="2"/>
        <v>7.0540000000000005E-2</v>
      </c>
      <c r="AA9" s="8">
        <f>Table3[[#This Row],[Percentage of Business Users]]*Table3[[#This Row],[SLA CU per hour]]*Table3[[#This Row],[Failures per year]]*Table3[[#This Row],[Total Time to Repair(h)]]</f>
        <v>6084.5137920000016</v>
      </c>
      <c r="AB9" s="8">
        <f>Table3[[#This Row],[Percentage of ITS and business users]]*Table3[[#This Row],[SLA CU per hour]]*Table3[[#This Row],[Failures per year]]*Table3[[#This Row],[Total Time to Repair(h)]]</f>
        <v>6131.4514698240009</v>
      </c>
    </row>
    <row r="10" spans="1:28" x14ac:dyDescent="0.25">
      <c r="A10" t="s">
        <v>13</v>
      </c>
      <c r="B10" t="s">
        <v>61</v>
      </c>
      <c r="C10">
        <v>2.1</v>
      </c>
      <c r="D10" s="23">
        <v>8000</v>
      </c>
      <c r="E10">
        <v>0.5</v>
      </c>
      <c r="F10" s="6">
        <f>Table3[[#This Row],[Floor Space per component]]*Table3[[#This Row],[Quantity]]</f>
        <v>4000</v>
      </c>
      <c r="G10">
        <v>2</v>
      </c>
      <c r="H10" s="6">
        <f>Table3[[#This Row],[Rent per sqm per year]]*Table3[[#This Row],[Total Floor Space]]</f>
        <v>8000</v>
      </c>
      <c r="I10">
        <f>1*Table3[[#This Row],[Quantity]]</f>
        <v>8000</v>
      </c>
      <c r="J10">
        <v>6</v>
      </c>
      <c r="K10">
        <v>256</v>
      </c>
      <c r="L10">
        <f>6.5*Table3[[#This Row],[Quantity]]</f>
        <v>52000</v>
      </c>
      <c r="M10" s="6">
        <f>Table3[[#This Row],[Energy consumption in W]]*24*365/1000</f>
        <v>455520</v>
      </c>
      <c r="N10" s="8">
        <f t="shared" si="0"/>
        <v>3.0000000000000001E-3</v>
      </c>
      <c r="O10" s="6">
        <f>Table3[[#This Row],[Yearly Energy Consumption in kWh]]*Table3[[#This Row],[CU/kWh]]</f>
        <v>1366.56</v>
      </c>
      <c r="P10">
        <v>2.25</v>
      </c>
      <c r="Q10" s="6">
        <v>20</v>
      </c>
      <c r="R10" s="8">
        <f>Table3[[#This Row],[Quantity]]*(Table3[[#This Row],[FIT]]*24*365)/1000000000</f>
        <v>17.940480000000001</v>
      </c>
      <c r="S10" s="6">
        <f>2*Table3[[#This Row],[Mean dist in km from CO]]/Table3[[#This Row],[Avg Travel Speed]]</f>
        <v>0.22500000000000001</v>
      </c>
      <c r="T10" s="6">
        <f>Table3[[#This Row],[MTTR]]+Table3[[#This Row],[Twice Travel Time]]</f>
        <v>6.2249999999999996</v>
      </c>
      <c r="U10" s="6">
        <v>1</v>
      </c>
      <c r="V10" s="6">
        <f t="shared" si="1"/>
        <v>3.8</v>
      </c>
      <c r="W10" s="6">
        <f>Table3[[#This Row],[Cost per hour]]*Table3[[#This Row],[Total Time to Repair(h)]]*Table3[[#This Row],[Failures per year]]</f>
        <v>424.38205439999996</v>
      </c>
      <c r="X10" s="8">
        <v>100</v>
      </c>
      <c r="Y10" s="8">
        <v>7.0000000000000007E-2</v>
      </c>
      <c r="Z10" s="8">
        <f t="shared" si="2"/>
        <v>7.0540000000000005E-2</v>
      </c>
      <c r="AA10" s="8">
        <f>Table3[[#This Row],[Percentage of Business Users]]*Table3[[#This Row],[SLA CU per hour]]*Table3[[#This Row],[Failures per year]]*Table3[[#This Row],[Total Time to Repair(h)]]</f>
        <v>781.75641600000017</v>
      </c>
      <c r="AB10" s="8">
        <f>Table3[[#This Row],[Percentage of ITS and business users]]*Table3[[#This Row],[SLA CU per hour]]*Table3[[#This Row],[Failures per year]]*Table3[[#This Row],[Total Time to Repair(h)]]</f>
        <v>787.78710835200002</v>
      </c>
    </row>
    <row r="11" spans="1:28" x14ac:dyDescent="0.25">
      <c r="H11">
        <f>SUM(Table3[Total Rent cost per year])</f>
        <v>21512</v>
      </c>
      <c r="O11">
        <f>SUBTOTAL(109,Table3[Energy Cost per year in CU])</f>
        <v>12124.488239999999</v>
      </c>
      <c r="W11">
        <f>SUBTOTAL(109,Table3[FM Cost])</f>
        <v>3739.27199784</v>
      </c>
      <c r="AA11">
        <f>SUBTOTAL(109,Table3[FM Penalty Business])</f>
        <v>6888.1326276000018</v>
      </c>
      <c r="AB11">
        <f>SUBTOTAL(109,Table3[FM Penalty ITS])</f>
        <v>6941.2696507272012</v>
      </c>
    </row>
    <row r="14" spans="1:28" x14ac:dyDescent="0.25">
      <c r="A14" t="s">
        <v>38</v>
      </c>
      <c r="B14" t="s">
        <v>63</v>
      </c>
      <c r="C14" t="s">
        <v>64</v>
      </c>
      <c r="D14" t="s">
        <v>17</v>
      </c>
      <c r="E14" t="s">
        <v>65</v>
      </c>
      <c r="F14" t="s">
        <v>26</v>
      </c>
      <c r="G14" t="s">
        <v>66</v>
      </c>
      <c r="H14" t="s">
        <v>67</v>
      </c>
      <c r="I14" t="s">
        <v>68</v>
      </c>
    </row>
    <row r="15" spans="1:28" x14ac:dyDescent="0.25">
      <c r="B15" s="7">
        <f>171056.493544313/1000</f>
        <v>171.05649354431301</v>
      </c>
      <c r="C15">
        <v>570</v>
      </c>
      <c r="E15">
        <v>20</v>
      </c>
    </row>
    <row r="16" spans="1:28" x14ac:dyDescent="0.25">
      <c r="B16" s="7">
        <f>85582.6331149716/1000</f>
        <v>85.5826331149716</v>
      </c>
      <c r="C16">
        <v>570</v>
      </c>
      <c r="E16">
        <v>20</v>
      </c>
    </row>
    <row r="17" spans="1:16" x14ac:dyDescent="0.25">
      <c r="B17" s="7">
        <f>384090.367674523/1000</f>
        <v>384.09036767452295</v>
      </c>
      <c r="C17">
        <v>570</v>
      </c>
      <c r="E17">
        <v>20</v>
      </c>
      <c r="M17" t="s">
        <v>69</v>
      </c>
    </row>
    <row r="18" spans="1:16" x14ac:dyDescent="0.25">
      <c r="M18">
        <f>Table3[[#Totals],[Total Rent cost per year]]+Table3[[#Totals],[Energy Cost per year in CU]]+Table3[[#Totals],[FM Cost]]+I23</f>
        <v>37764.365170066099</v>
      </c>
    </row>
    <row r="19" spans="1:16" x14ac:dyDescent="0.2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111</v>
      </c>
      <c r="K19" s="8" t="s">
        <v>117</v>
      </c>
      <c r="L19" s="8" t="s">
        <v>118</v>
      </c>
      <c r="M19" s="8" t="s">
        <v>119</v>
      </c>
      <c r="N19" s="8" t="s">
        <v>120</v>
      </c>
    </row>
    <row r="20" spans="1:16" x14ac:dyDescent="0.25">
      <c r="A20" t="s">
        <v>41</v>
      </c>
      <c r="B20">
        <f>C15*B15</f>
        <v>97502.20132025842</v>
      </c>
      <c r="C20" s="15">
        <v>24</v>
      </c>
      <c r="D20">
        <v>1</v>
      </c>
      <c r="E20">
        <v>5</v>
      </c>
      <c r="F20">
        <v>1</v>
      </c>
      <c r="G20">
        <f>2*F20/20</f>
        <v>0.1</v>
      </c>
      <c r="H20">
        <f>G20+C20</f>
        <v>24.1</v>
      </c>
      <c r="I20">
        <f>B20*24*365*E20*FTTB_XGPON_50!H20/1000000000</f>
        <v>102.92137366963838</v>
      </c>
      <c r="J20" s="8">
        <v>100</v>
      </c>
      <c r="K20" s="8">
        <v>7.0000000000000007E-2</v>
      </c>
      <c r="L20" s="8">
        <v>7.0250000000000007E-2</v>
      </c>
      <c r="M20" s="8">
        <f>K20*J20*H20*B20*24*365/1000000000</f>
        <v>144.08992313749377</v>
      </c>
      <c r="N20" s="8">
        <f>L20*J20*H20*B20*24*365/1000000000</f>
        <v>144.60453000584195</v>
      </c>
    </row>
    <row r="21" spans="1:16" x14ac:dyDescent="0.25">
      <c r="A21" t="s">
        <v>42</v>
      </c>
      <c r="B21" s="8">
        <f>C16*B16</f>
        <v>48782.100875533812</v>
      </c>
      <c r="C21" s="15">
        <v>24</v>
      </c>
      <c r="D21">
        <v>1</v>
      </c>
      <c r="E21">
        <v>5</v>
      </c>
      <c r="F21">
        <v>2</v>
      </c>
      <c r="G21" s="8">
        <f t="shared" ref="G21:G22" si="3">2*F21/20</f>
        <v>0.2</v>
      </c>
      <c r="H21" s="8">
        <f t="shared" ref="H21:H22" si="4">G21+C21</f>
        <v>24.2</v>
      </c>
      <c r="I21" s="8">
        <f>B21*24*365*E21*FTTB_XGPON_50!H21/1000000000</f>
        <v>51.707075644030809</v>
      </c>
      <c r="J21" s="8">
        <v>100</v>
      </c>
      <c r="K21" s="8">
        <v>7.0000000000000007E-2</v>
      </c>
      <c r="L21" s="8">
        <v>7.0250000000000007E-2</v>
      </c>
      <c r="M21" s="8">
        <f t="shared" ref="M21:M22" si="5">K21*J21*H21*B21*24*365/1000000000</f>
        <v>72.389905901643147</v>
      </c>
      <c r="N21" s="8">
        <f t="shared" ref="N21:N22" si="6">L21*J21*H21*B21*24*365/1000000000</f>
        <v>72.648441279863292</v>
      </c>
    </row>
    <row r="22" spans="1:16" x14ac:dyDescent="0.25">
      <c r="A22" t="s">
        <v>62</v>
      </c>
      <c r="B22" s="8">
        <f>C17*B17</f>
        <v>218931.50957447808</v>
      </c>
      <c r="C22" s="15">
        <v>24</v>
      </c>
      <c r="D22">
        <v>2</v>
      </c>
      <c r="E22">
        <v>5</v>
      </c>
      <c r="F22">
        <v>4</v>
      </c>
      <c r="G22" s="8">
        <f t="shared" si="3"/>
        <v>0.4</v>
      </c>
      <c r="H22" s="8">
        <f t="shared" si="4"/>
        <v>24.4</v>
      </c>
      <c r="I22" s="8">
        <f>B22*24*365*E22*FTTB_XGPON_50!H22/1000000000</f>
        <v>233.97648291243621</v>
      </c>
      <c r="J22" s="8">
        <v>100</v>
      </c>
      <c r="K22" s="8">
        <v>7.0000000000000007E-2</v>
      </c>
      <c r="L22" s="8">
        <v>7.0250000000000007E-2</v>
      </c>
      <c r="M22" s="8">
        <f t="shared" si="5"/>
        <v>327.56707607741072</v>
      </c>
      <c r="N22" s="8">
        <f t="shared" si="6"/>
        <v>328.73695849197281</v>
      </c>
    </row>
    <row r="23" spans="1:16" x14ac:dyDescent="0.25">
      <c r="I23">
        <f>SUM(I20:I22)</f>
        <v>388.6049322261054</v>
      </c>
    </row>
    <row r="25" spans="1:16" x14ac:dyDescent="0.25">
      <c r="M25" s="8" t="s">
        <v>91</v>
      </c>
      <c r="N25" s="8" t="s">
        <v>112</v>
      </c>
      <c r="O25" t="s">
        <v>113</v>
      </c>
      <c r="P25" t="s">
        <v>121</v>
      </c>
    </row>
    <row r="26" spans="1:16" x14ac:dyDescent="0.25">
      <c r="M26" s="8" t="s">
        <v>92</v>
      </c>
      <c r="N26" s="8">
        <f>N35/$J$29</f>
        <v>0.34059531348955036</v>
      </c>
      <c r="O26" s="8">
        <f t="shared" ref="O26:P26" si="7">O35/$J$29</f>
        <v>0.34059531348955036</v>
      </c>
      <c r="P26" s="8">
        <f t="shared" si="7"/>
        <v>0.34059531348955036</v>
      </c>
    </row>
    <row r="27" spans="1:16" x14ac:dyDescent="0.25">
      <c r="M27" s="8" t="s">
        <v>93</v>
      </c>
      <c r="N27" s="8">
        <f t="shared" ref="N27:P30" si="8">N36/$J$29</f>
        <v>0.19196466497783404</v>
      </c>
      <c r="O27" s="8">
        <f t="shared" si="8"/>
        <v>0.19196466497783404</v>
      </c>
      <c r="P27" s="8">
        <f t="shared" si="8"/>
        <v>0.19196466497783404</v>
      </c>
    </row>
    <row r="28" spans="1:16" x14ac:dyDescent="0.25">
      <c r="J28" t="s">
        <v>129</v>
      </c>
      <c r="M28" s="8" t="s">
        <v>94</v>
      </c>
      <c r="N28" s="8">
        <f t="shared" si="8"/>
        <v>6.5355872863617881E-2</v>
      </c>
      <c r="O28" s="8">
        <f t="shared" si="8"/>
        <v>0.17441433751846275</v>
      </c>
      <c r="P28" s="8">
        <f t="shared" si="8"/>
        <v>0.17526738436429631</v>
      </c>
    </row>
    <row r="29" spans="1:16" x14ac:dyDescent="0.25">
      <c r="J29" s="8">
        <v>63160</v>
      </c>
      <c r="M29" s="8" t="s">
        <v>95</v>
      </c>
      <c r="N29" s="8">
        <f t="shared" si="8"/>
        <v>2.9895792566550117E-2</v>
      </c>
      <c r="O29" s="8">
        <f t="shared" si="8"/>
        <v>3.534871579929235E-2</v>
      </c>
      <c r="P29" s="8">
        <f t="shared" si="8"/>
        <v>3.5391368141584036E-2</v>
      </c>
    </row>
    <row r="30" spans="1:16" x14ac:dyDescent="0.25">
      <c r="M30" s="8" t="s">
        <v>96</v>
      </c>
      <c r="N30" s="8">
        <f t="shared" si="8"/>
        <v>4.1854109593170173E-2</v>
      </c>
      <c r="O30" s="8">
        <f t="shared" si="8"/>
        <v>4.9488202119009297E-2</v>
      </c>
      <c r="P30" s="8">
        <f t="shared" si="8"/>
        <v>4.9547915398217651E-2</v>
      </c>
    </row>
    <row r="31" spans="1:16" x14ac:dyDescent="0.25">
      <c r="N31" s="28">
        <f>SUM(N26:N30)</f>
        <v>0.66966575349072266</v>
      </c>
      <c r="O31" s="28">
        <f>SUM(O26:O30)</f>
        <v>0.79181123390414887</v>
      </c>
      <c r="P31" s="28">
        <f>SUM(P26:P30)</f>
        <v>0.79276664637148253</v>
      </c>
    </row>
    <row r="32" spans="1:16" x14ac:dyDescent="0.25">
      <c r="B32" s="7"/>
      <c r="C32" s="7"/>
      <c r="D32" s="7"/>
    </row>
    <row r="34" spans="13:16" x14ac:dyDescent="0.25">
      <c r="M34" s="8" t="s">
        <v>91</v>
      </c>
      <c r="N34" s="8" t="s">
        <v>112</v>
      </c>
      <c r="O34" s="8" t="s">
        <v>113</v>
      </c>
      <c r="P34" s="8" t="s">
        <v>121</v>
      </c>
    </row>
    <row r="35" spans="13:16" x14ac:dyDescent="0.25">
      <c r="M35" s="8" t="s">
        <v>92</v>
      </c>
      <c r="N35" s="8">
        <f>Table3[[#Totals],[Total Rent cost per year]]</f>
        <v>21512</v>
      </c>
      <c r="O35" s="8">
        <f>Table3[[#Totals],[Total Rent cost per year]]</f>
        <v>21512</v>
      </c>
      <c r="P35" s="8">
        <f>Table3[[#Totals],[Total Rent cost per year]]</f>
        <v>21512</v>
      </c>
    </row>
    <row r="36" spans="13:16" x14ac:dyDescent="0.25">
      <c r="M36" s="8" t="s">
        <v>93</v>
      </c>
      <c r="N36" s="8">
        <f>Table3[[#Totals],[Energy Cost per year in CU]]</f>
        <v>12124.488239999999</v>
      </c>
      <c r="O36" s="8">
        <f>Table3[[#Totals],[Energy Cost per year in CU]]</f>
        <v>12124.488239999999</v>
      </c>
      <c r="P36" s="8">
        <f>Table3[[#Totals],[Energy Cost per year in CU]]</f>
        <v>12124.488239999999</v>
      </c>
    </row>
    <row r="37" spans="13:16" x14ac:dyDescent="0.25">
      <c r="M37" s="8" t="s">
        <v>94</v>
      </c>
      <c r="N37" s="8">
        <f>Table3[[#Totals],[FM Cost]]+$I$23</f>
        <v>4127.8769300661052</v>
      </c>
      <c r="O37" s="8">
        <f>Table3[[#Totals],[FM Cost]]+$I$23+Table3[[#Totals],[FM Penalty Business]]+SUM(M29:M31)</f>
        <v>11016.009557666108</v>
      </c>
      <c r="P37" s="8">
        <f>Table3[[#Totals],[FM Cost]]+$I$23+Table3[[#Totals],[FM Penalty ITS]]+SUM(N29:N31)</f>
        <v>11069.887996448955</v>
      </c>
    </row>
    <row r="38" spans="13:16" x14ac:dyDescent="0.25">
      <c r="M38" s="8" t="s">
        <v>95</v>
      </c>
      <c r="N38" s="8">
        <f>0.05*SUM(N35:N37)</f>
        <v>1888.2182585033054</v>
      </c>
      <c r="O38" s="8">
        <f>0.05*SUM(O35:O37)</f>
        <v>2232.6248898833051</v>
      </c>
      <c r="P38" s="8">
        <f>0.05*SUM(P35:P37)</f>
        <v>2235.3188118224475</v>
      </c>
    </row>
    <row r="39" spans="13:16" x14ac:dyDescent="0.25">
      <c r="M39" s="8" t="s">
        <v>96</v>
      </c>
      <c r="N39" s="8">
        <f>0.07*SUM(N35:N37)</f>
        <v>2643.5055619046279</v>
      </c>
      <c r="O39" s="8">
        <f>0.07*SUM(O35:O37)</f>
        <v>3125.6748458366274</v>
      </c>
      <c r="P39" s="8">
        <f>0.07*SUM(P35:P37)</f>
        <v>3129.4463365514271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opLeftCell="B1" workbookViewId="0">
      <selection activeCell="K35" sqref="K35"/>
    </sheetView>
  </sheetViews>
  <sheetFormatPr defaultRowHeight="15" x14ac:dyDescent="0.25"/>
  <cols>
    <col min="1" max="1" width="23.5703125" customWidth="1"/>
    <col min="2" max="2" width="19.140625" customWidth="1"/>
    <col min="3" max="3" width="20.140625" customWidth="1"/>
    <col min="4" max="4" width="16.42578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0" max="10" width="15.140625" customWidth="1"/>
    <col min="11" max="11" width="21.7109375" customWidth="1"/>
    <col min="12" max="12" width="24.42578125" customWidth="1"/>
    <col min="13" max="13" width="32.28515625" customWidth="1"/>
    <col min="14" max="14" width="17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  <col min="24" max="24" width="18.140625" customWidth="1"/>
    <col min="27" max="27" width="22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16" t="s">
        <v>3</v>
      </c>
      <c r="B2" s="17" t="s">
        <v>70</v>
      </c>
      <c r="C2" s="18">
        <v>16</v>
      </c>
      <c r="D2" s="23">
        <v>5</v>
      </c>
      <c r="E2">
        <v>1</v>
      </c>
      <c r="F2">
        <f>E2*D2</f>
        <v>5</v>
      </c>
      <c r="G2">
        <v>10.6</v>
      </c>
      <c r="H2">
        <f>G2*F2</f>
        <v>53</v>
      </c>
      <c r="I2">
        <v>0</v>
      </c>
      <c r="J2">
        <v>2</v>
      </c>
      <c r="K2">
        <v>256</v>
      </c>
      <c r="L2">
        <f>12*D2</f>
        <v>60</v>
      </c>
      <c r="M2">
        <f>Table1[[#This Row],[Energy consumption in W]]*24*365/1000</f>
        <v>525.6</v>
      </c>
      <c r="N2">
        <f>0.15/50</f>
        <v>3.0000000000000001E-3</v>
      </c>
      <c r="O2">
        <f>Table1[[#This Row],[Yearly Energy Consumption in kWh]]*Table1[[#This Row],[CU/kWh]]</f>
        <v>1.5768000000000002</v>
      </c>
      <c r="P2">
        <v>0</v>
      </c>
      <c r="Q2">
        <v>20</v>
      </c>
      <c r="R2">
        <f>Table1[[#This Row],[Quantity]]*Table1[[#This Row],[FIT]]*24*365/1000000000</f>
        <v>1.12128E-2</v>
      </c>
      <c r="S2">
        <f>2*Table1[[#This Row],[Mean dist in km from CO]]/Table1[[#This Row],[Avg Travel Speed]]</f>
        <v>0</v>
      </c>
      <c r="T2">
        <f>Table1[[#This Row],[MTTR]]+Table1[[#This Row],[Twice Travel Time]]</f>
        <v>2</v>
      </c>
      <c r="U2">
        <v>1</v>
      </c>
      <c r="V2">
        <v>5</v>
      </c>
      <c r="W2">
        <f>Table1[[#This Row],[Cost per hour]]*Table1[[#This Row],[No. Of technicians]]*Table1[[#This Row],[Total Time to Repair(h)]]*Table1[[#This Row],[Failures per year]]</f>
        <v>0.11212800000000001</v>
      </c>
      <c r="X2">
        <v>10</v>
      </c>
      <c r="Y2">
        <v>7.0000000000000007E-2</v>
      </c>
      <c r="Z2">
        <v>7.0540000000000005E-2</v>
      </c>
      <c r="AA2">
        <f>Table1[[#This Row],[Percentage of Business Users]]*Table1[[#This Row],[SLA CU per hour]]*Table1[[#This Row],[Failures per year]]*Table1[[#This Row],[Total Time to Repair(h)]]</f>
        <v>1.5697920000000001E-2</v>
      </c>
      <c r="AB2">
        <f>Table1[[#This Row],[Percentage of ITS and business users]]*Table1[[#This Row],[SLA CU per hour]]*Table1[[#This Row],[Failures per year]]*Table1[[#This Row],[Total Time to Repair(h)]]</f>
        <v>1.581901824E-2</v>
      </c>
    </row>
    <row r="3" spans="1:28" x14ac:dyDescent="0.25">
      <c r="A3" s="19" t="s">
        <v>3</v>
      </c>
      <c r="B3" s="20" t="s">
        <v>71</v>
      </c>
      <c r="C3" s="21">
        <v>8.8000000000000007</v>
      </c>
      <c r="D3" s="23">
        <v>80</v>
      </c>
      <c r="E3">
        <v>5</v>
      </c>
      <c r="F3" s="8">
        <f t="shared" ref="F3:F10" si="0">E3*D3</f>
        <v>400</v>
      </c>
      <c r="G3" s="8">
        <v>10.6</v>
      </c>
      <c r="H3" s="8">
        <f t="shared" ref="H3:H10" si="1">G3*F3</f>
        <v>4240</v>
      </c>
      <c r="I3">
        <f>0.5+(1/6*D3)</f>
        <v>13.833333333333332</v>
      </c>
      <c r="J3">
        <v>2</v>
      </c>
      <c r="K3">
        <v>50</v>
      </c>
      <c r="L3">
        <f>5*D3</f>
        <v>400</v>
      </c>
      <c r="M3" s="8">
        <f>Table1[[#This Row],[Energy consumption in W]]*24*365/1000</f>
        <v>3504</v>
      </c>
      <c r="N3" s="8">
        <f t="shared" ref="N3:N10" si="2">0.15/50</f>
        <v>3.0000000000000001E-3</v>
      </c>
      <c r="O3" s="8">
        <f>Table1[[#This Row],[Yearly Energy Consumption in kWh]]*Table1[[#This Row],[CU/kWh]]</f>
        <v>10.512</v>
      </c>
      <c r="P3">
        <v>0</v>
      </c>
      <c r="Q3">
        <v>20</v>
      </c>
      <c r="R3" s="8">
        <f>Table1[[#This Row],[Quantity]]*Table1[[#This Row],[FIT]]*24*365/1000000000</f>
        <v>3.5040000000000002E-2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2</v>
      </c>
      <c r="U3">
        <v>1</v>
      </c>
      <c r="V3" s="8">
        <v>5</v>
      </c>
      <c r="W3" s="8">
        <f>Table1[[#This Row],[Cost per hour]]*Table1[[#This Row],[No. Of technicians]]*Table1[[#This Row],[Total Time to Repair(h)]]*Table1[[#This Row],[Failures per year]]</f>
        <v>0.35040000000000004</v>
      </c>
      <c r="X3" s="8">
        <v>10</v>
      </c>
      <c r="Y3" s="8">
        <v>7.0000000000000007E-2</v>
      </c>
      <c r="Z3" s="8">
        <v>7.0540000000000005E-2</v>
      </c>
      <c r="AA3" s="8">
        <f>Table1[[#This Row],[Percentage of Business Users]]*Table1[[#This Row],[SLA CU per hour]]*Table1[[#This Row],[Failures per year]]*Table1[[#This Row],[Total Time to Repair(h)]]</f>
        <v>4.9056000000000009E-2</v>
      </c>
      <c r="AB3" s="8">
        <f>Table1[[#This Row],[Percentage of ITS and business users]]*Table1[[#This Row],[SLA CU per hour]]*Table1[[#This Row],[Failures per year]]*Table1[[#This Row],[Total Time to Repair(h)]]</f>
        <v>4.9434432000000007E-2</v>
      </c>
    </row>
    <row r="4" spans="1:28" x14ac:dyDescent="0.25">
      <c r="A4" s="16" t="s">
        <v>3</v>
      </c>
      <c r="B4" s="17" t="s">
        <v>72</v>
      </c>
      <c r="C4" s="18">
        <v>63</v>
      </c>
      <c r="D4" s="23">
        <v>80</v>
      </c>
      <c r="E4">
        <v>1</v>
      </c>
      <c r="F4" s="8">
        <f t="shared" si="0"/>
        <v>80</v>
      </c>
      <c r="G4" s="8">
        <v>10.6</v>
      </c>
      <c r="H4" s="8">
        <f t="shared" si="1"/>
        <v>848</v>
      </c>
      <c r="I4">
        <v>0</v>
      </c>
      <c r="J4">
        <v>2</v>
      </c>
      <c r="K4">
        <v>50</v>
      </c>
      <c r="L4">
        <f>48*D4</f>
        <v>3840</v>
      </c>
      <c r="M4" s="8">
        <f>Table1[[#This Row],[Energy consumption in W]]*24*365/1000</f>
        <v>33638.400000000001</v>
      </c>
      <c r="N4" s="8">
        <f t="shared" si="2"/>
        <v>3.0000000000000001E-3</v>
      </c>
      <c r="O4" s="8">
        <f>Table1[[#This Row],[Yearly Energy Consumption in kWh]]*Table1[[#This Row],[CU/kWh]]</f>
        <v>100.91520000000001</v>
      </c>
      <c r="P4">
        <v>0</v>
      </c>
      <c r="Q4">
        <v>20</v>
      </c>
      <c r="R4" s="8">
        <f>Table1[[#This Row],[Quantity]]*Table1[[#This Row],[FIT]]*24*365/1000000000</f>
        <v>3.5040000000000002E-2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2</v>
      </c>
      <c r="U4">
        <v>1</v>
      </c>
      <c r="V4" s="8">
        <v>5</v>
      </c>
      <c r="W4" s="8">
        <f>Table1[[#This Row],[Cost per hour]]*Table1[[#This Row],[No. Of technicians]]*Table1[[#This Row],[Total Time to Repair(h)]]*Table1[[#This Row],[Failures per year]]</f>
        <v>0.35040000000000004</v>
      </c>
      <c r="X4" s="8">
        <v>10</v>
      </c>
      <c r="Y4" s="8">
        <v>7.0000000000000007E-2</v>
      </c>
      <c r="Z4" s="8">
        <v>7.0540000000000005E-2</v>
      </c>
      <c r="AA4" s="8">
        <f>Table1[[#This Row],[Percentage of Business Users]]*Table1[[#This Row],[SLA CU per hour]]*Table1[[#This Row],[Failures per year]]*Table1[[#This Row],[Total Time to Repair(h)]]</f>
        <v>4.9056000000000009E-2</v>
      </c>
      <c r="AB4" s="8">
        <f>Table1[[#This Row],[Percentage of ITS and business users]]*Table1[[#This Row],[SLA CU per hour]]*Table1[[#This Row],[Failures per year]]*Table1[[#This Row],[Total Time to Repair(h)]]</f>
        <v>4.9434432000000007E-2</v>
      </c>
    </row>
    <row r="5" spans="1:28" x14ac:dyDescent="0.25">
      <c r="A5" s="19" t="s">
        <v>3</v>
      </c>
      <c r="B5" s="20" t="s">
        <v>73</v>
      </c>
      <c r="C5" s="21">
        <v>2.2999999999999998</v>
      </c>
      <c r="D5" s="23">
        <v>80</v>
      </c>
      <c r="E5">
        <v>1</v>
      </c>
      <c r="F5" s="8">
        <f t="shared" si="0"/>
        <v>80</v>
      </c>
      <c r="G5" s="8">
        <v>10.6</v>
      </c>
      <c r="H5" s="8">
        <f t="shared" si="1"/>
        <v>848</v>
      </c>
      <c r="I5">
        <v>0</v>
      </c>
      <c r="J5">
        <v>2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3.0000000000000001E-3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3.5040000000000002E-2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2</v>
      </c>
      <c r="U5">
        <v>1</v>
      </c>
      <c r="V5" s="8">
        <v>5</v>
      </c>
      <c r="W5" s="8">
        <f>Table1[[#This Row],[Cost per hour]]*Table1[[#This Row],[No. Of technicians]]*Table1[[#This Row],[Total Time to Repair(h)]]*Table1[[#This Row],[Failures per year]]</f>
        <v>0.35040000000000004</v>
      </c>
      <c r="X5" s="8">
        <v>10</v>
      </c>
      <c r="Y5" s="8">
        <v>7.0000000000000007E-2</v>
      </c>
      <c r="Z5" s="8">
        <v>7.0540000000000005E-2</v>
      </c>
      <c r="AA5" s="8">
        <f>Table1[[#This Row],[Percentage of Business Users]]*Table1[[#This Row],[SLA CU per hour]]*Table1[[#This Row],[Failures per year]]*Table1[[#This Row],[Total Time to Repair(h)]]</f>
        <v>4.9056000000000009E-2</v>
      </c>
      <c r="AB5" s="8">
        <f>Table1[[#This Row],[Percentage of ITS and business users]]*Table1[[#This Row],[SLA CU per hour]]*Table1[[#This Row],[Failures per year]]*Table1[[#This Row],[Total Time to Repair(h)]]</f>
        <v>4.9434432000000007E-2</v>
      </c>
    </row>
    <row r="6" spans="1:28" x14ac:dyDescent="0.25">
      <c r="A6" s="16" t="s">
        <v>3</v>
      </c>
      <c r="B6" s="17" t="s">
        <v>74</v>
      </c>
      <c r="C6" s="18">
        <f>0.1/4.5</f>
        <v>2.2222222222222223E-2</v>
      </c>
      <c r="D6" s="23">
        <v>2250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0</v>
      </c>
      <c r="J6">
        <v>0</v>
      </c>
      <c r="K6">
        <v>0</v>
      </c>
      <c r="L6">
        <f>1*D6</f>
        <v>2250</v>
      </c>
      <c r="M6" s="8">
        <f>Table1[[#This Row],[Energy consumption in W]]*24*365/1000</f>
        <v>19710</v>
      </c>
      <c r="N6" s="8">
        <f t="shared" si="2"/>
        <v>3.0000000000000001E-3</v>
      </c>
      <c r="O6" s="8">
        <f>Table1[[#This Row],[Yearly Energy Consumption in kWh]]*Table1[[#This Row],[CU/kWh]]</f>
        <v>59.13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5</v>
      </c>
      <c r="W6" s="8">
        <f>Table1[[#This Row],[Cost per hour]]*Table1[[#This Row],[No. Of technicians]]*Table1[[#This Row],[Total Time to Repair(h)]]*Table1[[#This Row],[Failures per year]]</f>
        <v>0</v>
      </c>
      <c r="X6" s="8">
        <v>10</v>
      </c>
      <c r="Y6" s="8">
        <v>7.0000000000000007E-2</v>
      </c>
      <c r="Z6" s="8">
        <v>7.0540000000000005E-2</v>
      </c>
      <c r="AA6" s="8">
        <f>Table1[[#This Row],[Percentage of Business Users]]*Table1[[#This Row],[SLA CU per hour]]*Table1[[#This Row],[Failures per year]]*Table1[[#This Row],[Total Time to Repair(h)]]</f>
        <v>0</v>
      </c>
      <c r="AB6" s="8">
        <f>Table1[[#This Row],[Percentage of ITS and business users]]*Table1[[#This Row],[SLA CU per hour]]*Table1[[#This Row],[Failures per year]]*Table1[[#This Row],[Total Time to Repair(h)]]</f>
        <v>0</v>
      </c>
    </row>
    <row r="7" spans="1:28" x14ac:dyDescent="0.25">
      <c r="A7" s="19" t="s">
        <v>3</v>
      </c>
      <c r="B7" s="20" t="s">
        <v>75</v>
      </c>
      <c r="C7" s="21">
        <v>400</v>
      </c>
      <c r="D7" s="23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3.0000000000000001E-3</v>
      </c>
      <c r="O7" s="8">
        <f>Table1[[#This Row],[Yearly Energy Consumption in kWh]]*Table1[[#This Row],[CU/kWh]]</f>
        <v>1.3140000000000001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5</v>
      </c>
      <c r="W7" s="8">
        <f>Table1[[#This Row],[Cost per hour]]*Table1[[#This Row],[No. Of technicians]]*Table1[[#This Row],[Total Time to Repair(h)]]*Table1[[#This Row],[Failures per year]]</f>
        <v>0</v>
      </c>
      <c r="X7" s="8">
        <v>10</v>
      </c>
      <c r="Y7" s="8">
        <v>7.0000000000000007E-2</v>
      </c>
      <c r="Z7" s="8">
        <v>7.0540000000000005E-2</v>
      </c>
      <c r="AA7" s="8">
        <f>Table1[[#This Row],[Percentage of Business Users]]*Table1[[#This Row],[SLA CU per hour]]*Table1[[#This Row],[Failures per year]]*Table1[[#This Row],[Total Time to Repair(h)]]</f>
        <v>0</v>
      </c>
      <c r="AB7" s="8">
        <f>Table1[[#This Row],[Percentage of ITS and business users]]*Table1[[#This Row],[SLA CU per hour]]*Table1[[#This Row],[Failures per year]]*Table1[[#This Row],[Total Time to Repair(h)]]</f>
        <v>0</v>
      </c>
    </row>
    <row r="8" spans="1:28" x14ac:dyDescent="0.25">
      <c r="A8" s="16" t="s">
        <v>8</v>
      </c>
      <c r="B8" s="17" t="s">
        <v>76</v>
      </c>
      <c r="C8" s="18">
        <f>80*0.3</f>
        <v>24</v>
      </c>
      <c r="D8" s="23">
        <v>80</v>
      </c>
      <c r="E8">
        <v>0</v>
      </c>
      <c r="F8" s="8">
        <f t="shared" si="0"/>
        <v>0</v>
      </c>
      <c r="G8" s="8">
        <v>10.6</v>
      </c>
      <c r="H8" s="8">
        <f t="shared" si="1"/>
        <v>0</v>
      </c>
      <c r="I8">
        <f>1/6*D8</f>
        <v>13.333333333333332</v>
      </c>
      <c r="J8">
        <v>6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3.0000000000000001E-3</v>
      </c>
      <c r="O8" s="8">
        <f>Table1[[#This Row],[Yearly Energy Consumption in kWh]]*Table1[[#This Row],[CU/kWh]]</f>
        <v>0</v>
      </c>
      <c r="P8">
        <v>1.5</v>
      </c>
      <c r="Q8">
        <v>20</v>
      </c>
      <c r="R8" s="8">
        <f>Table1[[#This Row],[Quantity]]*Table1[[#This Row],[FIT]]*24*365/1000000000</f>
        <v>0.14016000000000001</v>
      </c>
      <c r="S8" s="8">
        <f>2*Table1[[#This Row],[Mean dist in km from CO]]/Table1[[#This Row],[Avg Travel Speed]]</f>
        <v>0.15</v>
      </c>
      <c r="T8" s="8">
        <f>Table1[[#This Row],[MTTR]]+Table1[[#This Row],[Twice Travel Time]]</f>
        <v>6.15</v>
      </c>
      <c r="U8">
        <v>1</v>
      </c>
      <c r="V8" s="8">
        <v>5</v>
      </c>
      <c r="W8" s="8">
        <f>Table1[[#This Row],[Cost per hour]]*Table1[[#This Row],[No. Of technicians]]*Table1[[#This Row],[Total Time to Repair(h)]]*Table1[[#This Row],[Failures per year]]</f>
        <v>4.30992</v>
      </c>
      <c r="X8" s="8">
        <v>10</v>
      </c>
      <c r="Y8" s="8">
        <v>7.0000000000000007E-2</v>
      </c>
      <c r="Z8" s="8">
        <v>7.0540000000000005E-2</v>
      </c>
      <c r="AA8" s="8">
        <f>Table1[[#This Row],[Percentage of Business Users]]*Table1[[#This Row],[SLA CU per hour]]*Table1[[#This Row],[Failures per year]]*Table1[[#This Row],[Total Time to Repair(h)]]</f>
        <v>0.60338880000000017</v>
      </c>
      <c r="AB8" s="8">
        <f>Table1[[#This Row],[Percentage of ITS and business users]]*Table1[[#This Row],[SLA CU per hour]]*Table1[[#This Row],[Failures per year]]*Table1[[#This Row],[Total Time to Repair(h)]]</f>
        <v>0.60804351360000009</v>
      </c>
    </row>
    <row r="9" spans="1:28" x14ac:dyDescent="0.25">
      <c r="A9" s="19" t="s">
        <v>13</v>
      </c>
      <c r="B9" s="20" t="s">
        <v>60</v>
      </c>
      <c r="C9" s="21">
        <v>10</v>
      </c>
      <c r="D9" s="23">
        <v>8000</v>
      </c>
      <c r="E9">
        <v>0.5</v>
      </c>
      <c r="F9" s="8">
        <f t="shared" si="0"/>
        <v>4000</v>
      </c>
      <c r="G9" s="8">
        <v>2</v>
      </c>
      <c r="H9" s="8">
        <f t="shared" si="1"/>
        <v>8000</v>
      </c>
      <c r="I9">
        <f>D9*(0.5+(1/6*8))</f>
        <v>14666.666666666666</v>
      </c>
      <c r="J9">
        <v>24</v>
      </c>
      <c r="K9">
        <v>512</v>
      </c>
      <c r="L9">
        <f>50*D9</f>
        <v>400000</v>
      </c>
      <c r="M9" s="8">
        <f>Table1[[#This Row],[Energy consumption in W]]*24*365/1000</f>
        <v>3504000</v>
      </c>
      <c r="N9" s="8">
        <f t="shared" si="2"/>
        <v>3.0000000000000001E-3</v>
      </c>
      <c r="O9" s="8">
        <f>Table1[[#This Row],[Yearly Energy Consumption in kWh]]*Table1[[#This Row],[CU/kWh]]</f>
        <v>10512</v>
      </c>
      <c r="P9">
        <v>2.25</v>
      </c>
      <c r="Q9">
        <v>20</v>
      </c>
      <c r="R9" s="8">
        <f>Table1[[#This Row],[Quantity]]*Table1[[#This Row],[FIT]]*24*365/1000000000</f>
        <v>35.880960000000002</v>
      </c>
      <c r="S9" s="8">
        <f>2*Table1[[#This Row],[Mean dist in km from CO]]/Table1[[#This Row],[Avg Travel Speed]]</f>
        <v>0.22500000000000001</v>
      </c>
      <c r="T9" s="8">
        <f>Table1[[#This Row],[MTTR]]+Table1[[#This Row],[Twice Travel Time]]</f>
        <v>24.225000000000001</v>
      </c>
      <c r="U9">
        <v>1</v>
      </c>
      <c r="V9" s="8">
        <v>5</v>
      </c>
      <c r="W9" s="8">
        <f>Table1[[#This Row],[Cost per hour]]*Table1[[#This Row],[No. Of technicians]]*Table1[[#This Row],[Total Time to Repair(h)]]*Table1[[#This Row],[Failures per year]]</f>
        <v>4346.0812800000003</v>
      </c>
      <c r="X9" s="8">
        <v>10</v>
      </c>
      <c r="Y9" s="8">
        <v>7.0000000000000007E-2</v>
      </c>
      <c r="Z9" s="8">
        <v>7.0540000000000005E-2</v>
      </c>
      <c r="AA9" s="8">
        <f>Table1[[#This Row],[Percentage of Business Users]]*Table1[[#This Row],[SLA CU per hour]]*Table1[[#This Row],[Failures per year]]*Table1[[#This Row],[Total Time to Repair(h)]]</f>
        <v>608.45137920000013</v>
      </c>
      <c r="AB9" s="8">
        <f>Table1[[#This Row],[Percentage of ITS and business users]]*Table1[[#This Row],[SLA CU per hour]]*Table1[[#This Row],[Failures per year]]*Table1[[#This Row],[Total Time to Repair(h)]]</f>
        <v>613.14514698240009</v>
      </c>
    </row>
    <row r="10" spans="1:28" x14ac:dyDescent="0.25">
      <c r="A10" s="16" t="s">
        <v>13</v>
      </c>
      <c r="B10" s="17" t="s">
        <v>77</v>
      </c>
      <c r="C10" s="18">
        <v>1.86</v>
      </c>
      <c r="D10" s="23">
        <v>8000</v>
      </c>
      <c r="E10">
        <v>0.5</v>
      </c>
      <c r="F10" s="8">
        <f t="shared" si="0"/>
        <v>4000</v>
      </c>
      <c r="G10" s="8">
        <v>2</v>
      </c>
      <c r="H10" s="8">
        <f t="shared" si="1"/>
        <v>8000</v>
      </c>
      <c r="I10">
        <f>1*D10</f>
        <v>8000</v>
      </c>
      <c r="J10">
        <v>6</v>
      </c>
      <c r="K10">
        <v>256</v>
      </c>
      <c r="L10">
        <f>4.7*D10</f>
        <v>37600</v>
      </c>
      <c r="M10" s="8">
        <f>Table1[[#This Row],[Energy consumption in W]]*24*365/1000</f>
        <v>329376</v>
      </c>
      <c r="N10" s="8">
        <f t="shared" si="2"/>
        <v>3.0000000000000001E-3</v>
      </c>
      <c r="O10" s="8">
        <f>Table1[[#This Row],[Yearly Energy Consumption in kWh]]*Table1[[#This Row],[CU/kWh]]</f>
        <v>988.12800000000004</v>
      </c>
      <c r="P10">
        <v>2.25</v>
      </c>
      <c r="Q10">
        <v>20</v>
      </c>
      <c r="R10" s="8">
        <f>Table1[[#This Row],[Quantity]]*Table1[[#This Row],[FIT]]*24*365/1000000000</f>
        <v>17.940480000000001</v>
      </c>
      <c r="S10" s="8">
        <f>2*Table1[[#This Row],[Mean dist in km from CO]]/Table1[[#This Row],[Avg Travel Speed]]</f>
        <v>0.22500000000000001</v>
      </c>
      <c r="T10" s="8">
        <f>Table1[[#This Row],[MTTR]]+Table1[[#This Row],[Twice Travel Time]]</f>
        <v>6.2249999999999996</v>
      </c>
      <c r="U10">
        <v>1</v>
      </c>
      <c r="V10" s="8">
        <v>5</v>
      </c>
      <c r="W10" s="8">
        <f>Table1[[#This Row],[Cost per hour]]*Table1[[#This Row],[No. Of technicians]]*Table1[[#This Row],[Total Time to Repair(h)]]*Table1[[#This Row],[Failures per year]]</f>
        <v>558.39744000000007</v>
      </c>
      <c r="X10" s="8">
        <v>10</v>
      </c>
      <c r="Y10" s="8">
        <v>7.0000000000000007E-2</v>
      </c>
      <c r="Z10" s="8">
        <v>7.0540000000000005E-2</v>
      </c>
      <c r="AA10" s="8">
        <f>Table1[[#This Row],[Percentage of Business Users]]*Table1[[#This Row],[SLA CU per hour]]*Table1[[#This Row],[Failures per year]]*Table1[[#This Row],[Total Time to Repair(h)]]</f>
        <v>78.175641600000006</v>
      </c>
      <c r="AB10" s="8">
        <f>Table1[[#This Row],[Percentage of ITS and business users]]*Table1[[#This Row],[SLA CU per hour]]*Table1[[#This Row],[Failures per year]]*Table1[[#This Row],[Total Time to Repair(h)]]</f>
        <v>78.778710835200002</v>
      </c>
    </row>
    <row r="11" spans="1:28" x14ac:dyDescent="0.25">
      <c r="B11" s="36"/>
      <c r="C11" s="37"/>
      <c r="D11" s="37"/>
      <c r="E11" s="22"/>
      <c r="F11" s="22"/>
      <c r="G11" s="22"/>
      <c r="H11" s="22">
        <f>SUBTOTAL(109,Table1[Total Rent cost per year])</f>
        <v>22413</v>
      </c>
      <c r="I11" s="22"/>
      <c r="J11" s="22"/>
      <c r="K11" s="22"/>
      <c r="L11" s="22"/>
      <c r="M11" s="22"/>
      <c r="N11" s="22"/>
      <c r="O11" s="22">
        <f>SUBTOTAL(109,Table1[Energy Cost per year in CU])</f>
        <v>11673.576000000001</v>
      </c>
      <c r="P11" s="22"/>
      <c r="Q11" s="22"/>
      <c r="R11" s="22"/>
      <c r="S11" s="22"/>
      <c r="T11" s="22"/>
      <c r="U11" s="22"/>
      <c r="V11" s="22"/>
      <c r="W11" s="22">
        <f>SUM(Table1[FM Cost])</f>
        <v>4909.9519680000003</v>
      </c>
      <c r="X11" s="22"/>
      <c r="Y11" s="22"/>
      <c r="Z11" s="22"/>
      <c r="AA11" s="22">
        <f>SUBTOTAL(109,Table1[FM Penalty Business])</f>
        <v>687.39327552000009</v>
      </c>
      <c r="AB11" s="22">
        <f>SUBTOTAL(109,Table1[FM Penalty ITS])</f>
        <v>692.69602364544016</v>
      </c>
    </row>
    <row r="13" spans="1:28" x14ac:dyDescent="0.25">
      <c r="M13" t="s">
        <v>69</v>
      </c>
    </row>
    <row r="14" spans="1:28" x14ac:dyDescent="0.25">
      <c r="M14">
        <f>Table1[[#Totals],[Total Rent cost per year]]+Table1[[#Totals],[Energy Cost per year in CU]]+Table1[[#Totals],[FM Cost]]+J20</f>
        <v>39441.23050562857</v>
      </c>
    </row>
    <row r="17" spans="1:15" x14ac:dyDescent="0.25">
      <c r="A17" s="8" t="s">
        <v>39</v>
      </c>
      <c r="B17" t="s">
        <v>63</v>
      </c>
      <c r="C17" s="8" t="s">
        <v>17</v>
      </c>
      <c r="D17" s="8" t="s">
        <v>16</v>
      </c>
      <c r="E17" s="8" t="s">
        <v>40</v>
      </c>
      <c r="F17" s="8" t="s">
        <v>30</v>
      </c>
      <c r="G17" s="8" t="s">
        <v>44</v>
      </c>
      <c r="H17" s="8" t="s">
        <v>47</v>
      </c>
      <c r="I17" s="8" t="s">
        <v>48</v>
      </c>
      <c r="J17" s="8" t="s">
        <v>50</v>
      </c>
      <c r="K17" s="8" t="s">
        <v>111</v>
      </c>
      <c r="L17" s="8" t="s">
        <v>117</v>
      </c>
      <c r="M17" s="8" t="s">
        <v>118</v>
      </c>
      <c r="N17" s="8" t="s">
        <v>119</v>
      </c>
      <c r="O17" s="8" t="s">
        <v>120</v>
      </c>
    </row>
    <row r="18" spans="1:15" x14ac:dyDescent="0.25">
      <c r="A18" t="s">
        <v>41</v>
      </c>
      <c r="B18" s="9">
        <f>72320.0059456714/1000</f>
        <v>72.320005945671397</v>
      </c>
      <c r="C18">
        <f>570*B18</f>
        <v>41222.403389032697</v>
      </c>
      <c r="D18">
        <v>24</v>
      </c>
      <c r="E18">
        <v>1</v>
      </c>
      <c r="F18">
        <v>5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43.694098696239088</v>
      </c>
      <c r="K18" s="8">
        <v>100</v>
      </c>
      <c r="L18">
        <v>7.0000000000000007E-2</v>
      </c>
      <c r="M18">
        <v>7.0540000000000005E-2</v>
      </c>
      <c r="N18">
        <f>L18*K18*I18*C18*24*365/1000000000</f>
        <v>61.171738174734742</v>
      </c>
      <c r="O18">
        <f>M18*K18*I18*C18*24*365/1000000000</f>
        <v>61.643634440654118</v>
      </c>
    </row>
    <row r="19" spans="1:15" x14ac:dyDescent="0.25">
      <c r="A19" t="s">
        <v>62</v>
      </c>
      <c r="B19" s="9">
        <f>658286.152663246/1000</f>
        <v>658.28615266324607</v>
      </c>
      <c r="C19">
        <f>570*B19</f>
        <v>375223.10701805027</v>
      </c>
      <c r="D19">
        <v>24</v>
      </c>
      <c r="E19">
        <v>1</v>
      </c>
      <c r="F19" s="8">
        <v>5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401.00843893233071</v>
      </c>
      <c r="K19" s="8">
        <v>100</v>
      </c>
      <c r="L19" s="8">
        <v>7.0000000000000007E-2</v>
      </c>
      <c r="M19" s="8">
        <v>7.0540000000000005E-2</v>
      </c>
      <c r="N19" s="8">
        <f>L19*K19*I19*C19*24*365/1000000000</f>
        <v>561.41181450526301</v>
      </c>
      <c r="O19" s="8">
        <f>M19*K19*I19*C19*24*365/1000000000</f>
        <v>565.74270564573214</v>
      </c>
    </row>
    <row r="20" spans="1:15" x14ac:dyDescent="0.25">
      <c r="J20">
        <f>SUM(J18:J19)</f>
        <v>444.70253762856981</v>
      </c>
      <c r="K20" s="8"/>
      <c r="L20" s="8"/>
    </row>
    <row r="33" spans="11:16" x14ac:dyDescent="0.25">
      <c r="M33" s="8" t="s">
        <v>91</v>
      </c>
      <c r="N33" s="8" t="s">
        <v>112</v>
      </c>
      <c r="O33" t="s">
        <v>113</v>
      </c>
      <c r="P33" t="s">
        <v>121</v>
      </c>
    </row>
    <row r="34" spans="11:16" x14ac:dyDescent="0.25">
      <c r="K34" t="s">
        <v>128</v>
      </c>
      <c r="M34" s="8" t="s">
        <v>92</v>
      </c>
      <c r="N34" s="8">
        <f>N44/$K$35</f>
        <v>0.35486067131095628</v>
      </c>
      <c r="O34" s="8">
        <f t="shared" ref="O34:P34" si="3">O44/$K$35</f>
        <v>0.35486067131095628</v>
      </c>
      <c r="P34" s="8">
        <f t="shared" si="3"/>
        <v>0.35486067131095628</v>
      </c>
    </row>
    <row r="35" spans="11:16" x14ac:dyDescent="0.25">
      <c r="K35" s="8">
        <v>63160</v>
      </c>
      <c r="M35" s="8" t="s">
        <v>93</v>
      </c>
      <c r="N35" s="8">
        <f t="shared" ref="N35:P38" si="4">N45/$K$35</f>
        <v>0.18482545915136164</v>
      </c>
      <c r="O35" s="8">
        <f t="shared" si="4"/>
        <v>0.18482545915136164</v>
      </c>
      <c r="P35" s="8">
        <f t="shared" si="4"/>
        <v>0.18482545915136164</v>
      </c>
    </row>
    <row r="36" spans="11:16" x14ac:dyDescent="0.25">
      <c r="M36" s="8" t="s">
        <v>94</v>
      </c>
      <c r="N36" s="8">
        <f t="shared" si="4"/>
        <v>7.7738314882837237E-2</v>
      </c>
      <c r="O36" s="8">
        <f t="shared" si="4"/>
        <v>9.5662567782592953E-2</v>
      </c>
      <c r="P36" s="8">
        <f t="shared" si="4"/>
        <v>9.5746525162666407E-2</v>
      </c>
    </row>
    <row r="37" spans="11:16" x14ac:dyDescent="0.25">
      <c r="M37" s="8" t="s">
        <v>95</v>
      </c>
      <c r="N37" s="8">
        <f t="shared" si="4"/>
        <v>3.0871222267257761E-2</v>
      </c>
      <c r="O37" s="8">
        <f t="shared" si="4"/>
        <v>3.1767434912245547E-2</v>
      </c>
      <c r="P37" s="8">
        <f t="shared" si="4"/>
        <v>3.1771632781249219E-2</v>
      </c>
    </row>
    <row r="38" spans="11:16" x14ac:dyDescent="0.25">
      <c r="M38" s="8" t="s">
        <v>96</v>
      </c>
      <c r="N38" s="8">
        <f t="shared" si="4"/>
        <v>4.3219711174160867E-2</v>
      </c>
      <c r="O38" s="8">
        <f t="shared" si="4"/>
        <v>4.447440887714376E-2</v>
      </c>
      <c r="P38" s="8">
        <f t="shared" si="4"/>
        <v>4.4480285893748903E-2</v>
      </c>
    </row>
    <row r="39" spans="11:16" x14ac:dyDescent="0.25">
      <c r="M39" s="8"/>
      <c r="N39" s="28">
        <f>SUM(N34:N38)</f>
        <v>0.69151537878657388</v>
      </c>
      <c r="O39" s="28">
        <f>SUM(O34:O38)</f>
        <v>0.71159054203430017</v>
      </c>
      <c r="P39" s="28">
        <f>SUM(P34:P38)</f>
        <v>0.71168457429998233</v>
      </c>
    </row>
    <row r="43" spans="11:16" x14ac:dyDescent="0.25">
      <c r="M43" s="8" t="s">
        <v>91</v>
      </c>
      <c r="N43" s="8" t="s">
        <v>112</v>
      </c>
      <c r="O43" s="8" t="s">
        <v>113</v>
      </c>
      <c r="P43" s="8" t="s">
        <v>121</v>
      </c>
    </row>
    <row r="44" spans="11:16" x14ac:dyDescent="0.25">
      <c r="M44" s="8" t="s">
        <v>92</v>
      </c>
      <c r="N44" s="8">
        <f>Table1[[#Totals],[Total Rent cost per year]]</f>
        <v>22413</v>
      </c>
      <c r="O44" s="8">
        <f>Table1[[#Totals],[Total Rent cost per year]]</f>
        <v>22413</v>
      </c>
      <c r="P44" s="8">
        <f>Table1[[#Totals],[Total Rent cost per year]]</f>
        <v>22413</v>
      </c>
    </row>
    <row r="45" spans="11:16" x14ac:dyDescent="0.25">
      <c r="M45" s="8" t="s">
        <v>93</v>
      </c>
      <c r="N45" s="8">
        <f>Table1[[#Totals],[Energy Cost per year in CU]]</f>
        <v>11673.576000000001</v>
      </c>
      <c r="O45" s="8">
        <f>Table1[[#Totals],[Energy Cost per year in CU]]</f>
        <v>11673.576000000001</v>
      </c>
      <c r="P45" s="8">
        <f>Table1[[#Totals],[Energy Cost per year in CU]]</f>
        <v>11673.576000000001</v>
      </c>
    </row>
    <row r="46" spans="11:16" x14ac:dyDescent="0.25">
      <c r="M46" s="8" t="s">
        <v>94</v>
      </c>
      <c r="N46" s="8">
        <f>Table1[[#Totals],[FM Cost]]+J30</f>
        <v>4909.9519680000003</v>
      </c>
      <c r="O46" s="8">
        <f>Table1[[#Totals],[FM Cost]]+$J$20+N28+N29+Table1[[#Totals],[FM Penalty Business]]</f>
        <v>6042.0477811485707</v>
      </c>
      <c r="P46" s="8">
        <f>Table1[[#Totals],[FM Cost]]+$J$20+O28+O29+Table1[[#Totals],[FM Penalty ITS]]</f>
        <v>6047.3505292740101</v>
      </c>
    </row>
    <row r="47" spans="11:16" x14ac:dyDescent="0.25">
      <c r="M47" s="8" t="s">
        <v>95</v>
      </c>
      <c r="N47" s="8">
        <f>0.05*SUM(N44:N46)</f>
        <v>1949.8263984000002</v>
      </c>
      <c r="O47" s="8">
        <f>0.05*SUM(O44:O46)</f>
        <v>2006.4311890574286</v>
      </c>
      <c r="P47" s="8">
        <f>0.05*SUM(P44:P46)</f>
        <v>2006.6963264637006</v>
      </c>
    </row>
    <row r="48" spans="11:16" x14ac:dyDescent="0.25">
      <c r="M48" s="8" t="s">
        <v>96</v>
      </c>
      <c r="N48" s="8">
        <f>0.07*SUM(N44:N46)</f>
        <v>2729.7569577600002</v>
      </c>
      <c r="O48" s="8">
        <f>0.07*SUM(O44:O46)</f>
        <v>2809.0036646804001</v>
      </c>
      <c r="P48" s="8">
        <f>0.07*SUM(P44:P46)</f>
        <v>2809.3748570491807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C1" workbookViewId="0">
      <selection activeCell="J25" sqref="J25"/>
    </sheetView>
  </sheetViews>
  <sheetFormatPr defaultRowHeight="15" x14ac:dyDescent="0.25"/>
  <cols>
    <col min="1" max="1" width="22.140625" customWidth="1"/>
    <col min="2" max="2" width="25.28515625" customWidth="1"/>
    <col min="3" max="3" width="25" customWidth="1"/>
    <col min="4" max="4" width="22.285156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17.7109375" customWidth="1"/>
    <col min="12" max="12" width="21.7109375" customWidth="1"/>
    <col min="13" max="13" width="16.140625" customWidth="1"/>
    <col min="16" max="16" width="14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s="10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t="s">
        <v>3</v>
      </c>
      <c r="B2" s="24" t="s">
        <v>70</v>
      </c>
      <c r="C2">
        <v>16</v>
      </c>
      <c r="D2" s="23">
        <v>5</v>
      </c>
      <c r="E2">
        <v>1</v>
      </c>
      <c r="F2">
        <f>Table4[[#This Row],[Quantity]]*Table4[[#This Row],[Floor Space per component]]</f>
        <v>5</v>
      </c>
      <c r="G2">
        <v>10.6</v>
      </c>
      <c r="H2">
        <f>G2*F2</f>
        <v>53</v>
      </c>
      <c r="I2" s="8">
        <v>0</v>
      </c>
      <c r="J2" s="8">
        <v>4</v>
      </c>
      <c r="K2" s="8">
        <v>256</v>
      </c>
      <c r="L2" s="8">
        <f>12*D2</f>
        <v>60</v>
      </c>
      <c r="M2" s="8">
        <f>Table4[[#This Row],[Energy consumption in W]]*24*365/1000</f>
        <v>525.6</v>
      </c>
      <c r="N2" s="8">
        <f>0.15/50</f>
        <v>3.0000000000000001E-3</v>
      </c>
      <c r="O2" s="8">
        <f>Table4[[#This Row],[Yearly Energy Consumption in kWh]]*Table1[[#This Row],[CU/kWh]]</f>
        <v>1.5768000000000002</v>
      </c>
      <c r="P2" s="8">
        <v>0</v>
      </c>
      <c r="Q2" s="8">
        <v>20</v>
      </c>
      <c r="R2" s="8">
        <f>Table4[[#This Row],[Quantity]]*Table4[[#This Row],[FIT]]*24*365/1000000000</f>
        <v>1.12128E-2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4</v>
      </c>
      <c r="U2" s="8">
        <v>1</v>
      </c>
      <c r="V2" s="8">
        <v>5</v>
      </c>
      <c r="W2" s="8">
        <f>Table4[[#This Row],[Cost per hour]]*Table4[[#This Row],[No. Of technicians]]*Table4[[#This Row],[Total Time to Repair(h)]]*Table4[[#This Row],[Failures per year]]</f>
        <v>0.22425600000000001</v>
      </c>
      <c r="X2" s="8">
        <v>100</v>
      </c>
      <c r="Y2" s="8">
        <v>7.0000000000000007E-2</v>
      </c>
      <c r="Z2" s="8">
        <v>7.0540000000000005E-2</v>
      </c>
      <c r="AA2" s="8">
        <f>Table4[[#This Row],[Percentage of Business Users]]*Table4[[#This Row],[SLA CU per hour]]*Table4[[#This Row],[Failures per year]]*Table4[[#This Row],[Total Time to Repair(h)]]</f>
        <v>0.31395840000000003</v>
      </c>
      <c r="AB2" s="8">
        <f>Table4[[#This Row],[Percentage of ITS and business users]]*Table4[[#This Row],[SLA CU per hour]]*Table4[[#This Row],[Failures per year]]*Table4[[#This Row],[Total Time to Repair(h)]]</f>
        <v>0.31638036480000004</v>
      </c>
    </row>
    <row r="3" spans="1:28" x14ac:dyDescent="0.25">
      <c r="A3" t="s">
        <v>3</v>
      </c>
      <c r="B3" s="24" t="s">
        <v>71</v>
      </c>
      <c r="C3">
        <v>8.8000000000000007</v>
      </c>
      <c r="D3" s="23">
        <v>80</v>
      </c>
      <c r="E3">
        <v>5</v>
      </c>
      <c r="F3" s="8">
        <f>Table4[[#This Row],[Quantity]]*Table4[[#This Row],[Floor Space per component]]</f>
        <v>400</v>
      </c>
      <c r="G3">
        <v>10.6</v>
      </c>
      <c r="H3" s="8">
        <f t="shared" ref="H3:H10" si="0">G3*F3</f>
        <v>4240</v>
      </c>
      <c r="I3" s="8">
        <f>0.5+(1/6*D3)</f>
        <v>13.833333333333332</v>
      </c>
      <c r="J3" s="8">
        <v>4</v>
      </c>
      <c r="K3" s="8">
        <v>50</v>
      </c>
      <c r="L3" s="8">
        <f>5*D3</f>
        <v>400</v>
      </c>
      <c r="M3" s="8">
        <f>Table4[[#This Row],[Energy consumption in W]]*24*365/1000</f>
        <v>3504</v>
      </c>
      <c r="N3" s="8">
        <f t="shared" ref="N3:N10" si="1">0.15/50</f>
        <v>3.0000000000000001E-3</v>
      </c>
      <c r="O3" s="8">
        <f>Table4[[#This Row],[Yearly Energy Consumption in kWh]]*Table1[[#This Row],[CU/kWh]]</f>
        <v>10.512</v>
      </c>
      <c r="P3" s="8">
        <v>0</v>
      </c>
      <c r="Q3" s="8">
        <v>20</v>
      </c>
      <c r="R3" s="8">
        <f>Table4[[#This Row],[Quantity]]*Table4[[#This Row],[FIT]]*24*365/1000000000</f>
        <v>3.5040000000000002E-2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4</v>
      </c>
      <c r="U3" s="8">
        <v>1</v>
      </c>
      <c r="V3" s="8">
        <v>5</v>
      </c>
      <c r="W3" s="8">
        <f>Table4[[#This Row],[Cost per hour]]*Table4[[#This Row],[No. Of technicians]]*Table4[[#This Row],[Total Time to Repair(h)]]*Table4[[#This Row],[Failures per year]]</f>
        <v>0.70080000000000009</v>
      </c>
      <c r="X3" s="8">
        <v>100</v>
      </c>
      <c r="Y3" s="8">
        <v>7.0000000000000007E-2</v>
      </c>
      <c r="Z3" s="8">
        <v>7.0540000000000005E-2</v>
      </c>
      <c r="AA3" s="8">
        <f>Table4[[#This Row],[Percentage of Business Users]]*Table4[[#This Row],[SLA CU per hour]]*Table4[[#This Row],[Failures per year]]*Table4[[#This Row],[Total Time to Repair(h)]]</f>
        <v>0.98112000000000021</v>
      </c>
      <c r="AB3" s="8">
        <f>Table4[[#This Row],[Percentage of ITS and business users]]*Table4[[#This Row],[SLA CU per hour]]*Table4[[#This Row],[Failures per year]]*Table4[[#This Row],[Total Time to Repair(h)]]</f>
        <v>0.98868864000000012</v>
      </c>
    </row>
    <row r="4" spans="1:28" x14ac:dyDescent="0.25">
      <c r="A4" t="s">
        <v>3</v>
      </c>
      <c r="B4" s="24" t="s">
        <v>72</v>
      </c>
      <c r="C4">
        <v>63</v>
      </c>
      <c r="D4" s="23">
        <v>80</v>
      </c>
      <c r="E4">
        <v>1</v>
      </c>
      <c r="F4" s="8">
        <f>Table4[[#This Row],[Quantity]]*Table4[[#This Row],[Floor Space per component]]</f>
        <v>80</v>
      </c>
      <c r="G4">
        <v>10.6</v>
      </c>
      <c r="H4" s="8">
        <f t="shared" si="0"/>
        <v>848</v>
      </c>
      <c r="I4" s="8">
        <f t="shared" ref="I4:I10" si="2">0.5+(1/6*D4)</f>
        <v>13.833333333333332</v>
      </c>
      <c r="J4" s="8">
        <v>4</v>
      </c>
      <c r="K4" s="8">
        <v>50</v>
      </c>
      <c r="L4" s="8">
        <f>48*D4</f>
        <v>3840</v>
      </c>
      <c r="M4" s="8">
        <f>Table4[[#This Row],[Energy consumption in W]]*24*365/1000</f>
        <v>33638.400000000001</v>
      </c>
      <c r="N4" s="8">
        <f t="shared" si="1"/>
        <v>3.0000000000000001E-3</v>
      </c>
      <c r="O4" s="8">
        <f>Table4[[#This Row],[Yearly Energy Consumption in kWh]]*Table1[[#This Row],[CU/kWh]]</f>
        <v>100.91520000000001</v>
      </c>
      <c r="P4" s="8">
        <v>0</v>
      </c>
      <c r="Q4" s="8">
        <v>20</v>
      </c>
      <c r="R4" s="8">
        <f>Table4[[#This Row],[Quantity]]*Table4[[#This Row],[FIT]]*24*365/1000000000</f>
        <v>3.5040000000000002E-2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4</v>
      </c>
      <c r="U4" s="8">
        <v>1</v>
      </c>
      <c r="V4" s="8">
        <v>5</v>
      </c>
      <c r="W4" s="8">
        <f>Table4[[#This Row],[Cost per hour]]*Table4[[#This Row],[No. Of technicians]]*Table4[[#This Row],[Total Time to Repair(h)]]*Table4[[#This Row],[Failures per year]]</f>
        <v>0.70080000000000009</v>
      </c>
      <c r="X4" s="8">
        <v>100</v>
      </c>
      <c r="Y4" s="8">
        <v>7.0000000000000007E-2</v>
      </c>
      <c r="Z4" s="8">
        <v>7.0540000000000005E-2</v>
      </c>
      <c r="AA4" s="8">
        <f>Table4[[#This Row],[Percentage of Business Users]]*Table4[[#This Row],[SLA CU per hour]]*Table4[[#This Row],[Failures per year]]*Table4[[#This Row],[Total Time to Repair(h)]]</f>
        <v>0.98112000000000021</v>
      </c>
      <c r="AB4" s="8">
        <f>Table4[[#This Row],[Percentage of ITS and business users]]*Table4[[#This Row],[SLA CU per hour]]*Table4[[#This Row],[Failures per year]]*Table4[[#This Row],[Total Time to Repair(h)]]</f>
        <v>0.98868864000000012</v>
      </c>
    </row>
    <row r="5" spans="1:28" x14ac:dyDescent="0.25">
      <c r="A5" t="s">
        <v>3</v>
      </c>
      <c r="B5" s="24" t="s">
        <v>73</v>
      </c>
      <c r="C5">
        <v>2.2999999999999998</v>
      </c>
      <c r="D5" s="23">
        <v>80</v>
      </c>
      <c r="E5">
        <v>1</v>
      </c>
      <c r="F5" s="8">
        <f>Table4[[#This Row],[Quantity]]*Table4[[#This Row],[Floor Space per component]]</f>
        <v>80</v>
      </c>
      <c r="G5">
        <v>10.6</v>
      </c>
      <c r="H5" s="8">
        <f t="shared" si="0"/>
        <v>848</v>
      </c>
      <c r="I5" s="8">
        <f t="shared" si="2"/>
        <v>13.833333333333332</v>
      </c>
      <c r="J5" s="8">
        <v>4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3.0000000000000001E-3</v>
      </c>
      <c r="O5" s="8">
        <f>Table4[[#This Row],[Yearly Energy Consumption in kWh]]*Table1[[#This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3.5040000000000002E-2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4</v>
      </c>
      <c r="U5" s="8">
        <v>1</v>
      </c>
      <c r="V5" s="8">
        <v>5</v>
      </c>
      <c r="W5" s="8">
        <f>Table4[[#This Row],[Cost per hour]]*Table4[[#This Row],[No. Of technicians]]*Table4[[#This Row],[Total Time to Repair(h)]]*Table4[[#This Row],[Failures per year]]</f>
        <v>0.70080000000000009</v>
      </c>
      <c r="X5" s="8">
        <v>100</v>
      </c>
      <c r="Y5" s="8">
        <v>7.0000000000000007E-2</v>
      </c>
      <c r="Z5" s="8">
        <v>7.0540000000000005E-2</v>
      </c>
      <c r="AA5" s="8">
        <f>Table4[[#This Row],[Percentage of Business Users]]*Table4[[#This Row],[SLA CU per hour]]*Table4[[#This Row],[Failures per year]]*Table4[[#This Row],[Total Time to Repair(h)]]</f>
        <v>0.98112000000000021</v>
      </c>
      <c r="AB5" s="8">
        <f>Table4[[#This Row],[Percentage of ITS and business users]]*Table4[[#This Row],[SLA CU per hour]]*Table4[[#This Row],[Failures per year]]*Table4[[#This Row],[Total Time to Repair(h)]]</f>
        <v>0.98868864000000012</v>
      </c>
    </row>
    <row r="6" spans="1:28" x14ac:dyDescent="0.25">
      <c r="A6" t="s">
        <v>3</v>
      </c>
      <c r="B6" s="24" t="s">
        <v>74</v>
      </c>
      <c r="C6">
        <v>2.2222222222222223E-2</v>
      </c>
      <c r="D6" s="23">
        <v>4500</v>
      </c>
      <c r="E6">
        <v>0</v>
      </c>
      <c r="F6" s="8">
        <f>Table4[[#This Row],[Quantity]]*Table4[[#This Row],[Floor Space per component]]</f>
        <v>0</v>
      </c>
      <c r="G6">
        <v>10.6</v>
      </c>
      <c r="H6" s="8">
        <f t="shared" si="0"/>
        <v>0</v>
      </c>
      <c r="I6" s="8">
        <f t="shared" si="2"/>
        <v>750.5</v>
      </c>
      <c r="J6" s="8">
        <v>6</v>
      </c>
      <c r="K6" s="8">
        <v>0</v>
      </c>
      <c r="L6" s="8">
        <f>1*D6</f>
        <v>4500</v>
      </c>
      <c r="M6" s="8">
        <f>Table4[[#This Row],[Energy consumption in W]]*24*365/1000</f>
        <v>39420</v>
      </c>
      <c r="N6" s="8">
        <f t="shared" si="1"/>
        <v>3.0000000000000001E-3</v>
      </c>
      <c r="O6" s="8">
        <f>Table4[[#This Row],[Yearly Energy Consumption in kWh]]*Table1[[#This Row],[CU/kWh]]</f>
        <v>118.26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6</v>
      </c>
      <c r="U6" s="8">
        <v>1</v>
      </c>
      <c r="V6" s="8">
        <v>5</v>
      </c>
      <c r="W6" s="8">
        <f>Table4[[#This Row],[Cost per hour]]*Table4[[#This Row],[No. Of technicians]]*Table4[[#This Row],[Total Time to Repair(h)]]*Table4[[#This Row],[Failures per year]]</f>
        <v>0</v>
      </c>
      <c r="X6" s="8">
        <v>100</v>
      </c>
      <c r="Y6" s="8">
        <v>7.0000000000000007E-2</v>
      </c>
      <c r="Z6" s="8">
        <v>7.0540000000000005E-2</v>
      </c>
      <c r="AA6" s="8">
        <f>Table4[[#This Row],[Percentage of Business Users]]*Table4[[#This Row],[SLA CU per hour]]*Table4[[#This Row],[Failures per year]]*Table4[[#This Row],[Total Time to Repair(h)]]</f>
        <v>0</v>
      </c>
      <c r="AB6" s="8">
        <f>Table4[[#This Row],[Percentage of ITS and business users]]*Table4[[#This Row],[SLA CU per hour]]*Table4[[#This Row],[Failures per year]]*Table4[[#This Row],[Total Time to Repair(h)]]</f>
        <v>0</v>
      </c>
    </row>
    <row r="7" spans="1:28" x14ac:dyDescent="0.25">
      <c r="A7" t="s">
        <v>3</v>
      </c>
      <c r="B7" s="24" t="s">
        <v>75</v>
      </c>
      <c r="C7">
        <v>400</v>
      </c>
      <c r="D7" s="23">
        <v>1</v>
      </c>
      <c r="E7">
        <v>40</v>
      </c>
      <c r="F7" s="8">
        <f>Table4[[#This Row],[Quantity]]*Table4[[#This Row],[Floor Space per component]]</f>
        <v>40</v>
      </c>
      <c r="G7">
        <v>10.6</v>
      </c>
      <c r="H7" s="8">
        <f t="shared" si="0"/>
        <v>424</v>
      </c>
      <c r="I7" s="8">
        <f t="shared" si="2"/>
        <v>0.66666666666666663</v>
      </c>
      <c r="J7" s="8">
        <v>6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3.0000000000000001E-3</v>
      </c>
      <c r="O7" s="8">
        <f>Table4[[#This Row],[Yearly Energy Consumption in kWh]]*Table1[[#This Row],[CU/kWh]]</f>
        <v>1.3140000000000001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6</v>
      </c>
      <c r="U7" s="8">
        <v>1</v>
      </c>
      <c r="V7" s="8">
        <v>5</v>
      </c>
      <c r="W7" s="8">
        <f>Table4[[#This Row],[Cost per hour]]*Table4[[#This Row],[No. Of technicians]]*Table4[[#This Row],[Total Time to Repair(h)]]*Table4[[#This Row],[Failures per year]]</f>
        <v>0</v>
      </c>
      <c r="X7" s="8">
        <v>100</v>
      </c>
      <c r="Y7" s="8">
        <v>7.0000000000000007E-2</v>
      </c>
      <c r="Z7" s="8">
        <v>7.0540000000000005E-2</v>
      </c>
      <c r="AA7" s="8">
        <f>Table4[[#This Row],[Percentage of Business Users]]*Table4[[#This Row],[SLA CU per hour]]*Table4[[#This Row],[Failures per year]]*Table4[[#This Row],[Total Time to Repair(h)]]</f>
        <v>0</v>
      </c>
      <c r="AB7" s="8">
        <f>Table4[[#This Row],[Percentage of ITS and business users]]*Table4[[#This Row],[SLA CU per hour]]*Table4[[#This Row],[Failures per year]]*Table4[[#This Row],[Total Time to Repair(h)]]</f>
        <v>0</v>
      </c>
    </row>
    <row r="8" spans="1:28" x14ac:dyDescent="0.25">
      <c r="A8" t="s">
        <v>8</v>
      </c>
      <c r="B8" s="24" t="s">
        <v>76</v>
      </c>
      <c r="C8">
        <v>24</v>
      </c>
      <c r="D8" s="23">
        <v>80</v>
      </c>
      <c r="E8">
        <v>0</v>
      </c>
      <c r="F8" s="8">
        <f>Table4[[#This Row],[Quantity]]*Table4[[#This Row],[Floor Space per component]]</f>
        <v>0</v>
      </c>
      <c r="G8">
        <v>10.6</v>
      </c>
      <c r="H8" s="8">
        <f t="shared" si="0"/>
        <v>0</v>
      </c>
      <c r="I8" s="8">
        <f t="shared" si="2"/>
        <v>13.833333333333332</v>
      </c>
      <c r="J8" s="8">
        <v>8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3.0000000000000001E-3</v>
      </c>
      <c r="O8" s="8">
        <f>Table4[[#This Row],[Yearly Energy Consumption in kWh]]*Table1[[#This Row],[CU/kWh]]</f>
        <v>0</v>
      </c>
      <c r="P8" s="8">
        <v>1.5</v>
      </c>
      <c r="Q8" s="8">
        <v>20</v>
      </c>
      <c r="R8" s="8">
        <f>Table4[[#This Row],[Quantity]]*Table4[[#This Row],[FIT]]*24*365/1000000000</f>
        <v>0.14016000000000001</v>
      </c>
      <c r="S8" s="8">
        <f>2*Table4[[#This Row],[Mean dist in km from CO]]/Table4[[#This Row],[Avg Travel Speed]]</f>
        <v>0.15</v>
      </c>
      <c r="T8" s="8">
        <f>Table4[[#This Row],[MTTR]]+Table4[[#This Row],[Twice Travel Time]]</f>
        <v>8.15</v>
      </c>
      <c r="U8" s="8">
        <v>1</v>
      </c>
      <c r="V8" s="8">
        <v>5</v>
      </c>
      <c r="W8" s="8">
        <f>Table4[[#This Row],[Cost per hour]]*Table4[[#This Row],[No. Of technicians]]*Table4[[#This Row],[Total Time to Repair(h)]]*Table4[[#This Row],[Failures per year]]</f>
        <v>5.7115200000000002</v>
      </c>
      <c r="X8" s="8">
        <v>100</v>
      </c>
      <c r="Y8" s="8">
        <v>7.0000000000000007E-2</v>
      </c>
      <c r="Z8" s="8">
        <v>7.0540000000000005E-2</v>
      </c>
      <c r="AA8" s="8">
        <f>Table4[[#This Row],[Percentage of Business Users]]*Table4[[#This Row],[SLA CU per hour]]*Table4[[#This Row],[Failures per year]]*Table4[[#This Row],[Total Time to Repair(h)]]</f>
        <v>7.9961280000000023</v>
      </c>
      <c r="AB8" s="8">
        <f>Table4[[#This Row],[Percentage of ITS and business users]]*Table4[[#This Row],[SLA CU per hour]]*Table4[[#This Row],[Failures per year]]*Table4[[#This Row],[Total Time to Repair(h)]]</f>
        <v>8.0578124160000009</v>
      </c>
    </row>
    <row r="9" spans="1:28" x14ac:dyDescent="0.25">
      <c r="A9" t="s">
        <v>13</v>
      </c>
      <c r="B9" s="24" t="s">
        <v>78</v>
      </c>
      <c r="C9">
        <v>1.8</v>
      </c>
      <c r="D9" s="23">
        <v>8000</v>
      </c>
      <c r="E9">
        <v>0</v>
      </c>
      <c r="F9" s="8">
        <f>Table4[[#This Row],[Quantity]]*Table4[[#This Row],[Floor Space per component]]</f>
        <v>0</v>
      </c>
      <c r="G9">
        <v>0</v>
      </c>
      <c r="H9" s="8">
        <f t="shared" si="0"/>
        <v>0</v>
      </c>
      <c r="I9" s="8">
        <f t="shared" si="2"/>
        <v>1333.8333333333333</v>
      </c>
      <c r="J9" s="8">
        <v>8</v>
      </c>
      <c r="K9" s="8">
        <v>50</v>
      </c>
      <c r="L9" s="8">
        <f>50*D9</f>
        <v>400000</v>
      </c>
      <c r="M9" s="8">
        <f>Table4[[#This Row],[Energy consumption in W]]*24*365/1000</f>
        <v>3504000</v>
      </c>
      <c r="N9" s="8">
        <f t="shared" si="1"/>
        <v>3.0000000000000001E-3</v>
      </c>
      <c r="O9" s="8">
        <f>Table4[[#This Row],[Yearly Energy Consumption in kWh]]*Table1[[#This Row],[CU/kWh]]</f>
        <v>10512</v>
      </c>
      <c r="P9" s="8">
        <v>2.25</v>
      </c>
      <c r="Q9" s="8">
        <v>20</v>
      </c>
      <c r="R9" s="8">
        <f>Table4[[#This Row],[Quantity]]*Table4[[#This Row],[FIT]]*24*365/1000000000</f>
        <v>3.504</v>
      </c>
      <c r="S9" s="8">
        <f>2*Table4[[#This Row],[Mean dist in km from CO]]/Table4[[#This Row],[Avg Travel Speed]]</f>
        <v>0.22500000000000001</v>
      </c>
      <c r="T9" s="8">
        <f>Table4[[#This Row],[MTTR]]+Table4[[#This Row],[Twice Travel Time]]</f>
        <v>8.2249999999999996</v>
      </c>
      <c r="U9" s="8">
        <v>1</v>
      </c>
      <c r="V9" s="8">
        <v>5</v>
      </c>
      <c r="W9" s="8">
        <f>Table4[[#This Row],[Cost per hour]]*Table4[[#This Row],[No. Of technicians]]*Table4[[#This Row],[Total Time to Repair(h)]]*Table4[[#This Row],[Failures per year]]</f>
        <v>144.102</v>
      </c>
      <c r="X9" s="8">
        <v>100</v>
      </c>
      <c r="Y9" s="8">
        <v>7.0000000000000007E-2</v>
      </c>
      <c r="Z9" s="8">
        <v>7.0540000000000005E-2</v>
      </c>
      <c r="AA9" s="8">
        <f>Table4[[#This Row],[Percentage of Business Users]]*Table4[[#This Row],[SLA CU per hour]]*Table4[[#This Row],[Failures per year]]*Table4[[#This Row],[Total Time to Repair(h)]]</f>
        <v>201.74280000000002</v>
      </c>
      <c r="AB9" s="8">
        <f>Table4[[#This Row],[Percentage of ITS and business users]]*Table4[[#This Row],[SLA CU per hour]]*Table4[[#This Row],[Failures per year]]*Table4[[#This Row],[Total Time to Repair(h)]]</f>
        <v>203.2991016</v>
      </c>
    </row>
    <row r="10" spans="1:28" x14ac:dyDescent="0.25">
      <c r="A10" t="s">
        <v>13</v>
      </c>
      <c r="B10" s="24" t="s">
        <v>79</v>
      </c>
      <c r="C10">
        <v>1.86</v>
      </c>
      <c r="D10" s="23">
        <v>64000</v>
      </c>
      <c r="E10">
        <v>0</v>
      </c>
      <c r="F10" s="8">
        <f>Table4[[#This Row],[Quantity]]*Table4[[#This Row],[Floor Space per component]]</f>
        <v>0</v>
      </c>
      <c r="G10">
        <v>0</v>
      </c>
      <c r="H10" s="8">
        <f t="shared" si="0"/>
        <v>0</v>
      </c>
      <c r="I10" s="8">
        <f t="shared" si="2"/>
        <v>10667.166666666666</v>
      </c>
      <c r="J10" s="8">
        <v>24</v>
      </c>
      <c r="K10" s="8">
        <v>256</v>
      </c>
      <c r="L10" s="8">
        <v>0</v>
      </c>
      <c r="M10" s="8">
        <f>Table4[[#This Row],[Energy consumption in W]]*24*365/1000</f>
        <v>0</v>
      </c>
      <c r="N10" s="8">
        <f t="shared" si="1"/>
        <v>3.0000000000000001E-3</v>
      </c>
      <c r="O10" s="8">
        <f>Table4[[#This Row],[Yearly Energy Consumption in kWh]]*Table1[[#This Row],[CU/kWh]]</f>
        <v>0</v>
      </c>
      <c r="P10" s="8">
        <v>2.25</v>
      </c>
      <c r="Q10" s="8">
        <v>20</v>
      </c>
      <c r="R10" s="8">
        <f>Table4[[#This Row],[Quantity]]*Table4[[#This Row],[FIT]]*24*365/1000000000</f>
        <v>143.52384000000001</v>
      </c>
      <c r="S10" s="8">
        <f>2*Table4[[#This Row],[Mean dist in km from CO]]/Table4[[#This Row],[Avg Travel Speed]]</f>
        <v>0.22500000000000001</v>
      </c>
      <c r="T10" s="8">
        <f>Table4[[#This Row],[MTTR]]+Table4[[#This Row],[Twice Travel Time]]</f>
        <v>24.225000000000001</v>
      </c>
      <c r="U10" s="8">
        <v>1</v>
      </c>
      <c r="V10" s="8">
        <v>5</v>
      </c>
      <c r="W10" s="8">
        <f>Table4[[#This Row],[Cost per hour]]*Table4[[#This Row],[No. Of technicians]]*Table4[[#This Row],[Total Time to Repair(h)]]*Table4[[#This Row],[Failures per year]]</f>
        <v>17384.325120000001</v>
      </c>
      <c r="X10" s="8">
        <v>100</v>
      </c>
      <c r="Y10" s="8">
        <v>7.0000000000000007E-2</v>
      </c>
      <c r="Z10" s="8">
        <v>7.0540000000000005E-2</v>
      </c>
      <c r="AA10" s="8">
        <f>Table4[[#This Row],[Percentage of Business Users]]*Table4[[#This Row],[SLA CU per hour]]*Table4[[#This Row],[Failures per year]]*Table4[[#This Row],[Total Time to Repair(h)]]</f>
        <v>24338.055168000006</v>
      </c>
      <c r="AB10" s="8">
        <f>Table4[[#This Row],[Percentage of ITS and business users]]*Table4[[#This Row],[SLA CU per hour]]*Table4[[#This Row],[Failures per year]]*Table4[[#This Row],[Total Time to Repair(h)]]</f>
        <v>24525.805879296004</v>
      </c>
    </row>
    <row r="11" spans="1:28" x14ac:dyDescent="0.25">
      <c r="H11">
        <f>SUBTOTAL(109,Table4[Total Rent cost per year])</f>
        <v>6413</v>
      </c>
      <c r="O11">
        <f>SUBTOTAL(109,Table4[Energy Cost per year in CU])</f>
        <v>10744.578</v>
      </c>
      <c r="W11">
        <f>SUM(Table4[FM Cost])</f>
        <v>17536.465296000002</v>
      </c>
      <c r="AA11">
        <f>SUBTOTAL(109,Table4[FM Penalty Business])</f>
        <v>24551.051414400004</v>
      </c>
      <c r="AB11">
        <f>SUBTOTAL(109,Table4[FM Penalty ITS])</f>
        <v>24740.445239596804</v>
      </c>
    </row>
    <row r="13" spans="1:28" x14ac:dyDescent="0.25">
      <c r="Q13" t="s">
        <v>69</v>
      </c>
    </row>
    <row r="14" spans="1:28" x14ac:dyDescent="0.25">
      <c r="Q14">
        <f>Table4[[#Totals],[Total Rent cost per year]]+Table4[[#Totals],[Energy Cost per year in CU]]+Table4[[#Totals],[FM Cost]]+J18</f>
        <v>35504.248073628572</v>
      </c>
    </row>
    <row r="15" spans="1:28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K15" s="8" t="s">
        <v>111</v>
      </c>
      <c r="L15" s="8" t="s">
        <v>117</v>
      </c>
      <c r="M15" s="8" t="s">
        <v>118</v>
      </c>
      <c r="N15" s="8" t="s">
        <v>119</v>
      </c>
      <c r="O15" s="8" t="s">
        <v>120</v>
      </c>
    </row>
    <row r="16" spans="1:28" x14ac:dyDescent="0.25">
      <c r="A16" s="8" t="s">
        <v>41</v>
      </c>
      <c r="B16" s="9">
        <f>72320.0059456714/1000</f>
        <v>72.320005945671397</v>
      </c>
      <c r="C16" s="8">
        <f>570*B16</f>
        <v>41222.403389032697</v>
      </c>
      <c r="D16" s="8">
        <v>24</v>
      </c>
      <c r="E16" s="8">
        <v>1</v>
      </c>
      <c r="F16" s="8">
        <v>5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43.694098696239095</v>
      </c>
      <c r="K16" s="8">
        <v>100</v>
      </c>
      <c r="L16" s="8">
        <v>7.0000000000000007E-2</v>
      </c>
      <c r="M16" s="8">
        <v>7.0540000000000005E-2</v>
      </c>
      <c r="N16" s="8">
        <f>L16*K16*I16*C16*24*365/1000000000</f>
        <v>61.171738174734742</v>
      </c>
      <c r="O16" s="8">
        <f>M16*K16*I16*C16*24*365/1000000000</f>
        <v>61.643634440654118</v>
      </c>
    </row>
    <row r="17" spans="1:16" x14ac:dyDescent="0.25">
      <c r="A17" s="8" t="s">
        <v>62</v>
      </c>
      <c r="B17" s="9">
        <f>(658286.152663246+20*30000)/1000</f>
        <v>1258.286152663246</v>
      </c>
      <c r="C17" s="8">
        <f>570*B17</f>
        <v>717223.10701805016</v>
      </c>
      <c r="D17" s="8">
        <v>24</v>
      </c>
      <c r="E17" s="8">
        <v>1</v>
      </c>
      <c r="F17" s="8">
        <v>5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766.51067893233062</v>
      </c>
      <c r="K17" s="8">
        <v>100</v>
      </c>
      <c r="L17" s="8">
        <v>7.0000000000000007E-2</v>
      </c>
      <c r="M17" s="8">
        <v>7.0540000000000005E-2</v>
      </c>
      <c r="N17" s="8">
        <f>L17*K17*I17*C17*24*365/1000000000</f>
        <v>1073.1149505052626</v>
      </c>
      <c r="O17" s="8">
        <f>M17*K17*I17*C17*24*365/1000000000</f>
        <v>1081.3932658377321</v>
      </c>
    </row>
    <row r="18" spans="1:16" x14ac:dyDescent="0.25">
      <c r="J18">
        <f>SUM(J16:J17)</f>
        <v>810.20477762856967</v>
      </c>
    </row>
    <row r="20" spans="1:16" x14ac:dyDescent="0.25">
      <c r="M20" s="8" t="s">
        <v>91</v>
      </c>
      <c r="N20" s="8" t="s">
        <v>112</v>
      </c>
      <c r="O20" t="s">
        <v>113</v>
      </c>
      <c r="P20" t="s">
        <v>121</v>
      </c>
    </row>
    <row r="21" spans="1:16" x14ac:dyDescent="0.25">
      <c r="M21" s="8" t="s">
        <v>92</v>
      </c>
      <c r="N21" s="8">
        <f>N30/$J$25</f>
        <v>0.10153578214059532</v>
      </c>
      <c r="O21" s="8">
        <f t="shared" ref="O21:P21" si="3">O30/$J$25</f>
        <v>0.10153578214059532</v>
      </c>
      <c r="P21" s="8">
        <f t="shared" si="3"/>
        <v>0.10153578214059532</v>
      </c>
    </row>
    <row r="22" spans="1:16" x14ac:dyDescent="0.25">
      <c r="M22" s="8" t="s">
        <v>93</v>
      </c>
      <c r="N22" s="8">
        <f t="shared" ref="N22:P25" si="4">N31/$J$25</f>
        <v>0.17011681443951868</v>
      </c>
      <c r="O22" s="8">
        <f t="shared" si="4"/>
        <v>0.17011681443951868</v>
      </c>
      <c r="P22" s="8">
        <f t="shared" si="4"/>
        <v>0.17011681443951868</v>
      </c>
    </row>
    <row r="23" spans="1:16" x14ac:dyDescent="0.25">
      <c r="M23" s="8" t="s">
        <v>94</v>
      </c>
      <c r="N23" s="8">
        <f t="shared" si="4"/>
        <v>0.27765144547181764</v>
      </c>
      <c r="O23" s="8">
        <f t="shared" si="4"/>
        <v>0.67920163330966776</v>
      </c>
      <c r="P23" s="8">
        <f t="shared" si="4"/>
        <v>0.68220783454336509</v>
      </c>
    </row>
    <row r="24" spans="1:16" x14ac:dyDescent="0.25">
      <c r="J24" t="s">
        <v>128</v>
      </c>
      <c r="M24" s="8" t="s">
        <v>95</v>
      </c>
      <c r="N24" s="8">
        <f t="shared" si="4"/>
        <v>2.7465202102596585E-2</v>
      </c>
      <c r="O24" s="8">
        <f t="shared" si="4"/>
        <v>4.754271149448909E-2</v>
      </c>
      <c r="P24" s="8">
        <f t="shared" si="4"/>
        <v>4.7693021556173956E-2</v>
      </c>
    </row>
    <row r="25" spans="1:16" x14ac:dyDescent="0.25">
      <c r="J25" s="8">
        <v>63160</v>
      </c>
      <c r="M25" s="8" t="s">
        <v>96</v>
      </c>
      <c r="N25" s="8">
        <f t="shared" si="4"/>
        <v>3.8451282943635215E-2</v>
      </c>
      <c r="O25" s="8">
        <f t="shared" si="4"/>
        <v>6.6559796092284726E-2</v>
      </c>
      <c r="P25" s="8">
        <f t="shared" si="4"/>
        <v>6.6770230178643544E-2</v>
      </c>
    </row>
    <row r="26" spans="1:16" x14ac:dyDescent="0.25">
      <c r="M26" s="8"/>
      <c r="N26" s="28">
        <f>SUM(N21:N25)</f>
        <v>0.61522052709816344</v>
      </c>
      <c r="O26" s="28">
        <f>SUM(O21:O25)</f>
        <v>1.0649567374765556</v>
      </c>
      <c r="P26" s="28">
        <f>SUM(P21:P25)</f>
        <v>1.0683236828582965</v>
      </c>
    </row>
    <row r="29" spans="1:16" x14ac:dyDescent="0.25">
      <c r="M29" s="8" t="s">
        <v>91</v>
      </c>
      <c r="N29" s="8" t="s">
        <v>112</v>
      </c>
      <c r="O29" s="8" t="s">
        <v>113</v>
      </c>
      <c r="P29" s="8" t="s">
        <v>121</v>
      </c>
    </row>
    <row r="30" spans="1:16" x14ac:dyDescent="0.25">
      <c r="M30" s="8" t="s">
        <v>92</v>
      </c>
      <c r="N30" s="8">
        <f>Table4[[#Totals],[Total Rent cost per year]]</f>
        <v>6413</v>
      </c>
      <c r="O30" s="8">
        <f>Table4[[#Totals],[Total Rent cost per year]]</f>
        <v>6413</v>
      </c>
      <c r="P30" s="8">
        <f>Table4[[#Totals],[Total Rent cost per year]]</f>
        <v>6413</v>
      </c>
    </row>
    <row r="31" spans="1:16" x14ac:dyDescent="0.25">
      <c r="M31" s="8" t="s">
        <v>93</v>
      </c>
      <c r="N31" s="8">
        <f>Table4[[#Totals],[Energy Cost per year in CU]]</f>
        <v>10744.578</v>
      </c>
      <c r="O31" s="8">
        <f>Table4[[#Totals],[Energy Cost per year in CU]]</f>
        <v>10744.578</v>
      </c>
      <c r="P31" s="8">
        <f>Table4[[#Totals],[Energy Cost per year in CU]]</f>
        <v>10744.578</v>
      </c>
    </row>
    <row r="32" spans="1:16" x14ac:dyDescent="0.25">
      <c r="M32" s="8" t="s">
        <v>94</v>
      </c>
      <c r="N32" s="8">
        <f>Table4[[#Totals],[FM Cost]]+J27</f>
        <v>17536.465296000002</v>
      </c>
      <c r="O32" s="8">
        <f>Table4[[#Totals],[FM Cost]]+$J$18+N25+N26+Table4[[#Totals],[FM Penalty Business]]</f>
        <v>42898.375159838615</v>
      </c>
      <c r="P32" s="8">
        <f>Table4[[#Totals],[FM Cost]]+$J$18+O25+O26+Table4[[#Totals],[FM Penalty ITS]]</f>
        <v>43088.246829758937</v>
      </c>
    </row>
    <row r="33" spans="13:16" x14ac:dyDescent="0.25">
      <c r="M33" s="8" t="s">
        <v>95</v>
      </c>
      <c r="N33" s="8">
        <f>0.05*SUM(N30:N32)</f>
        <v>1734.7021648000002</v>
      </c>
      <c r="O33" s="8">
        <f>0.05*SUM(O30:O32)</f>
        <v>3002.7976579919309</v>
      </c>
      <c r="P33" s="8">
        <f>0.05*SUM(P30:P32)</f>
        <v>3012.291241487947</v>
      </c>
    </row>
    <row r="34" spans="13:16" x14ac:dyDescent="0.25">
      <c r="M34" s="8" t="s">
        <v>96</v>
      </c>
      <c r="N34" s="8">
        <f>0.07*SUM(N30:N32)</f>
        <v>2428.5830307200004</v>
      </c>
      <c r="O34" s="8">
        <f>0.07*SUM(O30:O32)</f>
        <v>4203.9167211887034</v>
      </c>
      <c r="P34" s="8">
        <f>0.07*SUM(P30:P32)</f>
        <v>4217.2077380831261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F7" workbookViewId="0">
      <selection activeCell="I36" sqref="I36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21.42578125" style="8" customWidth="1"/>
    <col min="28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8" t="s">
        <v>3</v>
      </c>
      <c r="B2" s="24" t="s">
        <v>58</v>
      </c>
      <c r="C2" s="8">
        <v>80</v>
      </c>
      <c r="D2" s="23">
        <v>240</v>
      </c>
      <c r="E2" s="8">
        <v>5</v>
      </c>
      <c r="F2" s="8">
        <f>Table36[[#This Row],[Floor Space per component]]*Table36[[#This Row],[Quantity]]</f>
        <v>1200</v>
      </c>
      <c r="G2" s="8">
        <v>10.6</v>
      </c>
      <c r="H2" s="8">
        <f>Table36[[#This Row],[Rent per sqm per year]]*Table36[[#This Row],[Total Floor Space]]</f>
        <v>12720</v>
      </c>
      <c r="I2" s="8">
        <f>0.5+(1/6)*Table36[[#This Row],[Quantity]]</f>
        <v>40.5</v>
      </c>
      <c r="J2" s="8">
        <v>2</v>
      </c>
      <c r="K2" s="8">
        <v>256</v>
      </c>
      <c r="L2" s="8">
        <f>100*Table36[[#This Row],[Quantity]]</f>
        <v>24000</v>
      </c>
      <c r="M2" s="8">
        <f>Table36[[#This Row],[Energy consumption in W]]*24*365/1000</f>
        <v>210240</v>
      </c>
      <c r="N2" s="8">
        <f>0.15/50</f>
        <v>3.0000000000000001E-3</v>
      </c>
      <c r="O2" s="8">
        <f>Table36[[#This Row],[Yearly Energy Consumption in kWh]]*Table36[[#This Row],[CU/kWh]]</f>
        <v>630.72</v>
      </c>
      <c r="P2" s="8">
        <v>0</v>
      </c>
      <c r="Q2" s="8">
        <v>20</v>
      </c>
      <c r="R2" s="8">
        <f>Table36[[#This Row],[Quantity]]*(Table36[[#This Row],[FIT]]*24*365)/1000000000</f>
        <v>0.53821439999999998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v>5</v>
      </c>
      <c r="W2" s="8">
        <f>Table36[[#This Row],[Cost per hour]]*Table36[[#This Row],[Total Time to Repair(h)]]*Table36[[#This Row],[Failures per year]]</f>
        <v>5.3821440000000003</v>
      </c>
      <c r="X2" s="8">
        <v>100</v>
      </c>
      <c r="Y2" s="8">
        <v>7.0000000000000007E-2</v>
      </c>
      <c r="Z2" s="8">
        <v>7.0540000000000005E-2</v>
      </c>
      <c r="AA2" s="8">
        <f>Table36[[#This Row],[Percentage of Business Users]]*Table36[[#This Row],[SLA CU per hour]]*Table36[[#This Row],[Failures per year]]*Table36[[#This Row],[Total Time to Repair(h)]]</f>
        <v>7.5350016000000011</v>
      </c>
      <c r="AB2" s="8">
        <f>Table36[[#This Row],[Percentage of ITS and business users]]*Table36[[#This Row],[SLA CU per hour]]*Table36[[#This Row],[Failures per year]]*Table36[[#This Row],[Total Time to Repair(h)]]</f>
        <v>7.5931287552000004</v>
      </c>
    </row>
    <row r="3" spans="1:28" x14ac:dyDescent="0.25">
      <c r="A3" s="8" t="s">
        <v>3</v>
      </c>
      <c r="B3" s="24" t="s">
        <v>59</v>
      </c>
      <c r="C3" s="8">
        <v>12</v>
      </c>
      <c r="D3" s="23">
        <v>800</v>
      </c>
      <c r="E3" s="8">
        <v>1</v>
      </c>
      <c r="F3" s="8">
        <f>Table36[[#This Row],[Floor Space per component]]*Table36[[#This Row],[Quantity]]</f>
        <v>800</v>
      </c>
      <c r="G3" s="8">
        <v>10.6</v>
      </c>
      <c r="H3" s="8">
        <f>Table36[[#This Row],[Rent per sqm per year]]*Table36[[#This Row],[Total Floor Space]]</f>
        <v>8480</v>
      </c>
      <c r="I3" s="8">
        <v>0</v>
      </c>
      <c r="J3" s="8">
        <v>0</v>
      </c>
      <c r="K3" s="8">
        <v>0</v>
      </c>
      <c r="L3" s="8">
        <f>100*Table36[[#This Row],[Quantity]]</f>
        <v>80000</v>
      </c>
      <c r="M3" s="8">
        <f>Table36[[#This Row],[Energy consumption in W]]*24*365/1000</f>
        <v>700800</v>
      </c>
      <c r="N3" s="8">
        <f t="shared" ref="N3:N10" si="0">0.15/50</f>
        <v>3.0000000000000001E-3</v>
      </c>
      <c r="O3" s="8">
        <f>Table36[[#This Row],[Yearly Energy Consumption in kWh]]*Table36[[#This Row],[CU/kWh]]</f>
        <v>2102.4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v>5</v>
      </c>
      <c r="W3" s="8">
        <f>Table36[[#This Row],[Cost per hour]]*Table36[[#This Row],[Total Time to Repair(h)]]*Table36[[#This Row],[Failures per year]]</f>
        <v>0</v>
      </c>
      <c r="X3" s="8">
        <v>100</v>
      </c>
      <c r="Y3" s="8">
        <v>7.0000000000000007E-2</v>
      </c>
      <c r="Z3" s="8">
        <v>7.0540000000000005E-2</v>
      </c>
      <c r="AA3" s="8">
        <f>Table36[[#This Row],[Percentage of Business Users]]*Table36[[#This Row],[SLA CU per hour]]*Table36[[#This Row],[Failures per year]]*Table36[[#This Row],[Total Time to Repair(h)]]</f>
        <v>0</v>
      </c>
      <c r="AB3" s="8">
        <f>Table36[[#This Row],[Percentage of ITS and business users]]*Table36[[#This Row],[SLA CU per hour]]*Table36[[#This Row],[Failures per year]]*Table36[[#This Row],[Total Time to Repair(h)]]</f>
        <v>0</v>
      </c>
    </row>
    <row r="4" spans="1:28" x14ac:dyDescent="0.25">
      <c r="A4" s="8" t="s">
        <v>3</v>
      </c>
      <c r="B4" s="24" t="s">
        <v>6</v>
      </c>
      <c r="C4" s="8">
        <v>1.1111111E-2</v>
      </c>
      <c r="D4" s="23">
        <v>4500</v>
      </c>
      <c r="E4" s="8">
        <v>0</v>
      </c>
      <c r="F4" s="8">
        <f>Table36[[#This Row],[Floor Space per component]]*Table36[[#This Row],[Quantity]]</f>
        <v>0</v>
      </c>
      <c r="G4" s="8">
        <v>10.6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4500</v>
      </c>
      <c r="M4" s="8">
        <f>Table36[[#This Row],[Energy consumption in W]]*24*365/1000</f>
        <v>39420</v>
      </c>
      <c r="N4" s="8">
        <f t="shared" si="0"/>
        <v>3.0000000000000001E-3</v>
      </c>
      <c r="O4" s="8">
        <f>Table36[[#This Row],[Yearly Energy Consumption in kWh]]*Table36[[#This Row],[CU/kWh]]</f>
        <v>118.26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v>5</v>
      </c>
      <c r="W4" s="8">
        <f>Table36[[#This Row],[Cost per hour]]*Table36[[#This Row],[Total Time to Repair(h)]]*Table36[[#This Row],[Failures per year]]</f>
        <v>0</v>
      </c>
      <c r="X4" s="8">
        <v>100</v>
      </c>
      <c r="Y4" s="8">
        <v>7.0000000000000007E-2</v>
      </c>
      <c r="Z4" s="8">
        <v>7.0540000000000005E-2</v>
      </c>
      <c r="AA4" s="8">
        <f>Table36[[#This Row],[Percentage of Business Users]]*Table36[[#This Row],[SLA CU per hour]]*Table36[[#This Row],[Failures per year]]*Table36[[#This Row],[Total Time to Repair(h)]]</f>
        <v>0</v>
      </c>
      <c r="AB4" s="8">
        <f>Table36[[#This Row],[Percentage of ITS and business users]]*Table36[[#This Row],[SLA CU per hour]]*Table36[[#This Row],[Failures per year]]*Table36[[#This Row],[Total Time to Repair(h)]]</f>
        <v>0</v>
      </c>
    </row>
    <row r="5" spans="1:28" x14ac:dyDescent="0.25">
      <c r="A5" s="8" t="s">
        <v>3</v>
      </c>
      <c r="B5" s="24" t="s">
        <v>7</v>
      </c>
      <c r="C5" s="8">
        <v>200</v>
      </c>
      <c r="D5" s="23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3.0000000000000001E-3</v>
      </c>
      <c r="O5" s="8">
        <f>Table36[[#This Row],[Yearly Energy Consumption in kWh]]*Table36[[#This Row],[CU/kWh]]</f>
        <v>2.6280000000000001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v>5</v>
      </c>
      <c r="W5" s="8">
        <f>Table36[[#This Row],[Cost per hour]]*Table36[[#This Row],[Total Time to Repair(h)]]*Table36[[#This Row],[Failures per year]]</f>
        <v>0</v>
      </c>
      <c r="X5" s="8">
        <v>100</v>
      </c>
      <c r="Y5" s="8">
        <v>7.0000000000000007E-2</v>
      </c>
      <c r="Z5" s="8">
        <v>7.0540000000000005E-2</v>
      </c>
      <c r="AA5" s="8">
        <f>Table36[[#This Row],[Percentage of Business Users]]*Table36[[#This Row],[SLA CU per hour]]*Table36[[#This Row],[Failures per year]]*Table36[[#This Row],[Total Time to Repair(h)]]</f>
        <v>0</v>
      </c>
      <c r="AB5" s="8">
        <f>Table36[[#This Row],[Percentage of ITS and business users]]*Table36[[#This Row],[SLA CU per hour]]*Table36[[#This Row],[Failures per year]]*Table36[[#This Row],[Total Time to Repair(h)]]</f>
        <v>0</v>
      </c>
    </row>
    <row r="6" spans="1:28" x14ac:dyDescent="0.25">
      <c r="A6" s="8" t="s">
        <v>8</v>
      </c>
      <c r="B6" s="24" t="s">
        <v>9</v>
      </c>
      <c r="C6" s="8">
        <v>1.8</v>
      </c>
      <c r="D6" s="23">
        <v>248</v>
      </c>
      <c r="E6" s="8">
        <v>1</v>
      </c>
      <c r="F6" s="8">
        <f>Table36[[#This Row],[Floor Space per component]]*Table36[[#This Row],[Quantity]]</f>
        <v>248</v>
      </c>
      <c r="G6" s="8">
        <v>10.6</v>
      </c>
      <c r="H6" s="8">
        <f>Table36[[#This Row],[Rent per sqm per year]]*Table36[[#This Row],[Total Floor Space]]</f>
        <v>2628.7999999999997</v>
      </c>
      <c r="I6" s="8">
        <f>1/6*(1+Table36[[#This Row],[Quantity]])</f>
        <v>41.5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3.0000000000000001E-3</v>
      </c>
      <c r="O6" s="8">
        <f>Table36[[#This Row],[Yearly Energy Consumption in kWh]]*Table36[[#This Row],[CU/kWh]]</f>
        <v>0</v>
      </c>
      <c r="P6" s="8">
        <v>1.5</v>
      </c>
      <c r="Q6" s="8">
        <v>20</v>
      </c>
      <c r="R6" s="8">
        <f>Table36[[#This Row],[Quantity]]*(Table36[[#This Row],[FIT]]*24*365)/1000000000</f>
        <v>0.108624</v>
      </c>
      <c r="S6" s="8">
        <f>2*Table36[[#This Row],[Mean dist in km from CO]]/Table36[[#This Row],[Avg Travel Speed]]</f>
        <v>0.15</v>
      </c>
      <c r="T6" s="8">
        <f>Table36[[#This Row],[MTTR]]+Table36[[#This Row],[Twice Travel Time]]</f>
        <v>6.15</v>
      </c>
      <c r="U6" s="8">
        <v>1</v>
      </c>
      <c r="V6" s="8">
        <v>5</v>
      </c>
      <c r="W6" s="8">
        <f>Table36[[#This Row],[Cost per hour]]*Table36[[#This Row],[Total Time to Repair(h)]]*Table36[[#This Row],[Failures per year]]</f>
        <v>3.3401879999999999</v>
      </c>
      <c r="X6" s="8">
        <v>100</v>
      </c>
      <c r="Y6" s="8">
        <v>7.0000000000000007E-2</v>
      </c>
      <c r="Z6" s="8">
        <v>7.0540000000000005E-2</v>
      </c>
      <c r="AA6" s="8">
        <f>Table36[[#This Row],[Percentage of Business Users]]*Table36[[#This Row],[SLA CU per hour]]*Table36[[#This Row],[Failures per year]]*Table36[[#This Row],[Total Time to Repair(h)]]</f>
        <v>4.6762632000000002</v>
      </c>
      <c r="AB6" s="8">
        <f>Table36[[#This Row],[Percentage of ITS and business users]]*Table36[[#This Row],[SLA CU per hour]]*Table36[[#This Row],[Failures per year]]*Table36[[#This Row],[Total Time to Repair(h)]]</f>
        <v>4.7123372304000002</v>
      </c>
    </row>
    <row r="7" spans="1:28" x14ac:dyDescent="0.25">
      <c r="A7" s="8" t="s">
        <v>8</v>
      </c>
      <c r="B7" s="24" t="s">
        <v>59</v>
      </c>
      <c r="C7" s="8">
        <v>12</v>
      </c>
      <c r="D7" s="23">
        <v>248</v>
      </c>
      <c r="E7" s="8">
        <v>1</v>
      </c>
      <c r="F7" s="8">
        <f>Table36[[#This Row],[Floor Space per component]]*Table36[[#This Row],[Quantity]]</f>
        <v>248</v>
      </c>
      <c r="G7" s="8">
        <v>10.6</v>
      </c>
      <c r="H7" s="8">
        <f>Table36[[#This Row],[Rent per sqm per year]]*Table36[[#This Row],[Total Floor Space]]</f>
        <v>2628.7999999999997</v>
      </c>
      <c r="I7" s="8">
        <v>0</v>
      </c>
      <c r="J7" s="8">
        <v>0</v>
      </c>
      <c r="K7" s="8">
        <v>0</v>
      </c>
      <c r="L7" s="8">
        <f>4.5*Table36[[#This Row],[Quantity]]</f>
        <v>1116</v>
      </c>
      <c r="M7" s="8">
        <f>Table36[[#This Row],[Energy consumption in W]]*24*365/1000</f>
        <v>9776.16</v>
      </c>
      <c r="N7" s="8">
        <f t="shared" si="0"/>
        <v>3.0000000000000001E-3</v>
      </c>
      <c r="O7" s="8">
        <f>Table36[[#This Row],[Yearly Energy Consumption in kWh]]*Table36[[#This Row],[CU/kWh]]</f>
        <v>29.328479999999999</v>
      </c>
      <c r="P7" s="8">
        <v>1.5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0.15</v>
      </c>
      <c r="T7" s="8">
        <f>Table36[[#This Row],[MTTR]]+Table36[[#This Row],[Twice Travel Time]]</f>
        <v>0.15</v>
      </c>
      <c r="U7" s="8">
        <v>1</v>
      </c>
      <c r="V7" s="8">
        <v>5</v>
      </c>
      <c r="W7" s="8">
        <f>Table36[[#This Row],[Cost per hour]]*Table36[[#This Row],[Total Time to Repair(h)]]*Table36[[#This Row],[Failures per year]]</f>
        <v>0</v>
      </c>
      <c r="X7" s="8">
        <v>100</v>
      </c>
      <c r="Y7" s="8">
        <v>7.0000000000000007E-2</v>
      </c>
      <c r="Z7" s="8">
        <v>7.0540000000000005E-2</v>
      </c>
      <c r="AA7" s="8">
        <f>Table36[[#This Row],[Percentage of Business Users]]*Table36[[#This Row],[SLA CU per hour]]*Table36[[#This Row],[Failures per year]]*Table36[[#This Row],[Total Time to Repair(h)]]</f>
        <v>0</v>
      </c>
      <c r="AB7" s="8">
        <f>Table36[[#This Row],[Percentage of ITS and business users]]*Table36[[#This Row],[SLA CU per hour]]*Table36[[#This Row],[Failures per year]]*Table36[[#This Row],[Total Time to Repair(h)]]</f>
        <v>0</v>
      </c>
    </row>
    <row r="8" spans="1:28" x14ac:dyDescent="0.25">
      <c r="A8" s="8" t="s">
        <v>10</v>
      </c>
      <c r="B8" s="24" t="s">
        <v>9</v>
      </c>
      <c r="C8" s="8">
        <v>1.8</v>
      </c>
      <c r="D8" s="23">
        <v>928</v>
      </c>
      <c r="E8" s="8">
        <v>0.25</v>
      </c>
      <c r="F8" s="8">
        <f>Table36[[#This Row],[Floor Space per component]]*Table36[[#This Row],[Quantity]]</f>
        <v>232</v>
      </c>
      <c r="G8" s="8">
        <v>10.6</v>
      </c>
      <c r="H8" s="8">
        <f>Table36[[#This Row],[Rent per sqm per year]]*Table36[[#This Row],[Total Floor Space]]</f>
        <v>2459.1999999999998</v>
      </c>
      <c r="I8" s="8">
        <f>1/6*(1+Table36[[#This Row],[Quantity]])</f>
        <v>154.83333333333331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3.0000000000000001E-3</v>
      </c>
      <c r="O8" s="8">
        <f>Table36[[#This Row],[Yearly Energy Consumption in kWh]]*Table36[[#This Row],[CU/kWh]]</f>
        <v>0</v>
      </c>
      <c r="P8" s="8">
        <v>2</v>
      </c>
      <c r="Q8" s="8">
        <v>20</v>
      </c>
      <c r="R8" s="8">
        <f>Table36[[#This Row],[Quantity]]*(Table36[[#This Row],[FIT]]*24*365)/1000000000</f>
        <v>0.40646399999999999</v>
      </c>
      <c r="S8" s="8">
        <f>2*Table36[[#This Row],[Mean dist in km from CO]]/Table36[[#This Row],[Avg Travel Speed]]</f>
        <v>0.2</v>
      </c>
      <c r="T8" s="8">
        <f>Table36[[#This Row],[MTTR]]+Table36[[#This Row],[Twice Travel Time]]</f>
        <v>6.2</v>
      </c>
      <c r="U8" s="8">
        <v>1</v>
      </c>
      <c r="V8" s="8">
        <v>5</v>
      </c>
      <c r="W8" s="8">
        <f>Table36[[#This Row],[Cost per hour]]*Table36[[#This Row],[Total Time to Repair(h)]]*Table36[[#This Row],[Failures per year]]</f>
        <v>12.600384</v>
      </c>
      <c r="X8" s="8">
        <v>100</v>
      </c>
      <c r="Y8" s="8">
        <v>7.0000000000000007E-2</v>
      </c>
      <c r="Z8" s="8">
        <v>7.0540000000000005E-2</v>
      </c>
      <c r="AA8" s="8">
        <f>Table36[[#This Row],[Percentage of Business Users]]*Table36[[#This Row],[SLA CU per hour]]*Table36[[#This Row],[Failures per year]]*Table36[[#This Row],[Total Time to Repair(h)]]</f>
        <v>17.640537600000002</v>
      </c>
      <c r="AB8" s="8">
        <f>Table36[[#This Row],[Percentage of ITS and business users]]*Table36[[#This Row],[SLA CU per hour]]*Table36[[#This Row],[Failures per year]]*Table36[[#This Row],[Total Time to Repair(h)]]</f>
        <v>17.7766217472</v>
      </c>
    </row>
    <row r="9" spans="1:28" x14ac:dyDescent="0.25">
      <c r="A9" s="8" t="s">
        <v>13</v>
      </c>
      <c r="B9" s="24" t="s">
        <v>9</v>
      </c>
      <c r="C9" s="8">
        <v>10</v>
      </c>
      <c r="D9" s="23">
        <v>8000</v>
      </c>
      <c r="E9" s="8">
        <v>0</v>
      </c>
      <c r="F9" s="8">
        <f>Table36[[#This Row],[Floor Space per component]]*Table36[[#This Row],[Quantity]]</f>
        <v>0</v>
      </c>
      <c r="G9" s="8">
        <v>4</v>
      </c>
      <c r="H9" s="8">
        <f>Table36[[#This Row],[Rent per sqm per year]]*Table36[[#This Row],[Total Floor Space]]</f>
        <v>0</v>
      </c>
      <c r="I9" s="8">
        <f>(0.5+1/6*8)*Table36[[#This Row],[Quantity]]</f>
        <v>14666.666666666666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3.0000000000000001E-3</v>
      </c>
      <c r="O9" s="8">
        <f>Table36[[#This Row],[Yearly Energy Consumption in kWh]]*Table36[[#This Row],[CU/kWh]]</f>
        <v>0</v>
      </c>
      <c r="P9" s="8">
        <v>2.25</v>
      </c>
      <c r="Q9" s="8">
        <v>20</v>
      </c>
      <c r="R9" s="8">
        <f>Table36[[#This Row],[Quantity]]*(Table36[[#This Row],[FIT]]*24*365)/1000000000</f>
        <v>3.504</v>
      </c>
      <c r="S9" s="8">
        <f>2*Table36[[#This Row],[Mean dist in km from CO]]/Table36[[#This Row],[Avg Travel Speed]]</f>
        <v>0.22500000000000001</v>
      </c>
      <c r="T9" s="8">
        <f>Table36[[#This Row],[MTTR]]+Table36[[#This Row],[Twice Travel Time]]</f>
        <v>6.2249999999999996</v>
      </c>
      <c r="U9" s="8">
        <v>1</v>
      </c>
      <c r="V9" s="8">
        <v>5</v>
      </c>
      <c r="W9" s="8">
        <f>Table36[[#This Row],[Cost per hour]]*Table36[[#This Row],[Total Time to Repair(h)]]*Table36[[#This Row],[Failures per year]]</f>
        <v>109.062</v>
      </c>
      <c r="X9" s="8">
        <v>100</v>
      </c>
      <c r="Y9" s="8">
        <v>7.0000000000000007E-2</v>
      </c>
      <c r="Z9" s="8">
        <v>7.0540000000000005E-2</v>
      </c>
      <c r="AA9" s="8">
        <f>Table36[[#This Row],[Percentage of Business Users]]*Table36[[#This Row],[SLA CU per hour]]*Table36[[#This Row],[Failures per year]]*Table36[[#This Row],[Total Time to Repair(h)]]</f>
        <v>152.68680000000001</v>
      </c>
      <c r="AB9" s="8">
        <f>Table36[[#This Row],[Percentage of ITS and business users]]*Table36[[#This Row],[SLA CU per hour]]*Table36[[#This Row],[Failures per year]]*Table36[[#This Row],[Total Time to Repair(h)]]</f>
        <v>153.86466959999998</v>
      </c>
    </row>
    <row r="10" spans="1:28" x14ac:dyDescent="0.25">
      <c r="A10" s="8" t="s">
        <v>13</v>
      </c>
      <c r="B10" s="24" t="s">
        <v>61</v>
      </c>
      <c r="C10" s="8">
        <v>2.1</v>
      </c>
      <c r="D10" s="23">
        <v>64000</v>
      </c>
      <c r="E10" s="8">
        <v>0</v>
      </c>
      <c r="F10" s="8">
        <f>Table36[[#This Row],[Floor Space per component]]*Table36[[#This Row],[Quantity]]</f>
        <v>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64000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3.0000000000000001E-3</v>
      </c>
      <c r="O10" s="8">
        <f>Table36[[#This Row],[Yearly Energy Consumption in kWh]]*Table36[[#This Row],[CU/kWh]]</f>
        <v>0</v>
      </c>
      <c r="P10" s="8">
        <v>2.25</v>
      </c>
      <c r="Q10" s="8">
        <v>20</v>
      </c>
      <c r="R10" s="8">
        <f>Table36[[#This Row],[Quantity]]*(Table36[[#This Row],[FIT]]*24*365)/1000000000</f>
        <v>143.52384000000001</v>
      </c>
      <c r="S10" s="8">
        <f>2*Table36[[#This Row],[Mean dist in km from CO]]/Table36[[#This Row],[Avg Travel Speed]]</f>
        <v>0.22500000000000001</v>
      </c>
      <c r="T10" s="8">
        <f>Table36[[#This Row],[MTTR]]+Table36[[#This Row],[Twice Travel Time]]</f>
        <v>6.2249999999999996</v>
      </c>
      <c r="U10" s="8">
        <v>1</v>
      </c>
      <c r="V10" s="8">
        <v>5</v>
      </c>
      <c r="W10" s="8">
        <f>Table36[[#This Row],[Cost per hour]]*Table36[[#This Row],[Total Time to Repair(h)]]*Table36[[#This Row],[Failures per year]]</f>
        <v>4467.1795200000006</v>
      </c>
      <c r="X10" s="8">
        <v>100</v>
      </c>
      <c r="Y10" s="8">
        <v>7.0000000000000007E-2</v>
      </c>
      <c r="Z10" s="8">
        <v>7.0540000000000005E-2</v>
      </c>
      <c r="AA10" s="8">
        <f>Table36[[#This Row],[Percentage of Business Users]]*Table36[[#This Row],[SLA CU per hour]]*Table36[[#This Row],[Failures per year]]*Table36[[#This Row],[Total Time to Repair(h)]]</f>
        <v>6254.0513280000014</v>
      </c>
      <c r="AB10" s="8">
        <f>Table36[[#This Row],[Percentage of ITS and business users]]*Table36[[#This Row],[SLA CU per hour]]*Table36[[#This Row],[Failures per year]]*Table36[[#This Row],[Total Time to Repair(h)]]</f>
        <v>6302.2968668160001</v>
      </c>
    </row>
    <row r="11" spans="1:28" x14ac:dyDescent="0.25">
      <c r="H11" s="8">
        <f>SUM(Table36[Total Rent cost per year])</f>
        <v>29128.799999999999</v>
      </c>
      <c r="O11" s="8">
        <f>SUBTOTAL(109,Table36[Energy Cost per year in CU])</f>
        <v>2883.3364800000004</v>
      </c>
      <c r="W11" s="8">
        <f>SUBTOTAL(109,Table36[FM Cost])</f>
        <v>4597.5642360000002</v>
      </c>
      <c r="AA11" s="8">
        <f>SUBTOTAL(109,Table36[FM Penalty Business])</f>
        <v>6436.5899304000013</v>
      </c>
      <c r="AB11" s="8">
        <f>SUBTOTAL(109,Table36[FM Penalty ITS])</f>
        <v>6486.2436241488003</v>
      </c>
    </row>
    <row r="14" spans="1:28" x14ac:dyDescent="0.25">
      <c r="A14" s="8" t="s">
        <v>38</v>
      </c>
      <c r="B14" s="8" t="s">
        <v>63</v>
      </c>
      <c r="C14" s="8" t="s">
        <v>64</v>
      </c>
      <c r="D14" s="8" t="s">
        <v>17</v>
      </c>
      <c r="E14" s="8" t="s">
        <v>65</v>
      </c>
      <c r="F14" s="8" t="s">
        <v>26</v>
      </c>
      <c r="G14" s="8" t="s">
        <v>66</v>
      </c>
      <c r="H14" s="8" t="s">
        <v>67</v>
      </c>
      <c r="I14" s="8" t="s">
        <v>68</v>
      </c>
      <c r="M14" s="8" t="s">
        <v>69</v>
      </c>
    </row>
    <row r="15" spans="1:28" x14ac:dyDescent="0.25">
      <c r="B15" s="9">
        <f>171056.493544313/1000</f>
        <v>171.05649354431301</v>
      </c>
      <c r="C15" s="8">
        <v>570</v>
      </c>
      <c r="E15" s="8">
        <v>20</v>
      </c>
      <c r="M15" s="8">
        <f>Table36[[#Totals],[Total Rent cost per year]]+Table36[[#Totals],[Energy Cost per year in CU]]+Table36[[#Totals],[FM Cost]]+I23</f>
        <v>37363.807888226103</v>
      </c>
    </row>
    <row r="16" spans="1:28" x14ac:dyDescent="0.25">
      <c r="B16" s="9">
        <f>85582.6331149716/1000</f>
        <v>85.5826331149716</v>
      </c>
      <c r="C16" s="8">
        <v>570</v>
      </c>
      <c r="E16" s="8">
        <v>20</v>
      </c>
    </row>
    <row r="17" spans="1:19" x14ac:dyDescent="0.25">
      <c r="B17" s="9">
        <f>(384090.367674523+20*30000)/1000</f>
        <v>984.09036767452301</v>
      </c>
      <c r="C17" s="8">
        <v>570</v>
      </c>
      <c r="E17" s="8">
        <v>20</v>
      </c>
    </row>
    <row r="19" spans="1:19" x14ac:dyDescent="0.2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111</v>
      </c>
      <c r="K19" s="8" t="s">
        <v>117</v>
      </c>
      <c r="L19" s="8" t="s">
        <v>118</v>
      </c>
      <c r="M19" s="8" t="s">
        <v>119</v>
      </c>
      <c r="N19" s="8" t="s">
        <v>120</v>
      </c>
      <c r="O19" s="8" t="s">
        <v>111</v>
      </c>
      <c r="P19" s="8" t="s">
        <v>117</v>
      </c>
      <c r="Q19" s="8" t="s">
        <v>118</v>
      </c>
      <c r="R19" s="8" t="s">
        <v>119</v>
      </c>
      <c r="S19" s="8" t="s">
        <v>120</v>
      </c>
    </row>
    <row r="20" spans="1:19" x14ac:dyDescent="0.25">
      <c r="A20" s="8" t="s">
        <v>41</v>
      </c>
      <c r="B20" s="8">
        <f>C15*B15</f>
        <v>97502.20132025842</v>
      </c>
      <c r="C20" s="15">
        <v>24</v>
      </c>
      <c r="D20" s="8">
        <v>1</v>
      </c>
      <c r="E20" s="8">
        <v>5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102.92137366963838</v>
      </c>
      <c r="J20" s="8">
        <v>100</v>
      </c>
      <c r="K20" s="8">
        <v>7.0000000000000007E-2</v>
      </c>
      <c r="L20" s="8">
        <v>7.0250000000000007E-2</v>
      </c>
      <c r="M20" s="8">
        <f>K20*J20*H20*B20*24*365/1000000000</f>
        <v>144.08992313749377</v>
      </c>
      <c r="N20" s="8">
        <f>L20*J20*H20*B20*24*365/1000000000</f>
        <v>144.60453000584195</v>
      </c>
      <c r="O20" s="8">
        <v>2</v>
      </c>
      <c r="P20" s="8">
        <v>7.0000000000000007E-2</v>
      </c>
      <c r="Q20" s="8">
        <v>7.0250000000000007E-2</v>
      </c>
      <c r="R20" s="8">
        <f>P20*O20*M20*G20*24*365/1000000000</f>
        <v>1.7671188173582237E-5</v>
      </c>
      <c r="S20" s="8">
        <f>Q20*O20*M20*G20*24*365/1000000000</f>
        <v>1.773429955991646E-5</v>
      </c>
    </row>
    <row r="21" spans="1:19" x14ac:dyDescent="0.25">
      <c r="A21" s="8" t="s">
        <v>42</v>
      </c>
      <c r="B21" s="8">
        <f>C16*B16</f>
        <v>48782.100875533812</v>
      </c>
      <c r="C21" s="15">
        <v>24</v>
      </c>
      <c r="D21" s="8">
        <v>1</v>
      </c>
      <c r="E21" s="8">
        <v>5</v>
      </c>
      <c r="F21" s="8">
        <v>2</v>
      </c>
      <c r="G21" s="8">
        <f t="shared" ref="G21:G22" si="1">2*F21/20</f>
        <v>0.2</v>
      </c>
      <c r="H21" s="8">
        <f t="shared" ref="H21:H22" si="2">G21+C21</f>
        <v>24.2</v>
      </c>
      <c r="I21" s="8">
        <f>B21*24*365*E21*FTTB_XGPON_50!H21/1000000000</f>
        <v>51.707075644030809</v>
      </c>
      <c r="J21" s="8">
        <v>100</v>
      </c>
      <c r="K21" s="8">
        <v>7.0000000000000007E-2</v>
      </c>
      <c r="L21" s="8">
        <v>7.0250000000000007E-2</v>
      </c>
      <c r="M21" s="8">
        <f t="shared" ref="M21" si="3">K21*J21*H21*B21*24*365/1000000000</f>
        <v>72.389905901643147</v>
      </c>
      <c r="N21" s="8">
        <f t="shared" ref="N21:N22" si="4">L21*J21*H21*B21*24*365/1000000000</f>
        <v>72.648441279863292</v>
      </c>
      <c r="O21" s="8">
        <v>2</v>
      </c>
      <c r="P21" s="8">
        <v>7.0000000000000007E-2</v>
      </c>
      <c r="Q21" s="8">
        <v>7.0250000000000007E-2</v>
      </c>
      <c r="R21" s="8">
        <f t="shared" ref="R21:R22" si="5">P21*O21*M21*G21*24*365/1000000000</f>
        <v>1.7755796119555031E-5</v>
      </c>
      <c r="S21" s="8">
        <f t="shared" ref="S21:S22" si="6">Q21*O21*M21*G21*24*365/1000000000</f>
        <v>1.7819209677124875E-5</v>
      </c>
    </row>
    <row r="22" spans="1:19" x14ac:dyDescent="0.25">
      <c r="A22" s="8" t="s">
        <v>62</v>
      </c>
      <c r="B22" s="8">
        <f>C17*B17</f>
        <v>560931.50957447814</v>
      </c>
      <c r="C22" s="15">
        <v>24</v>
      </c>
      <c r="D22" s="8">
        <v>2</v>
      </c>
      <c r="E22" s="8">
        <v>5</v>
      </c>
      <c r="F22" s="8">
        <v>4</v>
      </c>
      <c r="G22" s="8">
        <f t="shared" si="1"/>
        <v>0.4</v>
      </c>
      <c r="H22" s="8">
        <f t="shared" si="2"/>
        <v>24.4</v>
      </c>
      <c r="I22" s="8">
        <f>B22*24*365*E22*FTTB_XGPON_50!H22/1000000000</f>
        <v>599.4787229124363</v>
      </c>
      <c r="J22" s="8">
        <v>100</v>
      </c>
      <c r="K22" s="8">
        <v>7.0000000000000007E-2</v>
      </c>
      <c r="L22" s="8">
        <v>7.0250000000000007E-2</v>
      </c>
      <c r="M22" s="8">
        <f>K22*J22*H22*B22*24*365/1000000000</f>
        <v>839.27021207741075</v>
      </c>
      <c r="N22" s="8">
        <f t="shared" si="4"/>
        <v>842.26760569197302</v>
      </c>
      <c r="O22" s="8">
        <v>2</v>
      </c>
      <c r="P22" s="8">
        <v>7.0000000000000007E-2</v>
      </c>
      <c r="Q22" s="8">
        <v>7.0250000000000007E-2</v>
      </c>
      <c r="R22" s="8">
        <f t="shared" si="5"/>
        <v>4.1171239523669472E-4</v>
      </c>
      <c r="S22" s="8">
        <f t="shared" si="6"/>
        <v>4.1318279664825426E-4</v>
      </c>
    </row>
    <row r="23" spans="1:19" x14ac:dyDescent="0.25">
      <c r="I23" s="8">
        <f>SUM(I20:I22)</f>
        <v>754.10717222610549</v>
      </c>
    </row>
    <row r="32" spans="1:19" x14ac:dyDescent="0.25">
      <c r="B32" s="9"/>
      <c r="C32" s="9"/>
      <c r="D32" s="9"/>
    </row>
    <row r="35" spans="9:15" x14ac:dyDescent="0.25">
      <c r="I35" s="8" t="s">
        <v>130</v>
      </c>
      <c r="L35" s="8" t="s">
        <v>91</v>
      </c>
      <c r="M35" s="8" t="s">
        <v>112</v>
      </c>
      <c r="N35" s="8" t="s">
        <v>113</v>
      </c>
      <c r="O35" s="8" t="s">
        <v>121</v>
      </c>
    </row>
    <row r="36" spans="9:15" x14ac:dyDescent="0.25">
      <c r="I36" s="8">
        <v>63160</v>
      </c>
      <c r="L36" s="8" t="s">
        <v>92</v>
      </c>
      <c r="M36" s="8">
        <f>M45/$I$36</f>
        <v>0.46119062697910068</v>
      </c>
      <c r="N36" s="8">
        <f t="shared" ref="N36:O36" si="7">N45/$I$36</f>
        <v>0.46119062697910068</v>
      </c>
      <c r="O36" s="8">
        <f t="shared" si="7"/>
        <v>0.46119062697910068</v>
      </c>
    </row>
    <row r="37" spans="9:15" x14ac:dyDescent="0.25">
      <c r="L37" s="8" t="s">
        <v>93</v>
      </c>
      <c r="M37" s="8">
        <f t="shared" ref="M37:O40" si="8">M46/$I$36</f>
        <v>4.5651305889803678E-2</v>
      </c>
      <c r="N37" s="8">
        <f t="shared" si="8"/>
        <v>4.5651305889803678E-2</v>
      </c>
      <c r="O37" s="8">
        <f t="shared" si="8"/>
        <v>4.5651305889803678E-2</v>
      </c>
    </row>
    <row r="38" spans="9:15" x14ac:dyDescent="0.25">
      <c r="L38" s="8" t="s">
        <v>94</v>
      </c>
      <c r="M38" s="8">
        <f t="shared" si="8"/>
        <v>7.2792340658644719E-2</v>
      </c>
      <c r="N38" s="8">
        <f t="shared" si="8"/>
        <v>0.18664124981991936</v>
      </c>
      <c r="O38" s="8">
        <f t="shared" si="8"/>
        <v>0.18742740709903269</v>
      </c>
    </row>
    <row r="39" spans="9:15" x14ac:dyDescent="0.25">
      <c r="L39" s="8" t="s">
        <v>95</v>
      </c>
      <c r="M39" s="8">
        <f t="shared" si="8"/>
        <v>2.8981713676377457E-2</v>
      </c>
      <c r="N39" s="8">
        <f t="shared" si="8"/>
        <v>3.4674159134441183E-2</v>
      </c>
      <c r="O39" s="8">
        <f t="shared" si="8"/>
        <v>3.4713466998396857E-2</v>
      </c>
    </row>
    <row r="40" spans="9:15" x14ac:dyDescent="0.25">
      <c r="L40" s="8" t="s">
        <v>96</v>
      </c>
      <c r="M40" s="8">
        <f t="shared" si="8"/>
        <v>4.0574399146928439E-2</v>
      </c>
      <c r="N40" s="8">
        <f t="shared" si="8"/>
        <v>4.8543822788217665E-2</v>
      </c>
      <c r="O40" s="8">
        <f t="shared" si="8"/>
        <v>4.8598853797755595E-2</v>
      </c>
    </row>
    <row r="41" spans="9:15" x14ac:dyDescent="0.25">
      <c r="M41" s="28">
        <f>SUM(M36:M40)</f>
        <v>0.64919038635085491</v>
      </c>
      <c r="N41" s="28">
        <f>SUM(N36:N40)</f>
        <v>0.77670116461148253</v>
      </c>
      <c r="O41" s="28">
        <f>SUM(O36:O40)</f>
        <v>0.77758166076408952</v>
      </c>
    </row>
    <row r="44" spans="9:15" x14ac:dyDescent="0.25">
      <c r="L44" s="8" t="s">
        <v>91</v>
      </c>
      <c r="M44" s="8" t="s">
        <v>112</v>
      </c>
      <c r="N44" s="8" t="s">
        <v>113</v>
      </c>
      <c r="O44" s="8" t="s">
        <v>121</v>
      </c>
    </row>
    <row r="45" spans="9:15" x14ac:dyDescent="0.25">
      <c r="L45" s="8" t="s">
        <v>92</v>
      </c>
      <c r="M45" s="8">
        <f>Table36[[#Totals],[Total Rent cost per year]]</f>
        <v>29128.799999999999</v>
      </c>
      <c r="N45" s="8">
        <f>Table36[[#Totals],[Total Rent cost per year]]</f>
        <v>29128.799999999999</v>
      </c>
      <c r="O45" s="8">
        <f>Table36[[#Totals],[Total Rent cost per year]]</f>
        <v>29128.799999999999</v>
      </c>
    </row>
    <row r="46" spans="9:15" x14ac:dyDescent="0.25">
      <c r="L46" s="8" t="s">
        <v>93</v>
      </c>
      <c r="M46" s="8">
        <f>Table36[[#Totals],[Energy Cost per year in CU]]</f>
        <v>2883.3364800000004</v>
      </c>
      <c r="N46" s="8">
        <f>Table36[[#Totals],[Energy Cost per year in CU]]</f>
        <v>2883.3364800000004</v>
      </c>
      <c r="O46" s="8">
        <f>Table36[[#Totals],[Energy Cost per year in CU]]</f>
        <v>2883.3364800000004</v>
      </c>
    </row>
    <row r="47" spans="9:15" x14ac:dyDescent="0.25">
      <c r="L47" s="8" t="s">
        <v>94</v>
      </c>
      <c r="M47" s="8">
        <f>Table36[[#Totals],[FM Cost]]+I32</f>
        <v>4597.5642360000002</v>
      </c>
      <c r="N47" s="8">
        <f>Table36[[#Totals],[FM Cost]]+$I$23+M29+M30+M31+Table36[[#Totals],[FM Penalty Business]]</f>
        <v>11788.261338626107</v>
      </c>
      <c r="O47" s="8">
        <f>Table36[[#Totals],[FM Cost]]+$I$23+N29+N30+N31+Table36[[#Totals],[FM Penalty ITS]]</f>
        <v>11837.915032374905</v>
      </c>
    </row>
    <row r="48" spans="9:15" x14ac:dyDescent="0.25">
      <c r="L48" s="8" t="s">
        <v>95</v>
      </c>
      <c r="M48" s="8">
        <f>0.05*SUM(M45:M47)</f>
        <v>1830.4850358000001</v>
      </c>
      <c r="N48" s="8">
        <f>0.05*SUM(N45:N47)</f>
        <v>2190.0198909313053</v>
      </c>
      <c r="O48" s="8">
        <f>0.05*SUM(O45:O47)</f>
        <v>2192.5025756187456</v>
      </c>
    </row>
    <row r="49" spans="12:15" x14ac:dyDescent="0.25">
      <c r="L49" s="8" t="s">
        <v>96</v>
      </c>
      <c r="M49" s="8">
        <f>0.07*SUM(M45:M47)</f>
        <v>2562.6790501200003</v>
      </c>
      <c r="N49" s="8">
        <f>0.07*SUM(N45:N47)</f>
        <v>3066.0278473038279</v>
      </c>
      <c r="O49" s="8">
        <f>0.07*SUM(O45:O47)</f>
        <v>3069.5036058662436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H1" workbookViewId="0">
      <selection activeCell="M24" sqref="M24"/>
    </sheetView>
  </sheetViews>
  <sheetFormatPr defaultColWidth="8.85546875" defaultRowHeight="15" x14ac:dyDescent="0.25"/>
  <cols>
    <col min="1" max="1" width="23.28515625" style="8" customWidth="1"/>
    <col min="2" max="2" width="19.28515625" style="8" customWidth="1"/>
    <col min="3" max="3" width="21.28515625" style="8" customWidth="1"/>
    <col min="4" max="4" width="10.85546875" style="8" customWidth="1"/>
    <col min="5" max="8" width="18" style="8" customWidth="1"/>
    <col min="9" max="9" width="20.7109375" style="8" customWidth="1"/>
    <col min="10" max="10" width="21" style="8" customWidth="1"/>
    <col min="11" max="11" width="20" style="8" customWidth="1"/>
    <col min="12" max="12" width="17.140625" style="8" customWidth="1"/>
    <col min="13" max="13" width="20.85546875" style="8" customWidth="1"/>
    <col min="14" max="14" width="24.140625" style="8" customWidth="1"/>
    <col min="15" max="15" width="26.42578125" style="8" customWidth="1"/>
    <col min="16" max="16" width="21.140625" style="8" customWidth="1"/>
    <col min="17" max="17" width="14.85546875" style="8" customWidth="1"/>
    <col min="18" max="18" width="23.5703125" style="8" customWidth="1"/>
    <col min="19" max="19" width="19.7109375" style="8" customWidth="1"/>
    <col min="20" max="20" width="7.5703125" style="8" customWidth="1"/>
    <col min="21" max="21" width="8.85546875" style="8"/>
    <col min="22" max="23" width="16.7109375" style="8" customWidth="1"/>
    <col min="24" max="25" width="8.85546875" style="8"/>
    <col min="26" max="26" width="14.42578125" style="8" customWidth="1"/>
    <col min="27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2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8" t="s">
        <v>3</v>
      </c>
      <c r="B2" s="24" t="s">
        <v>80</v>
      </c>
      <c r="C2" s="23">
        <v>80</v>
      </c>
      <c r="D2" s="23">
        <f>50*2</f>
        <v>100</v>
      </c>
      <c r="E2" s="8">
        <v>5</v>
      </c>
      <c r="F2" s="8">
        <f>Table27[[#This Row],[Floor Space per component]]*Table27[[#This Row],[Quantity]]</f>
        <v>500</v>
      </c>
      <c r="G2" s="8">
        <f>530/50</f>
        <v>10.6</v>
      </c>
      <c r="H2" s="2">
        <f>Table27[[#This Row],[Rent per sqm per year]]*Table27[[#This Row],[Total Floor Space]]</f>
        <v>5300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135</v>
      </c>
      <c r="M2" s="8">
        <f>Table27[[#This Row],[Energy consumption in W]]*24*365/1000</f>
        <v>1182.5999999999999</v>
      </c>
      <c r="N2" s="8">
        <f>0.15/50</f>
        <v>3.0000000000000001E-3</v>
      </c>
      <c r="O2" s="2">
        <f>Table27[[#This Row],[Yearly Energy Consumption in kWh]]*Table27[[#This Row],[CU/kWh]]</f>
        <v>3.5477999999999996</v>
      </c>
      <c r="P2" s="8">
        <v>0</v>
      </c>
      <c r="Q2" s="8">
        <v>20</v>
      </c>
      <c r="R2" s="8">
        <f>Table27[[#This Row],[Quantity]]*(Table27[[#This Row],[FIT]]*24*365)/1000000000</f>
        <v>0.22425600000000001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v>5</v>
      </c>
      <c r="W2" s="2">
        <f>Table27[[#This Row],[Cost per hour]]*Table27[[#This Row],[Total Time to Repair(h)]]*Table27[[#This Row],[Failures per year]]</f>
        <v>2.2425600000000001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Table27[[#This Row],[Percentage of Business Users]]*Table27[[#This Row],[SLA CU per hour]]*Table27[[#This Row],[Failures per year]]*Table27[[#This Row],[Total Time to Repair(h)]]</f>
        <v>3.1395840000000006</v>
      </c>
      <c r="AB2" s="8">
        <f>Table27[[#This Row],[Percentage of ITS and business users]]*Table27[[#This Row],[SLA CU per hour]]*Table27[[#This Row],[Failures per year]]*Table27[[#This Row],[Total Time to Repair(h)]]</f>
        <v>3.1638036480000005</v>
      </c>
    </row>
    <row r="3" spans="1:28" x14ac:dyDescent="0.25">
      <c r="A3" s="8" t="s">
        <v>3</v>
      </c>
      <c r="B3" s="24" t="s">
        <v>59</v>
      </c>
      <c r="C3" s="23">
        <v>12</v>
      </c>
      <c r="D3" s="23">
        <f>124*4</f>
        <v>496</v>
      </c>
      <c r="E3" s="8">
        <v>0</v>
      </c>
      <c r="F3" s="8">
        <f>Table27[[#This Row],[Floor Space per component]]*Table27[[#This Row],[Quantity]]</f>
        <v>0</v>
      </c>
      <c r="G3" s="8">
        <v>0</v>
      </c>
      <c r="H3" s="2">
        <f>Table27[[#This Row],[Rent per sqm per year]]*Table27[[#This Row],[Total Floor Space]]</f>
        <v>0</v>
      </c>
      <c r="I3" s="8">
        <v>0</v>
      </c>
      <c r="J3" s="8">
        <v>0</v>
      </c>
      <c r="K3" s="8">
        <v>0</v>
      </c>
      <c r="L3" s="8">
        <f>1.2*Table27[[#This Row],[Quantity]]</f>
        <v>595.19999999999993</v>
      </c>
      <c r="M3" s="8">
        <f>Table27[[#This Row],[Energy consumption in W]]*24*365/1000</f>
        <v>5213.9520000000002</v>
      </c>
      <c r="N3" s="8">
        <f t="shared" ref="N3:N10" si="0">0.15/50</f>
        <v>3.0000000000000001E-3</v>
      </c>
      <c r="O3" s="2">
        <f>Table27[[#This Row],[Yearly Energy Consumption in kWh]]*Table27[[#This Row],[CU/kWh]]</f>
        <v>15.641856000000001</v>
      </c>
      <c r="P3" s="8">
        <v>0</v>
      </c>
      <c r="Q3" s="8">
        <v>20</v>
      </c>
      <c r="R3" s="8">
        <f>Table27[[#This Row],[Quantity]]*(Table27[[#This Row],[FIT]]*24*365)/1000000000</f>
        <v>0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v>5</v>
      </c>
      <c r="W3" s="2">
        <f>Table27[[#This Row],[Cost per hour]]*Table27[[#This Row],[Total Time to Repair(h)]]*Table27[[#This Row],[Failures per year]]</f>
        <v>0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Table27[[#This Row],[Percentage of Business Users]]*Table27[[#This Row],[SLA CU per hour]]*Table27[[#This Row],[Failures per year]]*Table27[[#This Row],[Total Time to Repair(h)]]</f>
        <v>0</v>
      </c>
      <c r="AB3" s="8">
        <f>Table27[[#This Row],[Percentage of ITS and business users]]*Table27[[#This Row],[SLA CU per hour]]*Table27[[#This Row],[Failures per year]]*Table27[[#This Row],[Total Time to Repair(h)]]</f>
        <v>0</v>
      </c>
    </row>
    <row r="4" spans="1:28" x14ac:dyDescent="0.25">
      <c r="A4" s="8" t="s">
        <v>3</v>
      </c>
      <c r="B4" s="24" t="s">
        <v>6</v>
      </c>
      <c r="C4" s="23">
        <f>0.1/9</f>
        <v>1.1111111111111112E-2</v>
      </c>
      <c r="D4" s="23">
        <f>2*620</f>
        <v>1240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0</v>
      </c>
      <c r="J4" s="8">
        <v>0</v>
      </c>
      <c r="K4" s="8">
        <v>0</v>
      </c>
      <c r="L4" s="8">
        <f>0.1*Table27[[#This Row],[Quantity]]</f>
        <v>124</v>
      </c>
      <c r="M4" s="8">
        <f>Table27[[#This Row],[Energy consumption in W]]*24*365/1000</f>
        <v>1086.24</v>
      </c>
      <c r="N4" s="8">
        <f t="shared" si="0"/>
        <v>3.0000000000000001E-3</v>
      </c>
      <c r="O4" s="2">
        <f>Table27[[#This Row],[Yearly Energy Consumption in kWh]]*Table27[[#This Row],[CU/kWh]]</f>
        <v>3.2587200000000003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v>5</v>
      </c>
      <c r="W4" s="2">
        <f>Table27[[#This Row],[Cost per hour]]*Table27[[#This Row],[Total Time to Repair(h)]]*Table27[[#This Row],[Failures per year]]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Table27[[#This Row],[Percentage of Business Users]]*Table27[[#This Row],[SLA CU per hour]]*Table27[[#This Row],[Failures per year]]*Table27[[#This Row],[Total Time to Repair(h)]]</f>
        <v>0</v>
      </c>
      <c r="AB4" s="8">
        <f>Table27[[#This Row],[Percentage of ITS and business users]]*Table27[[#This Row],[SLA CU per hour]]*Table27[[#This Row],[Failures per year]]*Table27[[#This Row],[Total Time to Repair(h)]]</f>
        <v>0</v>
      </c>
    </row>
    <row r="5" spans="1:28" x14ac:dyDescent="0.25">
      <c r="A5" s="8" t="s">
        <v>3</v>
      </c>
      <c r="B5" s="24" t="s">
        <v>7</v>
      </c>
      <c r="C5" s="23">
        <v>200</v>
      </c>
      <c r="D5" s="23">
        <v>1</v>
      </c>
      <c r="E5" s="8">
        <v>20</v>
      </c>
      <c r="F5" s="8">
        <f>Table27[[#This Row],[Floor Space per component]]*Table27[[#This Row],[Quantity]]</f>
        <v>20</v>
      </c>
      <c r="G5" s="8">
        <v>10.6</v>
      </c>
      <c r="H5" s="2">
        <f>Table27[[#This Row],[Rent per sqm per year]]*Table27[[#This Row],[Total Floor Space]]</f>
        <v>212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3.0000000000000001E-3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v>5</v>
      </c>
      <c r="W5" s="2">
        <f>Table27[[#This Row],[Cost per hour]]*Table27[[#This Row],[Total Time to Repair(h)]]*Table27[[#This Row],[Failures per year]]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Table27[[#This Row],[Percentage of Business Users]]*Table27[[#This Row],[SLA CU per hour]]*Table27[[#This Row],[Failures per year]]*Table27[[#This Row],[Total Time to Repair(h)]]</f>
        <v>0</v>
      </c>
      <c r="AB5" s="8">
        <f>Table27[[#This Row],[Percentage of ITS and business users]]*Table27[[#This Row],[SLA CU per hour]]*Table27[[#This Row],[Failures per year]]*Table27[[#This Row],[Total Time to Repair(h)]]</f>
        <v>0</v>
      </c>
    </row>
    <row r="6" spans="1:28" x14ac:dyDescent="0.25">
      <c r="A6" s="8" t="s">
        <v>8</v>
      </c>
      <c r="B6" s="24" t="s">
        <v>9</v>
      </c>
      <c r="C6" s="23">
        <v>1.8</v>
      </c>
      <c r="D6" s="23">
        <f>124*4</f>
        <v>496</v>
      </c>
      <c r="E6" s="8">
        <v>0</v>
      </c>
      <c r="F6" s="8">
        <f>Table27[[#This Row],[Floor Space per component]]*Table27[[#This Row],[Quantity]]</f>
        <v>0</v>
      </c>
      <c r="G6" s="8">
        <v>0</v>
      </c>
      <c r="H6" s="2">
        <f>Table27[[#This Row],[Rent per sqm per year]]*Table27[[#This Row],[Total Floor Space]]</f>
        <v>0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3.0000000000000001E-3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0.52139519999999995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v>5</v>
      </c>
      <c r="W6" s="2">
        <f>Table27[[#This Row],[Cost per hour]]*Table27[[#This Row],[Total Time to Repair(h)]]*Table27[[#This Row],[Failures per year]]</f>
        <v>15.772204799999999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Table27[[#This Row],[Percentage of Business Users]]*Table27[[#This Row],[SLA CU per hour]]*Table27[[#This Row],[Failures per year]]*Table27[[#This Row],[Total Time to Repair(h)]]</f>
        <v>22.081086720000002</v>
      </c>
      <c r="AB6" s="8">
        <f>Table27[[#This Row],[Percentage of ITS and business users]]*Table27[[#This Row],[SLA CU per hour]]*Table27[[#This Row],[Failures per year]]*Table27[[#This Row],[Total Time to Repair(h)]]</f>
        <v>22.251426531839996</v>
      </c>
    </row>
    <row r="7" spans="1:28" x14ac:dyDescent="0.25">
      <c r="A7" s="8" t="s">
        <v>10</v>
      </c>
      <c r="B7" s="24" t="s">
        <v>59</v>
      </c>
      <c r="C7" s="23">
        <v>12</v>
      </c>
      <c r="D7" s="23">
        <f>124*4</f>
        <v>496</v>
      </c>
      <c r="E7" s="8">
        <v>0</v>
      </c>
      <c r="F7" s="8">
        <f>Table27[[#This Row],[Floor Space per component]]*Table27[[#This Row],[Quantity]]</f>
        <v>0</v>
      </c>
      <c r="G7" s="8">
        <v>0</v>
      </c>
      <c r="H7" s="2">
        <f>Table27[[#This Row],[Rent per sqm per year]]*Table27[[#This Row],[Total Floor Space]]</f>
        <v>0</v>
      </c>
      <c r="I7" s="8">
        <v>0</v>
      </c>
      <c r="J7" s="8">
        <v>0</v>
      </c>
      <c r="K7" s="8">
        <v>50</v>
      </c>
      <c r="L7" s="8">
        <f>1.2*Table27[[#This Row],[Quantity]]</f>
        <v>595.19999999999993</v>
      </c>
      <c r="M7" s="8">
        <f>Table27[[#This Row],[Energy consumption in W]]*24*365/1000</f>
        <v>5213.9520000000002</v>
      </c>
      <c r="N7" s="8">
        <f t="shared" si="0"/>
        <v>3.0000000000000001E-3</v>
      </c>
      <c r="O7" s="2">
        <f>Table27[[#This Row],[Yearly Energy Consumption in kWh]]*Table27[[#This Row],[CU/kWh]]</f>
        <v>15.641856000000001</v>
      </c>
      <c r="P7" s="8">
        <v>1.5</v>
      </c>
      <c r="Q7" s="8">
        <v>20</v>
      </c>
      <c r="R7" s="8">
        <f>Table27[[#This Row],[Quantity]]*(Table27[[#This Row],[FIT]]*24*365)/1000000000</f>
        <v>0.217248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v>5</v>
      </c>
      <c r="W7" s="2">
        <f>Table27[[#This Row],[Cost per hour]]*Table27[[#This Row],[Total Time to Repair(h)]]*Table27[[#This Row],[Failures per year]]</f>
        <v>0.162936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Table27[[#This Row],[Percentage of Business Users]]*Table27[[#This Row],[SLA CU per hour]]*Table27[[#This Row],[Failures per year]]*Table27[[#This Row],[Total Time to Repair(h)]]</f>
        <v>0.22811039999999999</v>
      </c>
      <c r="AB7" s="8">
        <f>Table27[[#This Row],[Percentage of ITS and business users]]*Table27[[#This Row],[SLA CU per hour]]*Table27[[#This Row],[Failures per year]]*Table27[[#This Row],[Total Time to Repair(h)]]</f>
        <v>0.2298701088</v>
      </c>
    </row>
    <row r="8" spans="1:28" x14ac:dyDescent="0.25">
      <c r="A8" s="8" t="s">
        <v>10</v>
      </c>
      <c r="B8" s="24" t="s">
        <v>11</v>
      </c>
      <c r="C8" s="23">
        <v>1</v>
      </c>
      <c r="D8" s="23">
        <f>928*4</f>
        <v>3712</v>
      </c>
      <c r="E8" s="8">
        <v>0</v>
      </c>
      <c r="F8" s="8">
        <f>Table27[[#This Row],[Floor Space per component]]*Table27[[#This Row],[Quantity]]</f>
        <v>0</v>
      </c>
      <c r="G8" s="8">
        <v>4</v>
      </c>
      <c r="H8" s="2">
        <f>Table27[[#This Row],[Rent per sqm per year]]*Table27[[#This Row],[Total Floor Space]]</f>
        <v>0</v>
      </c>
      <c r="I8" s="8">
        <v>2488</v>
      </c>
      <c r="J8" s="8">
        <v>6</v>
      </c>
      <c r="K8" s="8">
        <v>256</v>
      </c>
      <c r="L8" s="8">
        <f>4*Table27[[#This Row],[Quantity]]</f>
        <v>14848</v>
      </c>
      <c r="M8" s="8">
        <f>Table27[[#This Row],[Energy consumption in W]]*24*365/1000</f>
        <v>130068.48</v>
      </c>
      <c r="N8" s="8">
        <f t="shared" si="0"/>
        <v>3.0000000000000001E-3</v>
      </c>
      <c r="O8" s="2">
        <f>Table27[[#This Row],[Yearly Energy Consumption in kWh]]*Table27[[#This Row],[CU/kWh]]</f>
        <v>390.20544000000001</v>
      </c>
      <c r="P8" s="8">
        <v>2</v>
      </c>
      <c r="Q8" s="8">
        <v>20</v>
      </c>
      <c r="R8" s="8">
        <f>Table27[[#This Row],[Quantity]]*(Table27[[#This Row],[FIT]]*24*365)/1000000000</f>
        <v>8.3243827199999991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v>5</v>
      </c>
      <c r="W8" s="2">
        <f>Table27[[#This Row],[Cost per hour]]*Table27[[#This Row],[Total Time to Repair(h)]]*Table27[[#This Row],[Failures per year]]</f>
        <v>258.05586431999996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Table27[[#This Row],[Percentage of Business Users]]*Table27[[#This Row],[SLA CU per hour]]*Table27[[#This Row],[Failures per year]]*Table27[[#This Row],[Total Time to Repair(h)]]</f>
        <v>361.27821004800006</v>
      </c>
      <c r="AB8" s="8">
        <f>Table27[[#This Row],[Percentage of ITS and business users]]*Table27[[#This Row],[SLA CU per hour]]*Table27[[#This Row],[Failures per year]]*Table27[[#This Row],[Total Time to Repair(h)]]</f>
        <v>364.065213382656</v>
      </c>
    </row>
    <row r="9" spans="1:28" x14ac:dyDescent="0.25">
      <c r="A9" s="8" t="s">
        <v>10</v>
      </c>
      <c r="B9" s="24" t="s">
        <v>81</v>
      </c>
      <c r="C9" s="23">
        <f>1.2+25</f>
        <v>26.2</v>
      </c>
      <c r="D9" s="23">
        <f>2*928</f>
        <v>1856</v>
      </c>
      <c r="E9" s="8">
        <v>0</v>
      </c>
      <c r="F9" s="8">
        <f>Table27[[#This Row],[Floor Space per component]]*Table27[[#This Row],[Quantity]]</f>
        <v>0</v>
      </c>
      <c r="G9" s="8">
        <v>4</v>
      </c>
      <c r="H9" s="2">
        <f>Table27[[#This Row],[Rent per sqm per year]]*Table27[[#This Row],[Total Floor Space]]</f>
        <v>0</v>
      </c>
      <c r="I9" s="8">
        <v>207.83333333333331</v>
      </c>
      <c r="J9" s="8">
        <v>24</v>
      </c>
      <c r="K9" s="8">
        <v>50</v>
      </c>
      <c r="L9" s="8">
        <f>50*Table27[[#This Row],[Quantity]]</f>
        <v>92800</v>
      </c>
      <c r="M9" s="8">
        <f>Table27[[#This Row],[Energy consumption in W]]*24*365/1000</f>
        <v>812928</v>
      </c>
      <c r="N9" s="8">
        <f t="shared" si="0"/>
        <v>3.0000000000000001E-3</v>
      </c>
      <c r="O9" s="2">
        <f>Table27[[#This Row],[Yearly Energy Consumption in kWh]]*Table27[[#This Row],[CU/kWh]]</f>
        <v>2438.7840000000001</v>
      </c>
      <c r="P9" s="8">
        <v>2</v>
      </c>
      <c r="Q9" s="8">
        <v>20</v>
      </c>
      <c r="R9" s="8">
        <f>Table27[[#This Row],[Quantity]]*(Table27[[#This Row],[FIT]]*24*365)/1000000000</f>
        <v>0.81292799999999998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v>5</v>
      </c>
      <c r="W9" s="2">
        <f>Table27[[#This Row],[Cost per hour]]*Table27[[#This Row],[Total Time to Repair(h)]]*Table27[[#This Row],[Failures per year]]</f>
        <v>98.364288000000002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Table27[[#This Row],[Percentage of Business Users]]*Table27[[#This Row],[SLA CU per hour]]*Table27[[#This Row],[Failures per year]]*Table27[[#This Row],[Total Time to Repair(h)]]</f>
        <v>137.71000320000002</v>
      </c>
      <c r="AB9" s="8">
        <f>Table27[[#This Row],[Percentage of ITS and business users]]*Table27[[#This Row],[SLA CU per hour]]*Table27[[#This Row],[Failures per year]]*Table27[[#This Row],[Total Time to Repair(h)]]</f>
        <v>138.77233751040001</v>
      </c>
    </row>
    <row r="10" spans="1:28" x14ac:dyDescent="0.25">
      <c r="A10" s="8" t="s">
        <v>10</v>
      </c>
      <c r="B10" s="24" t="s">
        <v>82</v>
      </c>
      <c r="C10" s="23">
        <f>10</f>
        <v>10</v>
      </c>
      <c r="D10" s="23">
        <v>7895</v>
      </c>
      <c r="E10" s="8">
        <v>1</v>
      </c>
      <c r="F10" s="8">
        <f>Table27[[#This Row],[Floor Space per component]]*Table27[[#This Row],[Quantity]]</f>
        <v>7895</v>
      </c>
      <c r="G10" s="8">
        <v>2</v>
      </c>
      <c r="H10" s="2">
        <f>Table27[[#This Row],[Rent per sqm per year]]*Table27[[#This Row],[Total Floor Space]]</f>
        <v>15790</v>
      </c>
      <c r="I10" s="8">
        <v>0</v>
      </c>
      <c r="J10" s="8">
        <v>24</v>
      </c>
      <c r="K10" s="8">
        <v>512</v>
      </c>
      <c r="L10" s="8">
        <f>25*Table27[[#This Row],[Quantity]]</f>
        <v>197375</v>
      </c>
      <c r="M10" s="8">
        <f>Table27[[#This Row],[Energy consumption in W]]*24*365/1000</f>
        <v>1729005</v>
      </c>
      <c r="N10" s="8">
        <f t="shared" si="0"/>
        <v>3.0000000000000001E-3</v>
      </c>
      <c r="O10" s="2">
        <f>Table27[[#This Row],[Yearly Energy Consumption in kWh]]*Table27[[#This Row],[CU/kWh]]</f>
        <v>5187.0150000000003</v>
      </c>
      <c r="P10" s="8">
        <v>2</v>
      </c>
      <c r="Q10" s="8">
        <v>20</v>
      </c>
      <c r="R10" s="8">
        <f>Table27[[#This Row],[Quantity]]*(Table27[[#This Row],[FIT]]*24*365)/1000000000</f>
        <v>35.410022400000003</v>
      </c>
      <c r="S10" s="8">
        <f>2*Table27[[#This Row],[Mean dist in km from CO]]/Table27[[#This Row],[Avg Travel Speed]]</f>
        <v>0.2</v>
      </c>
      <c r="T10" s="8">
        <f>Table27[[#This Row],[MTTR]]+Table27[[#This Row],[Twice Travel Time]]</f>
        <v>24.2</v>
      </c>
      <c r="U10" s="8">
        <v>1</v>
      </c>
      <c r="V10" s="8">
        <v>5</v>
      </c>
      <c r="W10" s="2">
        <f>Table27[[#This Row],[Cost per hour]]*Table27[[#This Row],[Total Time to Repair(h)]]*Table27[[#This Row],[Failures per year]]</f>
        <v>4284.6127104000007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Table27[[#This Row],[Percentage of Business Users]]*Table27[[#This Row],[SLA CU per hour]]*Table27[[#This Row],[Failures per year]]*Table27[[#This Row],[Total Time to Repair(h)]]</f>
        <v>5998.4577945600013</v>
      </c>
      <c r="AB10" s="8">
        <f>Table27[[#This Row],[Percentage of ITS and business users]]*Table27[[#This Row],[SLA CU per hour]]*Table27[[#This Row],[Failures per year]]*Table27[[#This Row],[Total Time to Repair(h)]]</f>
        <v>6044.7316118323206</v>
      </c>
    </row>
    <row r="11" spans="1:28" x14ac:dyDescent="0.25">
      <c r="B11" s="30"/>
      <c r="H11" s="27">
        <f>SUM(Table27[Total Rent cost per year])</f>
        <v>21302</v>
      </c>
      <c r="O11" s="27">
        <f>SUM(Table27[Energy Cost per year in CU])</f>
        <v>8054.0946720000011</v>
      </c>
      <c r="W11" s="27">
        <f>SUM(Table27[FM Cost])+L20</f>
        <v>5231.3475204938331</v>
      </c>
      <c r="AA11" s="8">
        <f>SUBTOTAL(109,Table27[FM Penalty Business])</f>
        <v>6522.8947889280016</v>
      </c>
      <c r="AB11" s="8">
        <f>SUBTOTAL(109,Table27[FM Penalty ITS])</f>
        <v>6573.214263014017</v>
      </c>
    </row>
    <row r="14" spans="1:28" x14ac:dyDescent="0.25">
      <c r="A14" s="8" t="s">
        <v>39</v>
      </c>
      <c r="B14" s="8" t="s">
        <v>17</v>
      </c>
      <c r="C14" s="8" t="s">
        <v>16</v>
      </c>
      <c r="D14" s="8" t="s">
        <v>40</v>
      </c>
      <c r="E14" s="8" t="s">
        <v>30</v>
      </c>
      <c r="F14" s="8" t="s">
        <v>44</v>
      </c>
      <c r="G14" s="8" t="s">
        <v>45</v>
      </c>
      <c r="H14" s="8" t="s">
        <v>47</v>
      </c>
      <c r="I14" s="8" t="s">
        <v>46</v>
      </c>
      <c r="J14" s="8" t="s">
        <v>48</v>
      </c>
      <c r="K14" s="8" t="s">
        <v>49</v>
      </c>
      <c r="L14" s="8" t="s">
        <v>50</v>
      </c>
      <c r="M14" s="8" t="s">
        <v>111</v>
      </c>
      <c r="N14" s="8" t="s">
        <v>117</v>
      </c>
      <c r="O14" s="8" t="s">
        <v>118</v>
      </c>
      <c r="P14" s="8" t="s">
        <v>119</v>
      </c>
      <c r="Q14" s="8" t="s">
        <v>120</v>
      </c>
    </row>
    <row r="15" spans="1:28" x14ac:dyDescent="0.25">
      <c r="A15" s="8" t="s">
        <v>41</v>
      </c>
      <c r="B15" s="8">
        <f>570*B29/1000</f>
        <v>97502.201320258406</v>
      </c>
      <c r="C15" s="8">
        <v>24</v>
      </c>
      <c r="D15" s="8">
        <v>1</v>
      </c>
      <c r="E15" s="8">
        <v>5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102.92137366963837</v>
      </c>
      <c r="M15" s="8">
        <v>10</v>
      </c>
      <c r="N15" s="8">
        <v>7.0000000000000007E-2</v>
      </c>
      <c r="O15" s="8">
        <f>0.07+2*0.00027</f>
        <v>7.0540000000000005E-2</v>
      </c>
      <c r="P15" s="8">
        <f>N15*M15*J15*B15*24*365/1000000000</f>
        <v>14.408992313749373</v>
      </c>
      <c r="Q15" s="8">
        <f>O15*M15*J15*B15*24*365/1000000000</f>
        <v>14.520147397312583</v>
      </c>
    </row>
    <row r="16" spans="1:28" x14ac:dyDescent="0.25">
      <c r="A16" s="8" t="s">
        <v>42</v>
      </c>
      <c r="B16" s="8">
        <f>570*C29/1000</f>
        <v>48782.100875533812</v>
      </c>
      <c r="C16" s="8">
        <v>24</v>
      </c>
      <c r="D16" s="8">
        <v>1</v>
      </c>
      <c r="E16" s="8">
        <v>5</v>
      </c>
      <c r="F16" s="8">
        <v>2</v>
      </c>
      <c r="G16" s="8">
        <v>1</v>
      </c>
      <c r="H16" s="8">
        <f t="shared" ref="H16:I17" si="2">F16/20</f>
        <v>0.1</v>
      </c>
      <c r="I16" s="8">
        <f t="shared" si="2"/>
        <v>0.05</v>
      </c>
      <c r="J16" s="8">
        <f t="shared" ref="J16:J17" si="3">C16+2*H16</f>
        <v>24.2</v>
      </c>
      <c r="K16" s="8">
        <f t="shared" ref="K16:K17" si="4">C16+2*I16</f>
        <v>24.1</v>
      </c>
      <c r="L16" s="8">
        <f t="shared" ref="L16:L17" si="5">B16*24*365*J16*E16/1000000000</f>
        <v>51.707075644030809</v>
      </c>
      <c r="M16" s="8">
        <v>10</v>
      </c>
      <c r="N16" s="8">
        <v>7.0000000000000007E-2</v>
      </c>
      <c r="O16" s="8">
        <f t="shared" ref="O16:O17" si="6">0.07+2*0.00027</f>
        <v>7.0540000000000005E-2</v>
      </c>
      <c r="P16" s="8">
        <f t="shared" ref="P16:P17" si="7">N16*M16*J16*B16*24*365/1000000000</f>
        <v>7.238990590164315</v>
      </c>
      <c r="Q16" s="8">
        <f t="shared" ref="Q16:Q17" si="8">O16*M16*J16*B16*24*365/1000000000</f>
        <v>7.294834231859868</v>
      </c>
    </row>
    <row r="17" spans="1:19" x14ac:dyDescent="0.25">
      <c r="A17" s="8" t="s">
        <v>43</v>
      </c>
      <c r="B17" s="8">
        <f>570*D29/1000</f>
        <v>390662.20119410474</v>
      </c>
      <c r="C17" s="8">
        <v>24</v>
      </c>
      <c r="D17" s="8">
        <v>1</v>
      </c>
      <c r="E17" s="8">
        <v>5</v>
      </c>
      <c r="F17" s="8">
        <v>4</v>
      </c>
      <c r="G17" s="8">
        <v>1.5</v>
      </c>
      <c r="H17" s="8">
        <f t="shared" si="2"/>
        <v>0.2</v>
      </c>
      <c r="I17" s="8">
        <f t="shared" si="2"/>
        <v>7.4999999999999997E-2</v>
      </c>
      <c r="J17" s="8">
        <f t="shared" si="3"/>
        <v>24.4</v>
      </c>
      <c r="K17" s="8">
        <f t="shared" si="4"/>
        <v>24.15</v>
      </c>
      <c r="L17" s="8">
        <f t="shared" si="5"/>
        <v>417.50850766016356</v>
      </c>
      <c r="M17" s="8">
        <v>10</v>
      </c>
      <c r="N17" s="8">
        <v>7.0000000000000007E-2</v>
      </c>
      <c r="O17" s="8">
        <f t="shared" si="6"/>
        <v>7.0540000000000005E-2</v>
      </c>
      <c r="P17" s="8">
        <f t="shared" si="7"/>
        <v>58.451191072422915</v>
      </c>
      <c r="Q17" s="8">
        <f t="shared" si="8"/>
        <v>58.902100260695875</v>
      </c>
    </row>
    <row r="20" spans="1:19" x14ac:dyDescent="0.25">
      <c r="K20" s="8" t="s">
        <v>51</v>
      </c>
      <c r="L20" s="8">
        <f>SUM(L15:L17)</f>
        <v>572.13695697383275</v>
      </c>
    </row>
    <row r="22" spans="1:19" x14ac:dyDescent="0.25">
      <c r="O22" s="8" t="s">
        <v>91</v>
      </c>
    </row>
    <row r="23" spans="1:19" x14ac:dyDescent="0.25">
      <c r="M23" s="8" t="s">
        <v>128</v>
      </c>
      <c r="O23" s="8" t="s">
        <v>97</v>
      </c>
      <c r="P23" s="8" t="s">
        <v>112</v>
      </c>
      <c r="Q23" s="8" t="s">
        <v>113</v>
      </c>
      <c r="R23" s="8" t="s">
        <v>121</v>
      </c>
    </row>
    <row r="24" spans="1:19" x14ac:dyDescent="0.25">
      <c r="M24" s="8">
        <v>63160</v>
      </c>
      <c r="O24" s="8" t="s">
        <v>92</v>
      </c>
      <c r="P24" s="8">
        <f>P35/$M$24</f>
        <v>0.33727042431918935</v>
      </c>
      <c r="Q24" s="8">
        <f t="shared" ref="Q24:R24" si="9">Q35/$M$24</f>
        <v>0.33727042431918935</v>
      </c>
      <c r="R24" s="8">
        <f t="shared" si="9"/>
        <v>0.33727042431918935</v>
      </c>
    </row>
    <row r="25" spans="1:19" x14ac:dyDescent="0.25">
      <c r="O25" s="8" t="s">
        <v>93</v>
      </c>
      <c r="P25" s="8">
        <f t="shared" ref="P25:R28" si="10">P36/$M$24</f>
        <v>0.12751891500949969</v>
      </c>
      <c r="Q25" s="8">
        <f t="shared" si="10"/>
        <v>0.12751891500949969</v>
      </c>
      <c r="R25" s="8">
        <f t="shared" si="10"/>
        <v>0.12751891500949969</v>
      </c>
    </row>
    <row r="26" spans="1:19" x14ac:dyDescent="0.25">
      <c r="O26" s="8" t="s">
        <v>94</v>
      </c>
      <c r="P26" s="8">
        <f t="shared" si="10"/>
        <v>8.2826908177546441E-2</v>
      </c>
      <c r="Q26" s="8">
        <f t="shared" si="10"/>
        <v>0.19516351816424232</v>
      </c>
      <c r="R26" s="8">
        <f t="shared" si="10"/>
        <v>0.1959622086501385</v>
      </c>
    </row>
    <row r="27" spans="1:19" x14ac:dyDescent="0.25">
      <c r="O27" s="8" t="s">
        <v>95</v>
      </c>
      <c r="P27" s="8">
        <f t="shared" si="10"/>
        <v>2.7380812375311776E-2</v>
      </c>
      <c r="Q27" s="8">
        <f t="shared" si="10"/>
        <v>3.2997642874646564E-2</v>
      </c>
      <c r="R27" s="8">
        <f t="shared" si="10"/>
        <v>3.3037577398941378E-2</v>
      </c>
    </row>
    <row r="28" spans="1:19" x14ac:dyDescent="0.25">
      <c r="K28" s="8" t="s">
        <v>52</v>
      </c>
      <c r="O28" s="8" t="s">
        <v>96</v>
      </c>
      <c r="P28" s="8">
        <f t="shared" si="10"/>
        <v>3.8333137325436493E-2</v>
      </c>
      <c r="Q28" s="8">
        <f t="shared" si="10"/>
        <v>4.6196700024505197E-2</v>
      </c>
      <c r="R28" s="8">
        <f t="shared" si="10"/>
        <v>4.6252608358517938E-2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K29" s="8">
        <v>63000</v>
      </c>
      <c r="P29" s="8">
        <f>SUM(Table14[Residential])</f>
        <v>0.61333019720698378</v>
      </c>
      <c r="Q29" s="8">
        <f>SUBTOTAL(109,Table14[Business])</f>
        <v>0.73914720039208315</v>
      </c>
      <c r="R29" s="8">
        <f>SUBTOTAL(109,Table14[Business ITS])</f>
        <v>0.7400417337362869</v>
      </c>
      <c r="S29" s="8">
        <v>11727.88547395296</v>
      </c>
    </row>
    <row r="34" spans="15:18" x14ac:dyDescent="0.25">
      <c r="O34" s="39" t="s">
        <v>97</v>
      </c>
      <c r="P34" s="10" t="s">
        <v>112</v>
      </c>
      <c r="Q34" s="10" t="s">
        <v>113</v>
      </c>
      <c r="R34" s="40" t="s">
        <v>121</v>
      </c>
    </row>
    <row r="35" spans="15:18" x14ac:dyDescent="0.25">
      <c r="O35" s="32" t="s">
        <v>92</v>
      </c>
      <c r="P35" s="33">
        <f>Table27[[#Totals],[Total Rent cost per year]]</f>
        <v>21302</v>
      </c>
      <c r="Q35" s="33">
        <f>Table27[[#Totals],[Total Rent cost per year]]</f>
        <v>21302</v>
      </c>
      <c r="R35" s="12">
        <f>Table27[[#Totals],[Total Rent cost per year]]</f>
        <v>21302</v>
      </c>
    </row>
    <row r="36" spans="15:18" x14ac:dyDescent="0.25">
      <c r="O36" s="34" t="s">
        <v>93</v>
      </c>
      <c r="P36" s="35">
        <f>Table27[[#Totals],[Energy Cost per year in CU]]</f>
        <v>8054.0946720000011</v>
      </c>
      <c r="Q36" s="35">
        <f>Table27[[#Totals],[Energy Cost per year in CU]]</f>
        <v>8054.0946720000011</v>
      </c>
      <c r="R36" s="13">
        <f>Table27[[#Totals],[Energy Cost per year in CU]]</f>
        <v>8054.0946720000011</v>
      </c>
    </row>
    <row r="37" spans="15:18" x14ac:dyDescent="0.25">
      <c r="O37" s="32" t="s">
        <v>94</v>
      </c>
      <c r="P37" s="33">
        <f>Table27[[#Totals],[FM Cost]]+L31</f>
        <v>5231.3475204938331</v>
      </c>
      <c r="Q37" s="33">
        <f>Table27[[#Totals],[FM Cost]]+$L$20+P26+P27+P28+Table27[[#Totals],[FM Penalty Business]]</f>
        <v>12326.527807253546</v>
      </c>
      <c r="R37" s="12">
        <f>Table27[[#Totals],[FM Cost]]+$L$20+Q26+Q27+Q28+Table27[[#Totals],[FM Penalty ITS]]</f>
        <v>12376.973098342747</v>
      </c>
    </row>
    <row r="38" spans="15:18" x14ac:dyDescent="0.25">
      <c r="O38" s="34" t="s">
        <v>95</v>
      </c>
      <c r="P38" s="35">
        <f>0.05*SUM(P35:P37)</f>
        <v>1729.3721096246918</v>
      </c>
      <c r="Q38" s="35">
        <f>0.05*SUM(Q35:Q37)</f>
        <v>2084.1311239626771</v>
      </c>
      <c r="R38" s="13">
        <f>0.05*SUM(R35:R37)</f>
        <v>2086.6533885171375</v>
      </c>
    </row>
    <row r="39" spans="15:18" x14ac:dyDescent="0.25">
      <c r="O39" s="32" t="s">
        <v>96</v>
      </c>
      <c r="P39" s="33">
        <f>0.07*SUM(P35:P37)</f>
        <v>2421.120953474569</v>
      </c>
      <c r="Q39" s="33">
        <f>0.07*SUM(Q35:Q37)</f>
        <v>2917.7835735477483</v>
      </c>
      <c r="R39" s="12">
        <f>0.07*SUM(R35:R37)</f>
        <v>2921.3147439239929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F1" workbookViewId="0">
      <selection activeCell="I32" sqref="I32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8" t="s">
        <v>3</v>
      </c>
      <c r="B2" s="8" t="s">
        <v>58</v>
      </c>
      <c r="C2" s="23">
        <v>80</v>
      </c>
      <c r="D2" s="23">
        <v>120</v>
      </c>
      <c r="E2" s="8">
        <v>5</v>
      </c>
      <c r="F2" s="8">
        <f>Table38[[#This Row],[Floor Space per component]]*Table38[[#This Row],[Quantity]]</f>
        <v>600</v>
      </c>
      <c r="G2" s="8">
        <v>10.6</v>
      </c>
      <c r="H2" s="8">
        <f>Table38[[#This Row],[Rent per sqm per year]]*Table38[[#This Row],[Total Floor Space]]</f>
        <v>6360</v>
      </c>
      <c r="I2" s="8">
        <f>0.5+(1/6)*Table38[[#This Row],[Quantity]]</f>
        <v>20.5</v>
      </c>
      <c r="J2" s="8">
        <v>2</v>
      </c>
      <c r="K2" s="8">
        <v>256</v>
      </c>
      <c r="L2" s="8">
        <f>100*Table38[[#This Row],[Quantity]]</f>
        <v>12000</v>
      </c>
      <c r="M2" s="8">
        <f>Table38[[#This Row],[Energy consumption in W]]*24*365/1000</f>
        <v>105120</v>
      </c>
      <c r="N2" s="8">
        <f>0.15/50</f>
        <v>3.0000000000000001E-3</v>
      </c>
      <c r="O2" s="8">
        <f>Table38[[#This Row],[Yearly Energy Consumption in kWh]]*Table38[[#This Row],[CU/kWh]]</f>
        <v>315.36</v>
      </c>
      <c r="P2" s="8">
        <v>0</v>
      </c>
      <c r="Q2" s="8">
        <v>20</v>
      </c>
      <c r="R2" s="8">
        <f>Table38[[#This Row],[Quantity]]*(Table38[[#This Row],[FIT]]*24*365)/1000000000</f>
        <v>0.26910719999999999</v>
      </c>
      <c r="S2" s="8">
        <f>2*Table38[[#This Row],[Mean dist in km from CO]]/Table38[[#This Row],[Avg Travel Speed]]</f>
        <v>0</v>
      </c>
      <c r="T2" s="8">
        <f>Table38[[#This Row],[MTTR]]+Table38[[#This Row],[Twice Travel Time]]</f>
        <v>2</v>
      </c>
      <c r="U2" s="8">
        <v>1</v>
      </c>
      <c r="V2" s="8">
        <v>5</v>
      </c>
      <c r="W2" s="8">
        <f>Table38[[#This Row],[Cost per hour]]*Table38[[#This Row],[Total Time to Repair(h)]]*Table38[[#This Row],[Failures per year]]</f>
        <v>2.6910720000000001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Table38[[#This Row],[Percentage of Business Users]]*Table38[[#This Row],[SLA CU per hour]]*Table38[[#This Row],[Failures per year]]*Table38[[#This Row],[Total Time to Repair(h)]]</f>
        <v>3.7675008000000005</v>
      </c>
      <c r="AB2" s="8">
        <f>Table38[[#This Row],[Percentage of ITS and business users]]*Table38[[#This Row],[SLA CU per hour]]*Table38[[#This Row],[Failures per year]]*Table38[[#This Row],[Total Time to Repair(h)]]</f>
        <v>3.7965643776000002</v>
      </c>
    </row>
    <row r="3" spans="1:28" x14ac:dyDescent="0.25">
      <c r="A3" s="8" t="s">
        <v>3</v>
      </c>
      <c r="B3" s="8" t="s">
        <v>59</v>
      </c>
      <c r="C3" s="23">
        <v>12</v>
      </c>
      <c r="D3" s="23">
        <v>400</v>
      </c>
      <c r="E3" s="8">
        <v>0</v>
      </c>
      <c r="F3" s="8">
        <f>Table38[[#This Row],[Floor Space per component]]*Table38[[#This Row],[Quantity]]</f>
        <v>0</v>
      </c>
      <c r="G3" s="8">
        <v>0</v>
      </c>
      <c r="H3" s="8">
        <f>Table38[[#This Row],[Rent per sqm per year]]*Table38[[#This Row],[Total Floor Space]]</f>
        <v>0</v>
      </c>
      <c r="I3" s="8">
        <v>0</v>
      </c>
      <c r="J3" s="8">
        <v>0</v>
      </c>
      <c r="K3" s="8">
        <v>0</v>
      </c>
      <c r="L3" s="8">
        <f>4.5*Table38[[#This Row],[Quantity]]</f>
        <v>1800</v>
      </c>
      <c r="M3" s="8">
        <f>Table38[[#This Row],[Energy consumption in W]]*24*365/1000</f>
        <v>15768</v>
      </c>
      <c r="N3" s="8">
        <f t="shared" ref="N3:N10" si="0">0.15/50</f>
        <v>3.0000000000000001E-3</v>
      </c>
      <c r="O3" s="8">
        <f>Table38[[#This Row],[Yearly Energy Consumption in kWh]]*Table38[[#This Row],[CU/kWh]]</f>
        <v>47.304000000000002</v>
      </c>
      <c r="P3" s="8">
        <v>0</v>
      </c>
      <c r="Q3" s="8">
        <v>20</v>
      </c>
      <c r="R3" s="8">
        <f>Table38[[#This Row],[Quantity]]*(Table38[[#This Row],[FIT]]*24*365)/1000000000</f>
        <v>0</v>
      </c>
      <c r="S3" s="8">
        <f>2*Table38[[#This Row],[Mean dist in km from CO]]/Table38[[#This Row],[Avg Travel Speed]]</f>
        <v>0</v>
      </c>
      <c r="T3" s="8">
        <f>Table38[[#This Row],[MTTR]]+Table38[[#This Row],[Twice Travel Time]]</f>
        <v>0</v>
      </c>
      <c r="U3" s="8">
        <v>1</v>
      </c>
      <c r="V3" s="8">
        <v>5</v>
      </c>
      <c r="W3" s="8">
        <f>Table38[[#This Row],[Cost per hour]]*Table38[[#This Row],[Total Time to Repair(h)]]*Table38[[#This Row],[Failures per year]]</f>
        <v>0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Table38[[#This Row],[Percentage of Business Users]]*Table38[[#This Row],[SLA CU per hour]]*Table38[[#This Row],[Failures per year]]*Table38[[#This Row],[Total Time to Repair(h)]]</f>
        <v>0</v>
      </c>
      <c r="AB3" s="8">
        <f>Table38[[#This Row],[Percentage of ITS and business users]]*Table38[[#This Row],[SLA CU per hour]]*Table38[[#This Row],[Failures per year]]*Table38[[#This Row],[Total Time to Repair(h)]]</f>
        <v>0</v>
      </c>
    </row>
    <row r="4" spans="1:28" x14ac:dyDescent="0.25">
      <c r="A4" s="8" t="s">
        <v>3</v>
      </c>
      <c r="B4" s="8" t="s">
        <v>6</v>
      </c>
      <c r="C4" s="23">
        <f>0.1/9</f>
        <v>1.1111111111111112E-2</v>
      </c>
      <c r="D4" s="23">
        <v>3600</v>
      </c>
      <c r="E4" s="8">
        <v>0</v>
      </c>
      <c r="F4" s="8">
        <f>Table38[[#This Row],[Floor Space per component]]*Table38[[#This Row],[Quantity]]</f>
        <v>0</v>
      </c>
      <c r="G4" s="8">
        <v>0</v>
      </c>
      <c r="H4" s="8">
        <f>Table38[[#This Row],[Rent per sqm per year]]*Table38[[#This Row],[Total Floor Space]]</f>
        <v>0</v>
      </c>
      <c r="I4" s="8">
        <v>0</v>
      </c>
      <c r="J4" s="8">
        <v>0</v>
      </c>
      <c r="K4" s="8">
        <v>0</v>
      </c>
      <c r="L4" s="8">
        <f>1*Table38[[#This Row],[Quantity]]</f>
        <v>3600</v>
      </c>
      <c r="M4" s="8">
        <f>Table38[[#This Row],[Energy consumption in W]]*24*365/1000</f>
        <v>31536</v>
      </c>
      <c r="N4" s="8">
        <f t="shared" si="0"/>
        <v>3.0000000000000001E-3</v>
      </c>
      <c r="O4" s="8">
        <f>Table38[[#This Row],[Yearly Energy Consumption in kWh]]*Table38[[#This Row],[CU/kWh]]</f>
        <v>94.608000000000004</v>
      </c>
      <c r="P4" s="8">
        <v>0</v>
      </c>
      <c r="Q4" s="8">
        <v>20</v>
      </c>
      <c r="R4" s="8">
        <f>Table38[[#This Row],[Quantity]]*(Table38[[#This Row],[FIT]]*24*365)/1000000000</f>
        <v>0</v>
      </c>
      <c r="S4" s="8">
        <f>2*Table38[[#This Row],[Mean dist in km from CO]]/Table38[[#This Row],[Avg Travel Speed]]</f>
        <v>0</v>
      </c>
      <c r="T4" s="8">
        <f>Table38[[#This Row],[MTTR]]+Table38[[#This Row],[Twice Travel Time]]</f>
        <v>0</v>
      </c>
      <c r="U4" s="8">
        <v>1</v>
      </c>
      <c r="V4" s="8">
        <v>5</v>
      </c>
      <c r="W4" s="8">
        <f>Table38[[#This Row],[Cost per hour]]*Table38[[#This Row],[Total Time to Repair(h)]]*Table38[[#This Row],[Failures per year]]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Table38[[#This Row],[Percentage of Business Users]]*Table38[[#This Row],[SLA CU per hour]]*Table38[[#This Row],[Failures per year]]*Table38[[#This Row],[Total Time to Repair(h)]]</f>
        <v>0</v>
      </c>
      <c r="AB4" s="8">
        <f>Table38[[#This Row],[Percentage of ITS and business users]]*Table38[[#This Row],[SLA CU per hour]]*Table38[[#This Row],[Failures per year]]*Table38[[#This Row],[Total Time to Repair(h)]]</f>
        <v>0</v>
      </c>
    </row>
    <row r="5" spans="1:28" x14ac:dyDescent="0.25">
      <c r="A5" s="8" t="s">
        <v>3</v>
      </c>
      <c r="B5" s="8" t="s">
        <v>7</v>
      </c>
      <c r="C5" s="23">
        <v>400</v>
      </c>
      <c r="D5" s="23">
        <v>1</v>
      </c>
      <c r="E5" s="8">
        <v>20</v>
      </c>
      <c r="F5" s="8">
        <f>Table38[[#This Row],[Floor Space per component]]*Table38[[#This Row],[Quantity]]</f>
        <v>20</v>
      </c>
      <c r="G5" s="8">
        <v>10.6</v>
      </c>
      <c r="H5" s="8">
        <f>Table38[[#This Row],[Rent per sqm per year]]*Table38[[#This Row],[Total Floor Space]]</f>
        <v>212</v>
      </c>
      <c r="I5" s="8">
        <v>4</v>
      </c>
      <c r="J5" s="8">
        <v>0</v>
      </c>
      <c r="K5" s="8">
        <v>0</v>
      </c>
      <c r="L5" s="8">
        <f>100*Table38[[#This Row],[Quantity]]</f>
        <v>100</v>
      </c>
      <c r="M5" s="8">
        <f>Table38[[#This Row],[Energy consumption in W]]*24*365/1000</f>
        <v>876</v>
      </c>
      <c r="N5" s="8">
        <f t="shared" si="0"/>
        <v>3.0000000000000001E-3</v>
      </c>
      <c r="O5" s="8">
        <f>Table38[[#This Row],[Yearly Energy Consumption in kWh]]*Table38[[#This Row],[CU/kWh]]</f>
        <v>2.6280000000000001</v>
      </c>
      <c r="P5" s="8">
        <v>0</v>
      </c>
      <c r="Q5" s="8">
        <v>20</v>
      </c>
      <c r="R5" s="8">
        <f>Table38[[#This Row],[Quantity]]*(Table38[[#This Row],[FIT]]*24*365)/1000000000</f>
        <v>0</v>
      </c>
      <c r="S5" s="8">
        <f>2*Table38[[#This Row],[Mean dist in km from CO]]/Table38[[#This Row],[Avg Travel Speed]]</f>
        <v>0</v>
      </c>
      <c r="T5" s="8">
        <f>Table38[[#This Row],[MTTR]]+Table38[[#This Row],[Twice Travel Time]]</f>
        <v>0</v>
      </c>
      <c r="U5" s="8">
        <v>1</v>
      </c>
      <c r="V5" s="8">
        <v>5</v>
      </c>
      <c r="W5" s="8">
        <f>Table38[[#This Row],[Cost per hour]]*Table38[[#This Row],[Total Time to Repair(h)]]*Table38[[#This Row],[Failures per year]]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Table38[[#This Row],[Percentage of Business Users]]*Table38[[#This Row],[SLA CU per hour]]*Table38[[#This Row],[Failures per year]]*Table38[[#This Row],[Total Time to Repair(h)]]</f>
        <v>0</v>
      </c>
      <c r="AB5" s="8">
        <f>Table38[[#This Row],[Percentage of ITS and business users]]*Table38[[#This Row],[SLA CU per hour]]*Table38[[#This Row],[Failures per year]]*Table38[[#This Row],[Total Time to Repair(h)]]</f>
        <v>0</v>
      </c>
    </row>
    <row r="6" spans="1:28" x14ac:dyDescent="0.25">
      <c r="A6" s="8" t="s">
        <v>8</v>
      </c>
      <c r="B6" s="8" t="s">
        <v>9</v>
      </c>
      <c r="C6" s="23">
        <v>1.8</v>
      </c>
      <c r="D6" s="23">
        <v>248</v>
      </c>
      <c r="E6" s="8">
        <v>0</v>
      </c>
      <c r="F6" s="8">
        <f>Table38[[#This Row],[Floor Space per component]]*Table38[[#This Row],[Quantity]]</f>
        <v>0</v>
      </c>
      <c r="G6" s="8">
        <v>0</v>
      </c>
      <c r="H6" s="8">
        <f>Table38[[#This Row],[Rent per sqm per year]]*Table38[[#This Row],[Total Floor Space]]</f>
        <v>0</v>
      </c>
      <c r="I6" s="8">
        <f>1/6*(1+Table38[[#This Row],[Quantity]])</f>
        <v>41.5</v>
      </c>
      <c r="J6" s="8">
        <v>6</v>
      </c>
      <c r="K6" s="8">
        <v>50</v>
      </c>
      <c r="L6" s="8">
        <f>0*Table38[[#This Row],[Quantity]]</f>
        <v>0</v>
      </c>
      <c r="M6" s="8">
        <f>Table38[[#This Row],[Energy consumption in W]]*24*365/1000</f>
        <v>0</v>
      </c>
      <c r="N6" s="8">
        <f t="shared" si="0"/>
        <v>3.0000000000000001E-3</v>
      </c>
      <c r="O6" s="8">
        <f>Table38[[#This Row],[Yearly Energy Consumption in kWh]]*Table38[[#This Row],[CU/kWh]]</f>
        <v>0</v>
      </c>
      <c r="P6" s="8">
        <v>1.5</v>
      </c>
      <c r="Q6" s="8">
        <v>20</v>
      </c>
      <c r="R6" s="8">
        <f>Table38[[#This Row],[Quantity]]*(Table38[[#This Row],[FIT]]*24*365)/1000000000</f>
        <v>0.108624</v>
      </c>
      <c r="S6" s="8">
        <f>2*Table38[[#This Row],[Mean dist in km from CO]]/Table38[[#This Row],[Avg Travel Speed]]</f>
        <v>0.15</v>
      </c>
      <c r="T6" s="8">
        <f>Table38[[#This Row],[MTTR]]+Table38[[#This Row],[Twice Travel Time]]</f>
        <v>6.15</v>
      </c>
      <c r="U6" s="8">
        <v>1</v>
      </c>
      <c r="V6" s="8">
        <v>5</v>
      </c>
      <c r="W6" s="8">
        <f>Table38[[#This Row],[Cost per hour]]*Table38[[#This Row],[Total Time to Repair(h)]]*Table38[[#This Row],[Failures per year]]</f>
        <v>3.3401879999999999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Table38[[#This Row],[Percentage of Business Users]]*Table38[[#This Row],[SLA CU per hour]]*Table38[[#This Row],[Failures per year]]*Table38[[#This Row],[Total Time to Repair(h)]]</f>
        <v>4.6762632000000002</v>
      </c>
      <c r="AB6" s="8">
        <f>Table38[[#This Row],[Percentage of ITS and business users]]*Table38[[#This Row],[SLA CU per hour]]*Table38[[#This Row],[Failures per year]]*Table38[[#This Row],[Total Time to Repair(h)]]</f>
        <v>4.7123372304000002</v>
      </c>
    </row>
    <row r="7" spans="1:28" x14ac:dyDescent="0.25">
      <c r="A7" s="8" t="s">
        <v>8</v>
      </c>
      <c r="B7" s="8" t="s">
        <v>59</v>
      </c>
      <c r="C7" s="23">
        <v>4</v>
      </c>
      <c r="D7" s="23">
        <v>248</v>
      </c>
      <c r="E7" s="8">
        <v>0</v>
      </c>
      <c r="F7" s="8">
        <f>Table38[[#This Row],[Floor Space per component]]*Table38[[#This Row],[Quantity]]</f>
        <v>0</v>
      </c>
      <c r="G7" s="8">
        <v>0</v>
      </c>
      <c r="H7" s="8">
        <f>Table38[[#This Row],[Rent per sqm per year]]*Table38[[#This Row],[Total Floor Space]]</f>
        <v>0</v>
      </c>
      <c r="I7" s="8">
        <v>0</v>
      </c>
      <c r="J7" s="8">
        <v>0</v>
      </c>
      <c r="K7" s="8">
        <v>0</v>
      </c>
      <c r="L7" s="8">
        <f>4.5*Table38[[#This Row],[Quantity]]</f>
        <v>1116</v>
      </c>
      <c r="M7" s="8">
        <f>Table38[[#This Row],[Energy consumption in W]]*24*365/1000</f>
        <v>9776.16</v>
      </c>
      <c r="N7" s="8">
        <f t="shared" si="0"/>
        <v>3.0000000000000001E-3</v>
      </c>
      <c r="O7" s="8">
        <f>Table38[[#This Row],[Yearly Energy Consumption in kWh]]*Table38[[#This Row],[CU/kWh]]</f>
        <v>29.328479999999999</v>
      </c>
      <c r="P7" s="8">
        <v>1.5</v>
      </c>
      <c r="Q7" s="8">
        <v>20</v>
      </c>
      <c r="R7" s="8">
        <f>Table38[[#This Row],[Quantity]]*(Table38[[#This Row],[FIT]]*24*365)/1000000000</f>
        <v>0</v>
      </c>
      <c r="S7" s="8">
        <f>2*Table38[[#This Row],[Mean dist in km from CO]]/Table38[[#This Row],[Avg Travel Speed]]</f>
        <v>0.15</v>
      </c>
      <c r="T7" s="8">
        <f>Table38[[#This Row],[MTTR]]+Table38[[#This Row],[Twice Travel Time]]</f>
        <v>0.15</v>
      </c>
      <c r="U7" s="8">
        <v>1</v>
      </c>
      <c r="V7" s="8">
        <v>5</v>
      </c>
      <c r="W7" s="8">
        <f>Table38[[#This Row],[Cost per hour]]*Table38[[#This Row],[Total Time to Repair(h)]]*Table38[[#This Row],[Failures per year]]</f>
        <v>0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Table38[[#This Row],[Percentage of Business Users]]*Table38[[#This Row],[SLA CU per hour]]*Table38[[#This Row],[Failures per year]]*Table38[[#This Row],[Total Time to Repair(h)]]</f>
        <v>0</v>
      </c>
      <c r="AB7" s="8">
        <f>Table38[[#This Row],[Percentage of ITS and business users]]*Table38[[#This Row],[SLA CU per hour]]*Table38[[#This Row],[Failures per year]]*Table38[[#This Row],[Total Time to Repair(h)]]</f>
        <v>0</v>
      </c>
    </row>
    <row r="8" spans="1:28" x14ac:dyDescent="0.25">
      <c r="A8" s="8" t="s">
        <v>10</v>
      </c>
      <c r="B8" s="8" t="s">
        <v>9</v>
      </c>
      <c r="C8" s="23">
        <v>1.8</v>
      </c>
      <c r="D8" s="23">
        <v>1856</v>
      </c>
      <c r="E8" s="8">
        <v>0</v>
      </c>
      <c r="F8" s="8">
        <f>Table38[[#This Row],[Floor Space per component]]*Table38[[#This Row],[Quantity]]</f>
        <v>0</v>
      </c>
      <c r="G8" s="8">
        <v>0</v>
      </c>
      <c r="H8" s="8">
        <f>Table38[[#This Row],[Rent per sqm per year]]*Table38[[#This Row],[Total Floor Space]]</f>
        <v>0</v>
      </c>
      <c r="I8" s="8">
        <f>1/6*(1+Table38[[#This Row],[Quantity]])</f>
        <v>309.5</v>
      </c>
      <c r="J8" s="8">
        <v>6</v>
      </c>
      <c r="K8" s="8">
        <v>50</v>
      </c>
      <c r="L8" s="8">
        <f>0*Table38[[#This Row],[Quantity]]</f>
        <v>0</v>
      </c>
      <c r="M8" s="8">
        <f>Table38[[#This Row],[Energy consumption in W]]*24*365/1000</f>
        <v>0</v>
      </c>
      <c r="N8" s="8">
        <f t="shared" si="0"/>
        <v>3.0000000000000001E-3</v>
      </c>
      <c r="O8" s="8">
        <f>Table38[[#This Row],[Yearly Energy Consumption in kWh]]*Table38[[#This Row],[CU/kWh]]</f>
        <v>0</v>
      </c>
      <c r="P8" s="8">
        <v>2</v>
      </c>
      <c r="Q8" s="8">
        <v>20</v>
      </c>
      <c r="R8" s="8">
        <f>Table38[[#This Row],[Quantity]]*(Table38[[#This Row],[FIT]]*24*365)/1000000000</f>
        <v>0.81292799999999998</v>
      </c>
      <c r="S8" s="8">
        <f>2*Table38[[#This Row],[Mean dist in km from CO]]/Table38[[#This Row],[Avg Travel Speed]]</f>
        <v>0.2</v>
      </c>
      <c r="T8" s="8">
        <f>Table38[[#This Row],[MTTR]]+Table38[[#This Row],[Twice Travel Time]]</f>
        <v>6.2</v>
      </c>
      <c r="U8" s="8">
        <v>1</v>
      </c>
      <c r="V8" s="8">
        <v>5</v>
      </c>
      <c r="W8" s="8">
        <f>Table38[[#This Row],[Cost per hour]]*Table38[[#This Row],[Total Time to Repair(h)]]*Table38[[#This Row],[Failures per year]]</f>
        <v>25.200768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Table38[[#This Row],[Percentage of Business Users]]*Table38[[#This Row],[SLA CU per hour]]*Table38[[#This Row],[Failures per year]]*Table38[[#This Row],[Total Time to Repair(h)]]</f>
        <v>35.281075200000004</v>
      </c>
      <c r="AB8" s="8">
        <f>Table38[[#This Row],[Percentage of ITS and business users]]*Table38[[#This Row],[SLA CU per hour]]*Table38[[#This Row],[Failures per year]]*Table38[[#This Row],[Total Time to Repair(h)]]</f>
        <v>35.5532434944</v>
      </c>
    </row>
    <row r="9" spans="1:28" x14ac:dyDescent="0.25">
      <c r="A9" s="8" t="s">
        <v>13</v>
      </c>
      <c r="B9" s="8" t="s">
        <v>60</v>
      </c>
      <c r="C9" s="23">
        <f>10</f>
        <v>10</v>
      </c>
      <c r="D9" s="23">
        <v>16000</v>
      </c>
      <c r="E9" s="8">
        <v>1</v>
      </c>
      <c r="F9" s="8">
        <f>Table38[[#This Row],[Floor Space per component]]*Table38[[#This Row],[Quantity]]</f>
        <v>16000</v>
      </c>
      <c r="G9" s="8">
        <v>2</v>
      </c>
      <c r="H9" s="8">
        <f>Table38[[#This Row],[Rent per sqm per year]]*Table38[[#This Row],[Total Floor Space]]</f>
        <v>32000</v>
      </c>
      <c r="I9" s="8">
        <f>(0.5+1/6*8)*Table38[[#This Row],[Quantity]]</f>
        <v>29333.333333333332</v>
      </c>
      <c r="J9" s="8">
        <v>24</v>
      </c>
      <c r="K9" s="8">
        <v>512</v>
      </c>
      <c r="L9" s="8">
        <f>50*Table38[[#This Row],[Quantity]]</f>
        <v>800000</v>
      </c>
      <c r="M9" s="8">
        <f>Table38[[#This Row],[Energy consumption in W]]*24*365/1000</f>
        <v>7008000</v>
      </c>
      <c r="N9" s="8">
        <f t="shared" si="0"/>
        <v>3.0000000000000001E-3</v>
      </c>
      <c r="O9" s="8">
        <f>Table38[[#This Row],[Yearly Energy Consumption in kWh]]*Table38[[#This Row],[CU/kWh]]</f>
        <v>21024</v>
      </c>
      <c r="P9" s="8">
        <v>2.25</v>
      </c>
      <c r="Q9" s="8">
        <v>20</v>
      </c>
      <c r="R9" s="8">
        <f>Table38[[#This Row],[Quantity]]*(Table38[[#This Row],[FIT]]*24*365)/1000000000</f>
        <v>71.761920000000003</v>
      </c>
      <c r="S9" s="8">
        <f>2*Table38[[#This Row],[Mean dist in km from CO]]/Table38[[#This Row],[Avg Travel Speed]]</f>
        <v>0.22500000000000001</v>
      </c>
      <c r="T9" s="8">
        <f>Table38[[#This Row],[MTTR]]+Table38[[#This Row],[Twice Travel Time]]</f>
        <v>24.225000000000001</v>
      </c>
      <c r="U9" s="8">
        <v>1</v>
      </c>
      <c r="V9" s="8">
        <v>5</v>
      </c>
      <c r="W9" s="8">
        <f>Table38[[#This Row],[Cost per hour]]*Table38[[#This Row],[Total Time to Repair(h)]]*Table38[[#This Row],[Failures per year]]</f>
        <v>8692.1625600000007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Table38[[#This Row],[Percentage of Business Users]]*Table38[[#This Row],[SLA CU per hour]]*Table38[[#This Row],[Failures per year]]*Table38[[#This Row],[Total Time to Repair(h)]]</f>
        <v>12169.027584000003</v>
      </c>
      <c r="AB9" s="8">
        <f>Table38[[#This Row],[Percentage of ITS and business users]]*Table38[[#This Row],[SLA CU per hour]]*Table38[[#This Row],[Failures per year]]*Table38[[#This Row],[Total Time to Repair(h)]]</f>
        <v>12262.902939648002</v>
      </c>
    </row>
    <row r="10" spans="1:28" x14ac:dyDescent="0.25">
      <c r="A10" s="8" t="s">
        <v>13</v>
      </c>
      <c r="B10" s="8" t="s">
        <v>61</v>
      </c>
      <c r="C10" s="23">
        <v>2.2999999999999998</v>
      </c>
      <c r="D10" s="23">
        <v>16000</v>
      </c>
      <c r="E10" s="8">
        <v>0</v>
      </c>
      <c r="F10" s="8">
        <f>Table38[[#This Row],[Floor Space per component]]*Table38[[#This Row],[Quantity]]</f>
        <v>0</v>
      </c>
      <c r="G10" s="8">
        <v>2</v>
      </c>
      <c r="H10" s="8">
        <f>Table38[[#This Row],[Rent per sqm per year]]*Table38[[#This Row],[Total Floor Space]]</f>
        <v>0</v>
      </c>
      <c r="I10" s="8">
        <f>1*Table38[[#This Row],[Quantity]]</f>
        <v>16000</v>
      </c>
      <c r="J10" s="8">
        <v>6</v>
      </c>
      <c r="K10" s="8">
        <v>256</v>
      </c>
      <c r="L10" s="8">
        <f>6.5*Table38[[#This Row],[Quantity]]</f>
        <v>104000</v>
      </c>
      <c r="M10" s="8">
        <f>Table38[[#This Row],[Energy consumption in W]]*24*365/1000</f>
        <v>911040</v>
      </c>
      <c r="N10" s="8">
        <f t="shared" si="0"/>
        <v>3.0000000000000001E-3</v>
      </c>
      <c r="O10" s="8">
        <f>Table38[[#This Row],[Yearly Energy Consumption in kWh]]*Table38[[#This Row],[CU/kWh]]</f>
        <v>2733.12</v>
      </c>
      <c r="P10" s="8">
        <v>2.25</v>
      </c>
      <c r="Q10" s="8">
        <v>20</v>
      </c>
      <c r="R10" s="8">
        <f>Table38[[#This Row],[Quantity]]*(Table38[[#This Row],[FIT]]*24*365)/1000000000</f>
        <v>35.880960000000002</v>
      </c>
      <c r="S10" s="8">
        <f>2*Table38[[#This Row],[Mean dist in km from CO]]/Table38[[#This Row],[Avg Travel Speed]]</f>
        <v>0.22500000000000001</v>
      </c>
      <c r="T10" s="8">
        <f>Table38[[#This Row],[MTTR]]+Table38[[#This Row],[Twice Travel Time]]</f>
        <v>6.2249999999999996</v>
      </c>
      <c r="U10" s="8">
        <v>1</v>
      </c>
      <c r="V10" s="8">
        <v>5</v>
      </c>
      <c r="W10" s="8">
        <f>Table38[[#This Row],[Cost per hour]]*Table38[[#This Row],[Total Time to Repair(h)]]*Table38[[#This Row],[Failures per year]]</f>
        <v>1116.7948800000001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Table38[[#This Row],[Percentage of Business Users]]*Table38[[#This Row],[SLA CU per hour]]*Table38[[#This Row],[Failures per year]]*Table38[[#This Row],[Total Time to Repair(h)]]</f>
        <v>1563.5128320000003</v>
      </c>
      <c r="AB10" s="8">
        <f>Table38[[#This Row],[Percentage of ITS and business users]]*Table38[[#This Row],[SLA CU per hour]]*Table38[[#This Row],[Failures per year]]*Table38[[#This Row],[Total Time to Repair(h)]]</f>
        <v>1575.574216704</v>
      </c>
    </row>
    <row r="11" spans="1:28" x14ac:dyDescent="0.25">
      <c r="H11" s="8">
        <f>SUM(Table38[Total Rent cost per year])</f>
        <v>38572</v>
      </c>
      <c r="O11" s="8">
        <f>SUBTOTAL(109,Table38[Energy Cost per year in CU])</f>
        <v>24246.348480000001</v>
      </c>
      <c r="W11" s="8">
        <f>SUBTOTAL(109,Table38[FM Cost])</f>
        <v>9840.1894680000005</v>
      </c>
      <c r="AA11" s="8">
        <f>SUBTOTAL(109,Table38[FM Penalty Business])</f>
        <v>13776.265255200004</v>
      </c>
      <c r="AB11" s="8">
        <f>SUBTOTAL(109,Table38[FM Penalty ITS])</f>
        <v>13882.539301454402</v>
      </c>
    </row>
    <row r="14" spans="1:28" x14ac:dyDescent="0.25">
      <c r="A14" s="8" t="s">
        <v>38</v>
      </c>
      <c r="B14" s="8" t="s">
        <v>63</v>
      </c>
      <c r="C14" s="8" t="s">
        <v>64</v>
      </c>
      <c r="D14" s="8" t="s">
        <v>17</v>
      </c>
      <c r="E14" s="8" t="s">
        <v>65</v>
      </c>
      <c r="F14" s="8" t="s">
        <v>26</v>
      </c>
      <c r="G14" s="8" t="s">
        <v>66</v>
      </c>
      <c r="H14" s="8" t="s">
        <v>67</v>
      </c>
      <c r="I14" s="8" t="s">
        <v>68</v>
      </c>
    </row>
    <row r="15" spans="1:28" x14ac:dyDescent="0.25">
      <c r="B15" s="9">
        <f>171056.493544313/1000</f>
        <v>171.05649354431301</v>
      </c>
      <c r="C15" s="8">
        <v>570</v>
      </c>
      <c r="E15" s="8">
        <v>20</v>
      </c>
    </row>
    <row r="16" spans="1:28" x14ac:dyDescent="0.25">
      <c r="B16" s="9">
        <f>85582.6331149716/1000</f>
        <v>85.5826331149716</v>
      </c>
      <c r="C16" s="8">
        <v>570</v>
      </c>
      <c r="E16" s="8">
        <v>20</v>
      </c>
    </row>
    <row r="17" spans="1:15" x14ac:dyDescent="0.25">
      <c r="B17" s="9">
        <f>384090.367674523/1000</f>
        <v>384.09036767452295</v>
      </c>
      <c r="C17" s="8">
        <v>570</v>
      </c>
      <c r="E17" s="8">
        <v>20</v>
      </c>
    </row>
    <row r="19" spans="1:15" x14ac:dyDescent="0.2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111</v>
      </c>
      <c r="K19" s="8" t="s">
        <v>117</v>
      </c>
      <c r="L19" s="8" t="s">
        <v>118</v>
      </c>
      <c r="M19" s="8" t="s">
        <v>119</v>
      </c>
      <c r="N19" s="8" t="s">
        <v>120</v>
      </c>
    </row>
    <row r="20" spans="1:15" x14ac:dyDescent="0.25">
      <c r="A20" s="8" t="s">
        <v>41</v>
      </c>
      <c r="B20" s="8">
        <f>C15*B15</f>
        <v>97502.20132025842</v>
      </c>
      <c r="C20" s="15">
        <v>24</v>
      </c>
      <c r="D20" s="8">
        <v>1</v>
      </c>
      <c r="E20" s="8">
        <v>5</v>
      </c>
      <c r="F20" s="8">
        <v>1</v>
      </c>
      <c r="G20" s="8">
        <f>2*F20/20</f>
        <v>0.1</v>
      </c>
      <c r="H20" s="8">
        <f>G20+C20</f>
        <v>24.1</v>
      </c>
      <c r="I20" s="8">
        <f>B20*24*365*E20*H20/1000000000</f>
        <v>102.92137366963838</v>
      </c>
      <c r="J20" s="8">
        <v>100</v>
      </c>
      <c r="K20" s="8">
        <v>7.0000000000000007E-2</v>
      </c>
      <c r="L20" s="8">
        <v>7.0250000000000007E-2</v>
      </c>
      <c r="M20" s="8">
        <f>K20*J20*H20*B20*24*365/1000000000</f>
        <v>144.08992313749377</v>
      </c>
      <c r="N20" s="8">
        <f>L20*J20*H20*B20*24*365/1000000000</f>
        <v>144.60453000584195</v>
      </c>
    </row>
    <row r="21" spans="1:15" x14ac:dyDescent="0.25">
      <c r="A21" s="8" t="s">
        <v>42</v>
      </c>
      <c r="B21" s="8">
        <f>C16*B16</f>
        <v>48782.100875533812</v>
      </c>
      <c r="C21" s="15">
        <v>24</v>
      </c>
      <c r="D21" s="8">
        <v>1</v>
      </c>
      <c r="E21" s="8">
        <v>5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 t="shared" ref="I21:I22" si="4">B21*24*365*E21*H21/1000000000</f>
        <v>51.707075644030809</v>
      </c>
      <c r="J21" s="8">
        <v>100</v>
      </c>
      <c r="K21" s="8">
        <v>7.0000000000000007E-2</v>
      </c>
      <c r="L21" s="8">
        <v>7.0250000000000007E-2</v>
      </c>
      <c r="M21" s="8">
        <f t="shared" ref="M21:M22" si="5">K21*J21*H21*B21*24*365/1000000000</f>
        <v>72.389905901643147</v>
      </c>
      <c r="N21" s="8">
        <f t="shared" ref="N21:N22" si="6">L21*J21*H21*B21*24*365/1000000000</f>
        <v>72.648441279863292</v>
      </c>
    </row>
    <row r="22" spans="1:15" x14ac:dyDescent="0.25">
      <c r="A22" s="8" t="s">
        <v>62</v>
      </c>
      <c r="B22" s="8">
        <f>C17*B17</f>
        <v>218931.50957447808</v>
      </c>
      <c r="C22" s="15">
        <v>24</v>
      </c>
      <c r="D22" s="8">
        <v>2</v>
      </c>
      <c r="E22" s="8">
        <v>5</v>
      </c>
      <c r="F22" s="8">
        <v>4</v>
      </c>
      <c r="G22" s="8">
        <f t="shared" si="2"/>
        <v>0.4</v>
      </c>
      <c r="H22" s="8">
        <f t="shared" si="3"/>
        <v>24.4</v>
      </c>
      <c r="I22" s="8">
        <f t="shared" si="4"/>
        <v>233.97648291243621</v>
      </c>
      <c r="J22" s="8">
        <v>100</v>
      </c>
      <c r="K22" s="8">
        <v>7.0000000000000007E-2</v>
      </c>
      <c r="L22" s="8">
        <v>7.0250000000000007E-2</v>
      </c>
      <c r="M22" s="8">
        <f t="shared" si="5"/>
        <v>327.56707607741072</v>
      </c>
      <c r="N22" s="8">
        <f t="shared" si="6"/>
        <v>328.73695849197281</v>
      </c>
    </row>
    <row r="23" spans="1:15" x14ac:dyDescent="0.25">
      <c r="I23" s="8">
        <f>SUM(I20:I22)</f>
        <v>388.6049322261054</v>
      </c>
    </row>
    <row r="30" spans="1:15" x14ac:dyDescent="0.25">
      <c r="G30" s="8" t="s">
        <v>69</v>
      </c>
    </row>
    <row r="31" spans="1:15" x14ac:dyDescent="0.25">
      <c r="G31" s="8">
        <f>Table38[[#Totals],[Total Rent cost per year]]+Table38[[#Totals],[Energy Cost per year in CU]]+Table38[[#Totals],[FM Cost]]+I23</f>
        <v>73047.142880226107</v>
      </c>
      <c r="I31" s="8" t="s">
        <v>128</v>
      </c>
      <c r="L31" s="8" t="s">
        <v>97</v>
      </c>
      <c r="M31" s="8" t="s">
        <v>112</v>
      </c>
      <c r="N31" s="8" t="s">
        <v>113</v>
      </c>
      <c r="O31" s="8" t="s">
        <v>121</v>
      </c>
    </row>
    <row r="32" spans="1:15" x14ac:dyDescent="0.25">
      <c r="B32" s="9"/>
      <c r="C32" s="9"/>
      <c r="D32" s="9"/>
      <c r="I32" s="8">
        <v>63160</v>
      </c>
      <c r="L32" s="8" t="s">
        <v>92</v>
      </c>
      <c r="M32" s="8">
        <f>M43/$I$32</f>
        <v>0.61070297656744776</v>
      </c>
      <c r="N32" s="8">
        <f t="shared" ref="N32:O32" si="7">N43/$I$32</f>
        <v>0.61070297656744776</v>
      </c>
      <c r="O32" s="8">
        <f t="shared" si="7"/>
        <v>0.61070297656744776</v>
      </c>
    </row>
    <row r="33" spans="12:15" x14ac:dyDescent="0.25">
      <c r="L33" s="8" t="s">
        <v>93</v>
      </c>
      <c r="M33" s="8">
        <f t="shared" ref="M33:O36" si="8">M44/$I$32</f>
        <v>0.38388772134262195</v>
      </c>
      <c r="N33" s="8">
        <f t="shared" si="8"/>
        <v>0.38388772134262195</v>
      </c>
      <c r="O33" s="8">
        <f t="shared" si="8"/>
        <v>0.38388772134262195</v>
      </c>
    </row>
    <row r="34" spans="12:15" x14ac:dyDescent="0.25">
      <c r="L34" s="8" t="s">
        <v>94</v>
      </c>
      <c r="M34" s="8">
        <f t="shared" si="8"/>
        <v>0.15579780664977835</v>
      </c>
      <c r="N34" s="8">
        <f t="shared" si="8"/>
        <v>0.38006744229617018</v>
      </c>
      <c r="O34" s="8">
        <f t="shared" si="8"/>
        <v>0.38175005860798777</v>
      </c>
    </row>
    <row r="35" spans="12:15" x14ac:dyDescent="0.25">
      <c r="L35" s="8" t="s">
        <v>95</v>
      </c>
      <c r="M35" s="8">
        <f t="shared" si="8"/>
        <v>5.7519425227992402E-2</v>
      </c>
      <c r="N35" s="8">
        <f t="shared" si="8"/>
        <v>6.8732907010312011E-2</v>
      </c>
      <c r="O35" s="8">
        <f t="shared" si="8"/>
        <v>6.8817037825902885E-2</v>
      </c>
    </row>
    <row r="36" spans="12:15" x14ac:dyDescent="0.25">
      <c r="L36" s="8" t="s">
        <v>96</v>
      </c>
      <c r="M36" s="8">
        <f t="shared" si="8"/>
        <v>8.0527195319189365E-2</v>
      </c>
      <c r="N36" s="8">
        <f t="shared" si="8"/>
        <v>9.6226069814436793E-2</v>
      </c>
      <c r="O36" s="8">
        <f t="shared" si="8"/>
        <v>9.6343852956264048E-2</v>
      </c>
    </row>
    <row r="37" spans="12:15" x14ac:dyDescent="0.25">
      <c r="M37" s="8">
        <f>SUM(Table1416[Residential])</f>
        <v>1.2884351251070298</v>
      </c>
      <c r="N37" s="8">
        <f>SUBTOTAL(109,Table1416[Business])</f>
        <v>1.5396171170309887</v>
      </c>
      <c r="O37" s="8">
        <f>SUBTOTAL(109,Table1416[Business ITS])</f>
        <v>1.5415016473002245</v>
      </c>
    </row>
    <row r="42" spans="12:15" x14ac:dyDescent="0.25">
      <c r="L42" s="39" t="s">
        <v>97</v>
      </c>
      <c r="M42" s="10" t="s">
        <v>112</v>
      </c>
      <c r="N42" s="10" t="s">
        <v>113</v>
      </c>
      <c r="O42" s="40" t="s">
        <v>121</v>
      </c>
    </row>
    <row r="43" spans="12:15" x14ac:dyDescent="0.25">
      <c r="L43" s="32" t="s">
        <v>92</v>
      </c>
      <c r="M43" s="33">
        <f>Table38[[#Totals],[Total Rent cost per year]]</f>
        <v>38572</v>
      </c>
      <c r="N43" s="33">
        <f>Table38[[#Totals],[Total Rent cost per year]]</f>
        <v>38572</v>
      </c>
      <c r="O43" s="12">
        <f>Table38[[#Totals],[Total Rent cost per year]]</f>
        <v>38572</v>
      </c>
    </row>
    <row r="44" spans="12:15" x14ac:dyDescent="0.25">
      <c r="L44" s="34" t="s">
        <v>93</v>
      </c>
      <c r="M44" s="35">
        <f>Table38[[#Totals],[Energy Cost per year in CU]]</f>
        <v>24246.348480000001</v>
      </c>
      <c r="N44" s="35">
        <f>Table38[[#Totals],[Energy Cost per year in CU]]</f>
        <v>24246.348480000001</v>
      </c>
      <c r="O44" s="13">
        <f>Table38[[#Totals],[Energy Cost per year in CU]]</f>
        <v>24246.348480000001</v>
      </c>
    </row>
    <row r="45" spans="12:15" x14ac:dyDescent="0.25">
      <c r="L45" s="32" t="s">
        <v>94</v>
      </c>
      <c r="M45" s="33">
        <f>Table38[[#Totals],[FM Cost]]+I34</f>
        <v>9840.1894680000005</v>
      </c>
      <c r="N45" s="33">
        <f>Table38[[#Totals],[FM Cost]]+$I$23+Table38[[#Totals],[FM Penalty Business]]</f>
        <v>24005.05965542611</v>
      </c>
      <c r="O45" s="12">
        <f>Table38[[#Totals],[FM Cost]]+$I$23+Table38[[#Totals],[FM Penalty ITS]]</f>
        <v>24111.333701680509</v>
      </c>
    </row>
    <row r="46" spans="12:15" x14ac:dyDescent="0.25">
      <c r="L46" s="34" t="s">
        <v>95</v>
      </c>
      <c r="M46" s="35">
        <f>0.05*SUM(M43:M45)</f>
        <v>3632.9268974000001</v>
      </c>
      <c r="N46" s="35">
        <f>0.05*SUM(N43:N45)</f>
        <v>4341.1704067713063</v>
      </c>
      <c r="O46" s="13">
        <f>0.05*SUM(O43:O45)</f>
        <v>4346.4841090840264</v>
      </c>
    </row>
    <row r="47" spans="12:15" x14ac:dyDescent="0.25">
      <c r="L47" s="32" t="s">
        <v>96</v>
      </c>
      <c r="M47" s="33">
        <f>0.07*SUM(M43:M45)</f>
        <v>5086.0976563600007</v>
      </c>
      <c r="N47" s="33">
        <f>0.07*SUM(N43:N45)</f>
        <v>6077.6385694798282</v>
      </c>
      <c r="O47" s="12">
        <f>0.07*SUM(O43:O45)</f>
        <v>6085.0777527176369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selection activeCell="I35" sqref="I35"/>
    </sheetView>
  </sheetViews>
  <sheetFormatPr defaultColWidth="8.85546875" defaultRowHeight="15" x14ac:dyDescent="0.25"/>
  <cols>
    <col min="1" max="1" width="23.5703125" style="8" customWidth="1"/>
    <col min="2" max="2" width="19.140625" style="8" customWidth="1"/>
    <col min="3" max="3" width="20.140625" style="8" customWidth="1"/>
    <col min="4" max="4" width="16.42578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0" width="15.140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22" style="8" customWidth="1"/>
    <col min="24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16" t="s">
        <v>3</v>
      </c>
      <c r="B2" s="17" t="s">
        <v>70</v>
      </c>
      <c r="C2" s="23">
        <v>16</v>
      </c>
      <c r="D2" s="23">
        <v>10</v>
      </c>
      <c r="E2" s="8">
        <v>1</v>
      </c>
      <c r="F2" s="8">
        <f>E2*D2</f>
        <v>10</v>
      </c>
      <c r="G2" s="8">
        <v>10.6</v>
      </c>
      <c r="H2" s="8">
        <f>G2*F2</f>
        <v>106</v>
      </c>
      <c r="I2" s="8">
        <v>0</v>
      </c>
      <c r="J2" s="8">
        <v>2</v>
      </c>
      <c r="K2" s="8">
        <v>256</v>
      </c>
      <c r="L2" s="8">
        <f>12*D2</f>
        <v>120</v>
      </c>
      <c r="M2" s="8">
        <f>Table19[[#This Row],[Energy consumption in W]]*24*365/1000</f>
        <v>1051.2</v>
      </c>
      <c r="N2" s="8">
        <f>0.15/50</f>
        <v>3.0000000000000001E-3</v>
      </c>
      <c r="O2" s="8">
        <f>Table19[[#This Row],[Yearly Energy Consumption in kWh]]*Table19[[#This Row],[CU/kWh]]</f>
        <v>3.1536000000000004</v>
      </c>
      <c r="P2" s="8">
        <v>0</v>
      </c>
      <c r="Q2" s="8">
        <v>20</v>
      </c>
      <c r="R2" s="8">
        <f>Table19[[#This Row],[Quantity]]*Table19[[#This Row],[FIT]]*24*365/1000000000</f>
        <v>2.24256E-2</v>
      </c>
      <c r="S2" s="8">
        <f>2*Table19[[#This Row],[Mean dist in km from CO]]/Table19[[#This Row],[Avg Travel Speed]]</f>
        <v>0</v>
      </c>
      <c r="T2" s="8">
        <f>Table19[[#This Row],[MTTR]]+Table19[[#This Row],[Twice Travel Time]]</f>
        <v>2</v>
      </c>
      <c r="U2" s="8">
        <v>1</v>
      </c>
      <c r="V2" s="8">
        <v>5</v>
      </c>
      <c r="W2" s="8">
        <f>Table19[[#This Row],[Cost per hour]]*Table19[[#This Row],[No. Of technicians]]*Table19[[#This Row],[Total Time to Repair(h)]]*Table19[[#This Row],[Failures per year]]</f>
        <v>0.22425600000000001</v>
      </c>
      <c r="X2" s="8">
        <v>100</v>
      </c>
      <c r="Y2" s="8">
        <v>7.0000000000000007E-2</v>
      </c>
      <c r="Z2" s="8">
        <f>0.07+2*0.00027</f>
        <v>7.0540000000000005E-2</v>
      </c>
      <c r="AA2" s="38">
        <f>Table19[Percentage of Business Users]*Table19[SLA CU per hour]*Table19[Failures per year]*Table19[Total Time to Repair(h)]</f>
        <v>0.31395840000000003</v>
      </c>
      <c r="AB2" s="8">
        <f>Table19[[#This Row],[Percentage of ITS and business users]]*Table19[[#This Row],[SLA CU per hour]]*Table19[[#This Row],[Failures per year]]*Table19[[#This Row],[Total Time to Repair(h)]]</f>
        <v>0.31638036480000004</v>
      </c>
    </row>
    <row r="3" spans="1:28" x14ac:dyDescent="0.25">
      <c r="A3" s="19" t="s">
        <v>3</v>
      </c>
      <c r="B3" s="20" t="s">
        <v>71</v>
      </c>
      <c r="C3" s="23">
        <v>17</v>
      </c>
      <c r="D3" s="23">
        <v>160</v>
      </c>
      <c r="E3" s="8">
        <v>5</v>
      </c>
      <c r="F3" s="8">
        <f t="shared" ref="F3:F10" si="0">E3*D3</f>
        <v>800</v>
      </c>
      <c r="G3" s="8">
        <v>10.6</v>
      </c>
      <c r="H3" s="8">
        <f t="shared" ref="H3:H10" si="1">G3*F3</f>
        <v>8480</v>
      </c>
      <c r="I3" s="8">
        <f>0.5+(1/6*D3)</f>
        <v>27.166666666666664</v>
      </c>
      <c r="J3" s="8">
        <v>2</v>
      </c>
      <c r="K3" s="8">
        <v>50</v>
      </c>
      <c r="L3" s="8">
        <f>5*D3</f>
        <v>800</v>
      </c>
      <c r="M3" s="8">
        <f>Table19[[#This Row],[Energy consumption in W]]*24*365/1000</f>
        <v>7008</v>
      </c>
      <c r="N3" s="8">
        <f t="shared" ref="N3:N10" si="2">0.15/50</f>
        <v>3.0000000000000001E-3</v>
      </c>
      <c r="O3" s="8">
        <f>Table19[[#This Row],[Yearly Energy Consumption in kWh]]*Table19[[#This Row],[CU/kWh]]</f>
        <v>21.024000000000001</v>
      </c>
      <c r="P3" s="8">
        <v>0</v>
      </c>
      <c r="Q3" s="8">
        <v>20</v>
      </c>
      <c r="R3" s="8">
        <f>Table19[[#This Row],[Quantity]]*Table19[[#This Row],[FIT]]*24*365/1000000000</f>
        <v>7.0080000000000003E-2</v>
      </c>
      <c r="S3" s="8">
        <f>2*Table19[[#This Row],[Mean dist in km from CO]]/Table19[[#This Row],[Avg Travel Speed]]</f>
        <v>0</v>
      </c>
      <c r="T3" s="8">
        <f>Table19[[#This Row],[MTTR]]+Table19[[#This Row],[Twice Travel Time]]</f>
        <v>2</v>
      </c>
      <c r="U3" s="8">
        <v>1</v>
      </c>
      <c r="V3" s="8">
        <v>5</v>
      </c>
      <c r="W3" s="8">
        <f>Table19[[#This Row],[Cost per hour]]*Table19[[#This Row],[No. Of technicians]]*Table19[[#This Row],[Total Time to Repair(h)]]*Table19[[#This Row],[Failures per year]]</f>
        <v>0.70080000000000009</v>
      </c>
      <c r="X3" s="8">
        <v>100</v>
      </c>
      <c r="Y3" s="8">
        <v>7.0000000000000007E-2</v>
      </c>
      <c r="Z3" s="8">
        <f t="shared" ref="Z3:Z10" si="3">0.07+2*0.00027</f>
        <v>7.0540000000000005E-2</v>
      </c>
      <c r="AA3" s="38">
        <f>Table19[Percentage of Business Users]*Table19[SLA CU per hour]*Table19[Failures per year]*Table19[Total Time to Repair(h)]</f>
        <v>0.98112000000000021</v>
      </c>
      <c r="AB3" s="8">
        <f>Table19[[#This Row],[Percentage of ITS and business users]]*Table19[[#This Row],[SLA CU per hour]]*Table19[[#This Row],[Failures per year]]*Table19[[#This Row],[Total Time to Repair(h)]]</f>
        <v>0.98868864000000012</v>
      </c>
    </row>
    <row r="4" spans="1:28" x14ac:dyDescent="0.25">
      <c r="A4" s="16" t="s">
        <v>3</v>
      </c>
      <c r="B4" s="17" t="s">
        <v>72</v>
      </c>
      <c r="C4" s="23">
        <v>63</v>
      </c>
      <c r="D4" s="23">
        <v>160</v>
      </c>
      <c r="E4" s="8">
        <v>1</v>
      </c>
      <c r="F4" s="8">
        <f t="shared" si="0"/>
        <v>160</v>
      </c>
      <c r="G4" s="8">
        <v>10.6</v>
      </c>
      <c r="H4" s="8">
        <f t="shared" si="1"/>
        <v>1696</v>
      </c>
      <c r="I4" s="8">
        <v>0</v>
      </c>
      <c r="J4" s="8">
        <v>2</v>
      </c>
      <c r="K4" s="8">
        <v>50</v>
      </c>
      <c r="L4" s="8">
        <f>48*D4</f>
        <v>7680</v>
      </c>
      <c r="M4" s="8">
        <f>Table19[[#This Row],[Energy consumption in W]]*24*365/1000</f>
        <v>67276.800000000003</v>
      </c>
      <c r="N4" s="8">
        <f t="shared" si="2"/>
        <v>3.0000000000000001E-3</v>
      </c>
      <c r="O4" s="8">
        <f>Table19[[#This Row],[Yearly Energy Consumption in kWh]]*Table19[[#This Row],[CU/kWh]]</f>
        <v>201.83040000000003</v>
      </c>
      <c r="P4" s="8">
        <v>0</v>
      </c>
      <c r="Q4" s="8">
        <v>20</v>
      </c>
      <c r="R4" s="8">
        <f>Table19[[#This Row],[Quantity]]*Table19[[#This Row],[FIT]]*24*365/1000000000</f>
        <v>7.0080000000000003E-2</v>
      </c>
      <c r="S4" s="8">
        <f>2*Table19[[#This Row],[Mean dist in km from CO]]/Table19[[#This Row],[Avg Travel Speed]]</f>
        <v>0</v>
      </c>
      <c r="T4" s="8">
        <f>Table19[[#This Row],[MTTR]]+Table19[[#This Row],[Twice Travel Time]]</f>
        <v>2</v>
      </c>
      <c r="U4" s="8">
        <v>1</v>
      </c>
      <c r="V4" s="8">
        <v>5</v>
      </c>
      <c r="W4" s="8">
        <f>Table19[[#This Row],[Cost per hour]]*Table19[[#This Row],[No. Of technicians]]*Table19[[#This Row],[Total Time to Repair(h)]]*Table19[[#This Row],[Failures per year]]</f>
        <v>0.70080000000000009</v>
      </c>
      <c r="X4" s="8">
        <v>100</v>
      </c>
      <c r="Y4" s="8">
        <v>7.0000000000000007E-2</v>
      </c>
      <c r="Z4" s="8">
        <f t="shared" si="3"/>
        <v>7.0540000000000005E-2</v>
      </c>
      <c r="AA4" s="38">
        <f>Table19[Percentage of Business Users]*Table19[SLA CU per hour]*Table19[Failures per year]*Table19[Total Time to Repair(h)]</f>
        <v>0.98112000000000021</v>
      </c>
      <c r="AB4" s="8">
        <f>Table19[[#This Row],[Percentage of ITS and business users]]*Table19[[#This Row],[SLA CU per hour]]*Table19[[#This Row],[Failures per year]]*Table19[[#This Row],[Total Time to Repair(h)]]</f>
        <v>0.98868864000000012</v>
      </c>
    </row>
    <row r="5" spans="1:28" x14ac:dyDescent="0.25">
      <c r="A5" s="19" t="s">
        <v>3</v>
      </c>
      <c r="B5" s="20" t="s">
        <v>73</v>
      </c>
      <c r="C5" s="23">
        <v>2.2999999999999998</v>
      </c>
      <c r="D5" s="23">
        <v>160</v>
      </c>
      <c r="E5" s="8">
        <v>1</v>
      </c>
      <c r="F5" s="8">
        <f t="shared" si="0"/>
        <v>160</v>
      </c>
      <c r="G5" s="8">
        <v>10.6</v>
      </c>
      <c r="H5" s="8">
        <f t="shared" si="1"/>
        <v>1696</v>
      </c>
      <c r="I5" s="8">
        <v>0</v>
      </c>
      <c r="J5" s="8">
        <v>2</v>
      </c>
      <c r="K5" s="8">
        <v>50</v>
      </c>
      <c r="L5" s="8">
        <v>0</v>
      </c>
      <c r="M5" s="8">
        <f>Table19[[#This Row],[Energy consumption in W]]*24*365/1000</f>
        <v>0</v>
      </c>
      <c r="N5" s="8">
        <f t="shared" si="2"/>
        <v>3.0000000000000001E-3</v>
      </c>
      <c r="O5" s="8">
        <f>Table19[[#This Row],[Yearly Energy Consumption in kWh]]*Table19[[#This Row],[CU/kWh]]</f>
        <v>0</v>
      </c>
      <c r="P5" s="8">
        <v>0</v>
      </c>
      <c r="Q5" s="8">
        <v>20</v>
      </c>
      <c r="R5" s="8">
        <f>Table19[[#This Row],[Quantity]]*Table19[[#This Row],[FIT]]*24*365/1000000000</f>
        <v>7.0080000000000003E-2</v>
      </c>
      <c r="S5" s="8">
        <f>2*Table19[[#This Row],[Mean dist in km from CO]]/Table19[[#This Row],[Avg Travel Speed]]</f>
        <v>0</v>
      </c>
      <c r="T5" s="8">
        <f>Table19[[#This Row],[MTTR]]+Table19[[#This Row],[Twice Travel Time]]</f>
        <v>2</v>
      </c>
      <c r="U5" s="8">
        <v>1</v>
      </c>
      <c r="V5" s="8">
        <v>5</v>
      </c>
      <c r="W5" s="8">
        <f>Table19[[#This Row],[Cost per hour]]*Table19[[#This Row],[No. Of technicians]]*Table19[[#This Row],[Total Time to Repair(h)]]*Table19[[#This Row],[Failures per year]]</f>
        <v>0.70080000000000009</v>
      </c>
      <c r="X5" s="8">
        <v>100</v>
      </c>
      <c r="Y5" s="8">
        <v>7.0000000000000007E-2</v>
      </c>
      <c r="Z5" s="8">
        <f t="shared" si="3"/>
        <v>7.0540000000000005E-2</v>
      </c>
      <c r="AA5" s="38">
        <f>Table19[Percentage of Business Users]*Table19[SLA CU per hour]*Table19[Failures per year]*Table19[Total Time to Repair(h)]</f>
        <v>0.98112000000000021</v>
      </c>
      <c r="AB5" s="8">
        <f>Table19[[#This Row],[Percentage of ITS and business users]]*Table19[[#This Row],[SLA CU per hour]]*Table19[[#This Row],[Failures per year]]*Table19[[#This Row],[Total Time to Repair(h)]]</f>
        <v>0.98868864000000012</v>
      </c>
    </row>
    <row r="6" spans="1:28" x14ac:dyDescent="0.25">
      <c r="A6" s="16" t="s">
        <v>3</v>
      </c>
      <c r="B6" s="17" t="s">
        <v>74</v>
      </c>
      <c r="C6" s="23">
        <f>0.1/4.5</f>
        <v>2.2222222222222223E-2</v>
      </c>
      <c r="D6" s="23">
        <v>4500</v>
      </c>
      <c r="E6" s="8">
        <v>0</v>
      </c>
      <c r="F6" s="8">
        <f t="shared" si="0"/>
        <v>0</v>
      </c>
      <c r="G6" s="8">
        <v>10.6</v>
      </c>
      <c r="H6" s="8">
        <f t="shared" si="1"/>
        <v>0</v>
      </c>
      <c r="I6" s="8">
        <v>0</v>
      </c>
      <c r="J6" s="8">
        <v>0</v>
      </c>
      <c r="K6" s="8">
        <v>0</v>
      </c>
      <c r="L6" s="8">
        <f>1*D6</f>
        <v>4500</v>
      </c>
      <c r="M6" s="8">
        <f>Table19[[#This Row],[Energy consumption in W]]*24*365/1000</f>
        <v>39420</v>
      </c>
      <c r="N6" s="8">
        <f t="shared" si="2"/>
        <v>3.0000000000000001E-3</v>
      </c>
      <c r="O6" s="8">
        <f>Table19[[#This Row],[Yearly Energy Consumption in kWh]]*Table19[[#This Row],[CU/kWh]]</f>
        <v>118.26</v>
      </c>
      <c r="P6" s="8">
        <v>0</v>
      </c>
      <c r="Q6" s="8">
        <v>20</v>
      </c>
      <c r="R6" s="8">
        <f>Table19[[#This Row],[Quantity]]*Table19[[#This Row],[FIT]]*24*365/1000000000</f>
        <v>0</v>
      </c>
      <c r="S6" s="8">
        <f>2*Table19[[#This Row],[Mean dist in km from CO]]/Table19[[#This Row],[Avg Travel Speed]]</f>
        <v>0</v>
      </c>
      <c r="T6" s="8">
        <f>Table19[[#This Row],[MTTR]]+Table19[[#This Row],[Twice Travel Time]]</f>
        <v>0</v>
      </c>
      <c r="U6" s="8">
        <v>1</v>
      </c>
      <c r="V6" s="8">
        <v>5</v>
      </c>
      <c r="W6" s="8">
        <f>Table19[[#This Row],[Cost per hour]]*Table19[[#This Row],[No. Of technicians]]*Table19[[#This Row],[Total Time to Repair(h)]]*Table19[[#This Row],[Failures per year]]</f>
        <v>0</v>
      </c>
      <c r="X6" s="8">
        <v>100</v>
      </c>
      <c r="Y6" s="8">
        <v>7.0000000000000007E-2</v>
      </c>
      <c r="Z6" s="8">
        <f t="shared" si="3"/>
        <v>7.0540000000000005E-2</v>
      </c>
      <c r="AA6" s="38">
        <f>Table19[Percentage of Business Users]*Table19[SLA CU per hour]*Table19[Failures per year]*Table19[Total Time to Repair(h)]</f>
        <v>0</v>
      </c>
      <c r="AB6" s="8">
        <f>Table19[[#This Row],[Percentage of ITS and business users]]*Table19[[#This Row],[SLA CU per hour]]*Table19[[#This Row],[Failures per year]]*Table19[[#This Row],[Total Time to Repair(h)]]</f>
        <v>0</v>
      </c>
    </row>
    <row r="7" spans="1:28" x14ac:dyDescent="0.25">
      <c r="A7" s="19" t="s">
        <v>3</v>
      </c>
      <c r="B7" s="20" t="s">
        <v>75</v>
      </c>
      <c r="C7" s="23">
        <v>400</v>
      </c>
      <c r="D7" s="23">
        <v>1</v>
      </c>
      <c r="E7" s="8">
        <v>40</v>
      </c>
      <c r="F7" s="8">
        <f t="shared" si="0"/>
        <v>40</v>
      </c>
      <c r="G7" s="8">
        <v>10.6</v>
      </c>
      <c r="H7" s="8">
        <f t="shared" si="1"/>
        <v>424</v>
      </c>
      <c r="I7" s="8">
        <v>24</v>
      </c>
      <c r="J7" s="8">
        <v>0</v>
      </c>
      <c r="K7" s="8">
        <v>0</v>
      </c>
      <c r="L7" s="8">
        <v>50</v>
      </c>
      <c r="M7" s="8">
        <f>Table19[[#This Row],[Energy consumption in W]]*24*365/1000</f>
        <v>438</v>
      </c>
      <c r="N7" s="8">
        <f t="shared" si="2"/>
        <v>3.0000000000000001E-3</v>
      </c>
      <c r="O7" s="8">
        <f>Table19[[#This Row],[Yearly Energy Consumption in kWh]]*Table19[[#This Row],[CU/kWh]]</f>
        <v>1.3140000000000001</v>
      </c>
      <c r="P7" s="8">
        <v>0</v>
      </c>
      <c r="Q7" s="8">
        <v>20</v>
      </c>
      <c r="R7" s="8">
        <f>Table19[[#This Row],[Quantity]]*Table19[[#This Row],[FIT]]*24*365/1000000000</f>
        <v>0</v>
      </c>
      <c r="S7" s="8">
        <f>2*Table19[[#This Row],[Mean dist in km from CO]]/Table19[[#This Row],[Avg Travel Speed]]</f>
        <v>0</v>
      </c>
      <c r="T7" s="8">
        <f>Table19[[#This Row],[MTTR]]+Table19[[#This Row],[Twice Travel Time]]</f>
        <v>0</v>
      </c>
      <c r="U7" s="8">
        <v>1</v>
      </c>
      <c r="V7" s="8">
        <v>5</v>
      </c>
      <c r="W7" s="8">
        <f>Table19[[#This Row],[Cost per hour]]*Table19[[#This Row],[No. Of technicians]]*Table19[[#This Row],[Total Time to Repair(h)]]*Table19[[#This Row],[Failures per year]]</f>
        <v>0</v>
      </c>
      <c r="X7" s="8">
        <v>100</v>
      </c>
      <c r="Y7" s="8">
        <v>7.0000000000000007E-2</v>
      </c>
      <c r="Z7" s="8">
        <f t="shared" si="3"/>
        <v>7.0540000000000005E-2</v>
      </c>
      <c r="AA7" s="38">
        <f>Table19[Percentage of Business Users]*Table19[SLA CU per hour]*Table19[Failures per year]*Table19[Total Time to Repair(h)]</f>
        <v>0</v>
      </c>
      <c r="AB7" s="8">
        <f>Table19[[#This Row],[Percentage of ITS and business users]]*Table19[[#This Row],[SLA CU per hour]]*Table19[[#This Row],[Failures per year]]*Table19[[#This Row],[Total Time to Repair(h)]]</f>
        <v>0</v>
      </c>
    </row>
    <row r="8" spans="1:28" x14ac:dyDescent="0.25">
      <c r="A8" s="16" t="s">
        <v>8</v>
      </c>
      <c r="B8" s="17" t="s">
        <v>76</v>
      </c>
      <c r="C8" s="23">
        <f>80*0.3</f>
        <v>24</v>
      </c>
      <c r="D8" s="23">
        <v>160</v>
      </c>
      <c r="E8" s="8">
        <v>1</v>
      </c>
      <c r="F8" s="8">
        <f t="shared" si="0"/>
        <v>160</v>
      </c>
      <c r="G8" s="8">
        <v>10.6</v>
      </c>
      <c r="H8" s="8">
        <f t="shared" si="1"/>
        <v>1696</v>
      </c>
      <c r="I8" s="8">
        <f>1/6*D8</f>
        <v>26.666666666666664</v>
      </c>
      <c r="J8" s="8">
        <v>6</v>
      </c>
      <c r="K8" s="8">
        <v>200</v>
      </c>
      <c r="L8" s="8">
        <v>0</v>
      </c>
      <c r="M8" s="8">
        <f>Table19[[#This Row],[Energy consumption in W]]*24*365/1000</f>
        <v>0</v>
      </c>
      <c r="N8" s="8">
        <f t="shared" si="2"/>
        <v>3.0000000000000001E-3</v>
      </c>
      <c r="O8" s="8">
        <f>Table19[[#This Row],[Yearly Energy Consumption in kWh]]*Table19[[#This Row],[CU/kWh]]</f>
        <v>0</v>
      </c>
      <c r="P8" s="8">
        <v>1.5</v>
      </c>
      <c r="Q8" s="8">
        <v>20</v>
      </c>
      <c r="R8" s="8">
        <f>Table19[[#This Row],[Quantity]]*Table19[[#This Row],[FIT]]*24*365/1000000000</f>
        <v>0.28032000000000001</v>
      </c>
      <c r="S8" s="8">
        <f>2*Table19[[#This Row],[Mean dist in km from CO]]/Table19[[#This Row],[Avg Travel Speed]]</f>
        <v>0.15</v>
      </c>
      <c r="T8" s="8">
        <f>Table19[[#This Row],[MTTR]]+Table19[[#This Row],[Twice Travel Time]]</f>
        <v>6.15</v>
      </c>
      <c r="U8" s="8">
        <v>1</v>
      </c>
      <c r="V8" s="8">
        <v>5</v>
      </c>
      <c r="W8" s="8">
        <f>Table19[[#This Row],[Cost per hour]]*Table19[[#This Row],[No. Of technicians]]*Table19[[#This Row],[Total Time to Repair(h)]]*Table19[[#This Row],[Failures per year]]</f>
        <v>8.6198399999999999</v>
      </c>
      <c r="X8" s="8">
        <v>100</v>
      </c>
      <c r="Y8" s="8">
        <v>7.0000000000000007E-2</v>
      </c>
      <c r="Z8" s="8">
        <f t="shared" si="3"/>
        <v>7.0540000000000005E-2</v>
      </c>
      <c r="AA8" s="38">
        <f>Table19[Percentage of Business Users]*Table19[SLA CU per hour]*Table19[Failures per year]*Table19[Total Time to Repair(h)]</f>
        <v>12.067776000000004</v>
      </c>
      <c r="AB8" s="8">
        <f>Table19[[#This Row],[Percentage of ITS and business users]]*Table19[[#This Row],[SLA CU per hour]]*Table19[[#This Row],[Failures per year]]*Table19[[#This Row],[Total Time to Repair(h)]]</f>
        <v>12.160870272000002</v>
      </c>
    </row>
    <row r="9" spans="1:28" x14ac:dyDescent="0.25">
      <c r="A9" s="19" t="s">
        <v>13</v>
      </c>
      <c r="B9" s="20" t="s">
        <v>60</v>
      </c>
      <c r="C9" s="23">
        <v>10</v>
      </c>
      <c r="D9" s="23">
        <v>16000</v>
      </c>
      <c r="E9" s="8">
        <v>0.5</v>
      </c>
      <c r="F9" s="8">
        <f t="shared" si="0"/>
        <v>8000</v>
      </c>
      <c r="G9" s="8">
        <v>2</v>
      </c>
      <c r="H9" s="8">
        <f t="shared" si="1"/>
        <v>16000</v>
      </c>
      <c r="I9" s="8">
        <f>D9*(0.5+(1/6*8))</f>
        <v>29333.333333333332</v>
      </c>
      <c r="J9" s="8">
        <v>24</v>
      </c>
      <c r="K9" s="8">
        <v>512</v>
      </c>
      <c r="L9" s="8">
        <f>50*D9</f>
        <v>800000</v>
      </c>
      <c r="M9" s="8">
        <f>Table19[[#This Row],[Energy consumption in W]]*24*365/1000</f>
        <v>7008000</v>
      </c>
      <c r="N9" s="8">
        <f t="shared" si="2"/>
        <v>3.0000000000000001E-3</v>
      </c>
      <c r="O9" s="8">
        <f>Table19[[#This Row],[Yearly Energy Consumption in kWh]]*Table19[[#This Row],[CU/kWh]]</f>
        <v>21024</v>
      </c>
      <c r="P9" s="8">
        <v>2.25</v>
      </c>
      <c r="Q9" s="8">
        <v>20</v>
      </c>
      <c r="R9" s="8">
        <f>Table19[[#This Row],[Quantity]]*Table19[[#This Row],[FIT]]*24*365/1000000000</f>
        <v>71.761920000000003</v>
      </c>
      <c r="S9" s="8">
        <f>2*Table19[[#This Row],[Mean dist in km from CO]]/Table19[[#This Row],[Avg Travel Speed]]</f>
        <v>0.22500000000000001</v>
      </c>
      <c r="T9" s="8">
        <f>Table19[[#This Row],[MTTR]]+Table19[[#This Row],[Twice Travel Time]]</f>
        <v>24.225000000000001</v>
      </c>
      <c r="U9" s="8">
        <v>1</v>
      </c>
      <c r="V9" s="8">
        <v>5</v>
      </c>
      <c r="W9" s="8">
        <f>Table19[[#This Row],[Cost per hour]]*Table19[[#This Row],[No. Of technicians]]*Table19[[#This Row],[Total Time to Repair(h)]]*Table19[[#This Row],[Failures per year]]</f>
        <v>8692.1625600000007</v>
      </c>
      <c r="X9" s="8">
        <v>100</v>
      </c>
      <c r="Y9" s="8">
        <v>7.0000000000000007E-2</v>
      </c>
      <c r="Z9" s="8">
        <f t="shared" si="3"/>
        <v>7.0540000000000005E-2</v>
      </c>
      <c r="AA9" s="38">
        <f>Table19[Percentage of Business Users]*Table19[SLA CU per hour]*Table19[Failures per year]*Table19[Total Time to Repair(h)]</f>
        <v>12169.027584000003</v>
      </c>
      <c r="AB9" s="8">
        <f>Table19[[#This Row],[Percentage of ITS and business users]]*Table19[[#This Row],[SLA CU per hour]]*Table19[[#This Row],[Failures per year]]*Table19[[#This Row],[Total Time to Repair(h)]]</f>
        <v>12262.902939648002</v>
      </c>
    </row>
    <row r="10" spans="1:28" x14ac:dyDescent="0.25">
      <c r="A10" s="16" t="s">
        <v>13</v>
      </c>
      <c r="B10" s="17" t="s">
        <v>77</v>
      </c>
      <c r="C10" s="23">
        <v>2.2999999999999998</v>
      </c>
      <c r="D10" s="23">
        <v>16000</v>
      </c>
      <c r="E10" s="8">
        <v>0.5</v>
      </c>
      <c r="F10" s="8">
        <f t="shared" si="0"/>
        <v>8000</v>
      </c>
      <c r="G10" s="8">
        <v>2</v>
      </c>
      <c r="H10" s="8">
        <f t="shared" si="1"/>
        <v>16000</v>
      </c>
      <c r="I10" s="8">
        <f>1*D10</f>
        <v>16000</v>
      </c>
      <c r="J10" s="8">
        <v>6</v>
      </c>
      <c r="K10" s="8">
        <v>256</v>
      </c>
      <c r="L10" s="8">
        <f>4.7*D10</f>
        <v>75200</v>
      </c>
      <c r="M10" s="8">
        <f>Table19[[#This Row],[Energy consumption in W]]*24*365/1000</f>
        <v>658752</v>
      </c>
      <c r="N10" s="8">
        <f t="shared" si="2"/>
        <v>3.0000000000000001E-3</v>
      </c>
      <c r="O10" s="8">
        <f>Table19[[#This Row],[Yearly Energy Consumption in kWh]]*Table19[[#This Row],[CU/kWh]]</f>
        <v>1976.2560000000001</v>
      </c>
      <c r="P10" s="8">
        <v>2.25</v>
      </c>
      <c r="Q10" s="8">
        <v>20</v>
      </c>
      <c r="R10" s="8">
        <f>Table19[[#This Row],[Quantity]]*Table19[[#This Row],[FIT]]*24*365/1000000000</f>
        <v>35.880960000000002</v>
      </c>
      <c r="S10" s="8">
        <f>2*Table19[[#This Row],[Mean dist in km from CO]]/Table19[[#This Row],[Avg Travel Speed]]</f>
        <v>0.22500000000000001</v>
      </c>
      <c r="T10" s="8">
        <f>Table19[[#This Row],[MTTR]]+Table19[[#This Row],[Twice Travel Time]]</f>
        <v>6.2249999999999996</v>
      </c>
      <c r="U10" s="8">
        <v>1</v>
      </c>
      <c r="V10" s="8">
        <v>5</v>
      </c>
      <c r="W10" s="8">
        <f>Table19[[#This Row],[Cost per hour]]*Table19[[#This Row],[No. Of technicians]]*Table19[[#This Row],[Total Time to Repair(h)]]*Table19[[#This Row],[Failures per year]]</f>
        <v>1116.7948800000001</v>
      </c>
      <c r="X10" s="8">
        <v>100</v>
      </c>
      <c r="Y10" s="8">
        <v>7.0000000000000007E-2</v>
      </c>
      <c r="Z10" s="8">
        <f t="shared" si="3"/>
        <v>7.0540000000000005E-2</v>
      </c>
      <c r="AA10" s="38">
        <f>Table19[Percentage of Business Users]*Table19[SLA CU per hour]*Table19[Failures per year]*Table19[Total Time to Repair(h)]</f>
        <v>1563.5128320000003</v>
      </c>
      <c r="AB10" s="8">
        <f>Table19[[#This Row],[Percentage of ITS and business users]]*Table19[[#This Row],[SLA CU per hour]]*Table19[[#This Row],[Failures per year]]*Table19[[#This Row],[Total Time to Repair(h)]]</f>
        <v>1575.574216704</v>
      </c>
    </row>
    <row r="11" spans="1:28" x14ac:dyDescent="0.25">
      <c r="B11" s="36"/>
      <c r="C11" s="37"/>
      <c r="D11" s="37"/>
      <c r="E11" s="22"/>
      <c r="F11" s="22"/>
      <c r="G11" s="22"/>
      <c r="H11" s="22">
        <f>SUBTOTAL(109,Table19[Total Rent cost per year])</f>
        <v>46098</v>
      </c>
      <c r="I11" s="22"/>
      <c r="J11" s="22"/>
      <c r="K11" s="22"/>
      <c r="L11" s="22"/>
      <c r="M11" s="22"/>
      <c r="N11" s="22"/>
      <c r="O11" s="22">
        <f>SUBTOTAL(109,Table19[Energy Cost per year in CU])</f>
        <v>23345.838</v>
      </c>
      <c r="P11" s="22"/>
      <c r="Q11" s="22"/>
      <c r="R11" s="22"/>
      <c r="S11" s="22"/>
      <c r="T11" s="22"/>
      <c r="U11" s="22"/>
      <c r="V11" s="22"/>
      <c r="W11" s="22">
        <f>SUM(Table19[FM Cost])</f>
        <v>9819.9039360000006</v>
      </c>
      <c r="X11" s="22"/>
      <c r="Y11" s="22"/>
      <c r="Z11" s="22"/>
      <c r="AA11" s="22">
        <f>SUBTOTAL(109,Table19[FM Penalty Business])</f>
        <v>13747.865510400003</v>
      </c>
      <c r="AB11" s="22">
        <f>SUBTOTAL(109,Table19[FM Penalty ITS])</f>
        <v>13853.920472908803</v>
      </c>
    </row>
    <row r="14" spans="1:28" x14ac:dyDescent="0.25">
      <c r="M14" s="8" t="s">
        <v>69</v>
      </c>
    </row>
    <row r="15" spans="1:28" x14ac:dyDescent="0.25">
      <c r="M15" s="8">
        <f>Table19[[#Totals],[Total Rent cost per year]]+Table19[[#Totals],[Energy Cost per year in CU]]+Table19[[#Totals],[FM Cost]]+J20</f>
        <v>79708.44447362858</v>
      </c>
    </row>
    <row r="17" spans="1:15" x14ac:dyDescent="0.25">
      <c r="A17" s="8" t="s">
        <v>39</v>
      </c>
      <c r="B17" s="8" t="s">
        <v>63</v>
      </c>
      <c r="C17" s="8" t="s">
        <v>17</v>
      </c>
      <c r="D17" s="8" t="s">
        <v>16</v>
      </c>
      <c r="E17" s="8" t="s">
        <v>40</v>
      </c>
      <c r="F17" s="8" t="s">
        <v>30</v>
      </c>
      <c r="G17" s="8" t="s">
        <v>44</v>
      </c>
      <c r="H17" s="8" t="s">
        <v>47</v>
      </c>
      <c r="I17" s="8" t="s">
        <v>48</v>
      </c>
      <c r="J17" s="8" t="s">
        <v>50</v>
      </c>
      <c r="K17" s="8" t="s">
        <v>111</v>
      </c>
      <c r="L17" s="8" t="s">
        <v>117</v>
      </c>
      <c r="M17" s="8" t="s">
        <v>118</v>
      </c>
      <c r="N17" s="8" t="s">
        <v>119</v>
      </c>
      <c r="O17" s="8" t="s">
        <v>120</v>
      </c>
    </row>
    <row r="18" spans="1:15" x14ac:dyDescent="0.25">
      <c r="A18" s="8" t="s">
        <v>41</v>
      </c>
      <c r="B18" s="9">
        <f>72320.0059456714/1000</f>
        <v>72.320005945671397</v>
      </c>
      <c r="C18" s="8">
        <f>570*B18</f>
        <v>41222.403389032697</v>
      </c>
      <c r="D18" s="8">
        <v>24</v>
      </c>
      <c r="E18" s="8">
        <v>1</v>
      </c>
      <c r="F18" s="8">
        <v>5</v>
      </c>
      <c r="G18" s="8">
        <v>2</v>
      </c>
      <c r="H18" s="8">
        <f>2*G18/20</f>
        <v>0.2</v>
      </c>
      <c r="I18" s="8">
        <f>D18+H18</f>
        <v>24.2</v>
      </c>
      <c r="J18" s="8">
        <f>C18*24*365*F18*E18*I18/1000000000</f>
        <v>43.694098696239088</v>
      </c>
      <c r="K18" s="8">
        <v>100</v>
      </c>
      <c r="L18" s="8">
        <v>7.0000000000000007E-2</v>
      </c>
      <c r="M18" s="8">
        <v>7.0250000000000007E-2</v>
      </c>
      <c r="N18" s="8">
        <f>L18*K18*I18*C18*24*365/1000000000</f>
        <v>61.171738174734742</v>
      </c>
      <c r="O18" s="8">
        <f>M18*K18*I18*C18*24*365/1000000000</f>
        <v>61.390208668215926</v>
      </c>
    </row>
    <row r="19" spans="1:15" x14ac:dyDescent="0.25">
      <c r="A19" s="8" t="s">
        <v>62</v>
      </c>
      <c r="B19" s="9">
        <f>658286.152663246/1000</f>
        <v>658.28615266324607</v>
      </c>
      <c r="C19" s="8">
        <f>570*B19</f>
        <v>375223.10701805027</v>
      </c>
      <c r="D19" s="8">
        <v>24</v>
      </c>
      <c r="E19" s="8">
        <v>1</v>
      </c>
      <c r="F19" s="8">
        <v>5</v>
      </c>
      <c r="G19" s="8">
        <v>4</v>
      </c>
      <c r="H19" s="8">
        <f>2*G19/20</f>
        <v>0.4</v>
      </c>
      <c r="I19" s="8">
        <f>D19+H19</f>
        <v>24.4</v>
      </c>
      <c r="J19" s="8">
        <f>C19*24*365*F19*E19*I19/1000000000</f>
        <v>401.00843893233071</v>
      </c>
      <c r="K19" s="8">
        <v>100</v>
      </c>
      <c r="L19" s="8">
        <v>7.0000000000000007E-2</v>
      </c>
      <c r="M19" s="8">
        <v>7.0250000000000007E-2</v>
      </c>
      <c r="N19" s="8">
        <f t="shared" ref="N19" si="4">L19*K19*I19*C19*24*365/1000000000</f>
        <v>561.41181450526301</v>
      </c>
      <c r="O19" s="8">
        <f t="shared" ref="O19" si="5">M19*K19*I19*C19*24*365/1000000000</f>
        <v>563.41685669992455</v>
      </c>
    </row>
    <row r="20" spans="1:15" x14ac:dyDescent="0.25">
      <c r="J20" s="8">
        <f>SUM(J18:J19)</f>
        <v>444.70253762856981</v>
      </c>
    </row>
    <row r="32" spans="1:15" x14ac:dyDescent="0.25">
      <c r="L32" s="8" t="s">
        <v>97</v>
      </c>
      <c r="M32" s="8" t="s">
        <v>123</v>
      </c>
      <c r="N32" s="8" t="s">
        <v>124</v>
      </c>
      <c r="O32" s="8" t="s">
        <v>125</v>
      </c>
    </row>
    <row r="33" spans="9:15" x14ac:dyDescent="0.25">
      <c r="L33" s="8" t="s">
        <v>92</v>
      </c>
      <c r="M33" s="8">
        <f>M46/$I$35</f>
        <v>0.72986067131095633</v>
      </c>
      <c r="N33" s="8">
        <f t="shared" ref="N33:O33" si="6">N46/$I$35</f>
        <v>0.72986067131095633</v>
      </c>
      <c r="O33" s="8">
        <f t="shared" si="6"/>
        <v>0.72986067131095633</v>
      </c>
    </row>
    <row r="34" spans="9:15" x14ac:dyDescent="0.25">
      <c r="I34" s="8" t="s">
        <v>131</v>
      </c>
      <c r="L34" s="8" t="s">
        <v>93</v>
      </c>
      <c r="M34" s="8">
        <f t="shared" ref="M34:O37" si="7">M47/$I$35</f>
        <v>0.3696301139962001</v>
      </c>
      <c r="N34" s="8">
        <f t="shared" si="7"/>
        <v>0.3696301139962001</v>
      </c>
      <c r="O34" s="8">
        <f t="shared" si="7"/>
        <v>0.3696301139962001</v>
      </c>
    </row>
    <row r="35" spans="9:15" x14ac:dyDescent="0.25">
      <c r="I35" s="8">
        <v>63160</v>
      </c>
      <c r="L35" s="8" t="s">
        <v>94</v>
      </c>
      <c r="M35" s="8">
        <f t="shared" si="7"/>
        <v>0.15547662976567447</v>
      </c>
      <c r="N35" s="8">
        <f t="shared" si="7"/>
        <v>0.37314391143761877</v>
      </c>
      <c r="O35" s="8">
        <f t="shared" si="7"/>
        <v>0.38186394785524652</v>
      </c>
    </row>
    <row r="36" spans="9:15" x14ac:dyDescent="0.25">
      <c r="L36" s="8" t="s">
        <v>95</v>
      </c>
      <c r="M36" s="8">
        <f t="shared" si="7"/>
        <v>6.274837075364155E-2</v>
      </c>
      <c r="N36" s="8">
        <f t="shared" si="7"/>
        <v>7.3631734837238769E-2</v>
      </c>
      <c r="O36" s="8">
        <f t="shared" si="7"/>
        <v>7.4067736658120151E-2</v>
      </c>
    </row>
    <row r="37" spans="9:15" x14ac:dyDescent="0.25">
      <c r="L37" s="8" t="s">
        <v>96</v>
      </c>
      <c r="M37" s="8">
        <f t="shared" si="7"/>
        <v>8.7847719055098181E-2</v>
      </c>
      <c r="N37" s="8">
        <f t="shared" si="7"/>
        <v>0.10308442877213429</v>
      </c>
      <c r="O37" s="8">
        <f t="shared" si="7"/>
        <v>0.10369483132136822</v>
      </c>
    </row>
    <row r="38" spans="9:15" x14ac:dyDescent="0.25">
      <c r="M38" s="8">
        <f>SUM(Table141617[Residential Cost])</f>
        <v>1.4055635048815707</v>
      </c>
      <c r="N38" s="8">
        <f>SUBTOTAL(109,Table141617[Business Cost])</f>
        <v>1.6493508603541482</v>
      </c>
      <c r="O38" s="8">
        <f>SUBTOTAL(109,Table141617[ITS cost])</f>
        <v>1.6591173011418914</v>
      </c>
    </row>
    <row r="45" spans="9:15" x14ac:dyDescent="0.25">
      <c r="L45" s="39" t="s">
        <v>97</v>
      </c>
      <c r="M45" s="10" t="s">
        <v>123</v>
      </c>
      <c r="N45" s="10" t="s">
        <v>124</v>
      </c>
      <c r="O45" s="40" t="s">
        <v>125</v>
      </c>
    </row>
    <row r="46" spans="9:15" x14ac:dyDescent="0.25">
      <c r="L46" s="32" t="s">
        <v>92</v>
      </c>
      <c r="M46" s="33">
        <f>Table19[[#Totals],[Total Rent cost per year]]</f>
        <v>46098</v>
      </c>
      <c r="N46" s="33">
        <f>Table19[[#Totals],[Total Rent cost per year]]</f>
        <v>46098</v>
      </c>
      <c r="O46" s="12">
        <f>Table19[[#Totals],[Total Rent cost per year]]</f>
        <v>46098</v>
      </c>
    </row>
    <row r="47" spans="9:15" x14ac:dyDescent="0.25">
      <c r="L47" s="34" t="s">
        <v>93</v>
      </c>
      <c r="M47" s="35">
        <f>Table19[[#Totals],[Energy Cost per year in CU]]</f>
        <v>23345.838</v>
      </c>
      <c r="N47" s="35">
        <f>Table19[[#Totals],[Energy Cost per year in CU]]</f>
        <v>23345.838</v>
      </c>
      <c r="O47" s="13">
        <f>Table19[[#Totals],[Energy Cost per year in CU]]</f>
        <v>23345.838</v>
      </c>
    </row>
    <row r="48" spans="9:15" x14ac:dyDescent="0.25">
      <c r="L48" s="32" t="s">
        <v>94</v>
      </c>
      <c r="M48" s="33">
        <f>Table19[[#Totals],[FM Cost]]+J33</f>
        <v>9819.9039360000006</v>
      </c>
      <c r="N48" s="33">
        <f>Table19[[#Totals],[FM Cost]]+Table19[[#Totals],[FM Penalty Business]]</f>
        <v>23567.769446400001</v>
      </c>
      <c r="O48" s="12">
        <f>Table19[[#Totals],[FM Cost]]+$J$20+Table19[[#Totals],[FM Penalty ITS]]</f>
        <v>24118.526946537371</v>
      </c>
    </row>
    <row r="49" spans="12:15" x14ac:dyDescent="0.25">
      <c r="L49" s="34" t="s">
        <v>95</v>
      </c>
      <c r="M49" s="35">
        <f>0.05*SUM(M46:M48)</f>
        <v>3963.1870968000003</v>
      </c>
      <c r="N49" s="35">
        <f>0.05*SUM(N46:N48)</f>
        <v>4650.5803723200006</v>
      </c>
      <c r="O49" s="13">
        <f>0.05*SUM(O46:O48)</f>
        <v>4678.1182473268691</v>
      </c>
    </row>
    <row r="50" spans="12:15" x14ac:dyDescent="0.25">
      <c r="L50" s="32" t="s">
        <v>96</v>
      </c>
      <c r="M50" s="33">
        <f>0.07*SUM(M46:M48)</f>
        <v>5548.4619355200011</v>
      </c>
      <c r="N50" s="33">
        <f>0.07*SUM(N46:N48)</f>
        <v>6510.8125212480018</v>
      </c>
      <c r="O50" s="12">
        <f>0.07*SUM(O46:O48)</f>
        <v>6549.3655462576171</v>
      </c>
    </row>
  </sheetData>
  <hyperlinks>
    <hyperlink ref="AA2" r:id="rId1" display="=@[Percentage of Business Users]*@[SLA CU per hour]*@[Failures per year]*@[Total Time to Repair(h)]"/>
    <hyperlink ref="AA3:AA10" r:id="rId2" display="=@[Percentage of Business Users]*@[SLA CU per hour]*@[Failures per year]*@[Total Time to Repair(h)]"/>
  </hyperlinks>
  <pageMargins left="0.7" right="0.7" top="0.75" bottom="0.75" header="0.3" footer="0.3"/>
  <pageSetup paperSize="9" orientation="portrait" verticalDpi="0" r:id="rId3"/>
  <headerFooter>
    <oddFooter>&amp;LUnrestricted</oddFooter>
  </headerFooter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FTTB_XGPON_100</vt:lpstr>
      <vt:lpstr>FTTB_DWDM_100</vt:lpstr>
      <vt:lpstr>FTTC_Hybridpon_25</vt:lpstr>
      <vt:lpstr>FTTB_Hybridpon_50</vt:lpstr>
      <vt:lpstr>FTTH_Hybridpon_100</vt:lpstr>
      <vt:lpstr>FTTC_Hybridpon_100</vt:lpstr>
      <vt:lpstr>FTTB_Hybridpon_100</vt:lpstr>
      <vt:lpstr>OPEX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2018-06-25T16:20:28Z</dcterms:created>
  <dcterms:modified xsi:type="dcterms:W3CDTF">2018-09-13T15:16:08Z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