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45" windowWidth="27795" windowHeight="13575" firstSheet="4" activeTab="11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C_Hybridpon_25" sheetId="11" r:id="rId8"/>
    <sheet name="FTTB_Hybridpon_50" sheetId="12" r:id="rId9"/>
    <sheet name="FTTH_Hybridpon_100" sheetId="13" r:id="rId10"/>
    <sheet name="FTTC_Hybridpon_100" sheetId="14" r:id="rId11"/>
    <sheet name="OPEX" sheetId="16" r:id="rId12"/>
  </sheet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L16" i="16" l="1"/>
  <c r="M13" i="16"/>
  <c r="Q20" i="13"/>
  <c r="M14" i="16" s="1"/>
  <c r="Q21" i="13"/>
  <c r="M15" i="16" s="1"/>
  <c r="Q22" i="13"/>
  <c r="Q23" i="13"/>
  <c r="M17" i="16" s="1"/>
  <c r="Q19" i="13"/>
  <c r="P20" i="13"/>
  <c r="P21" i="13"/>
  <c r="P22" i="13"/>
  <c r="P23" i="13"/>
  <c r="P19" i="13"/>
  <c r="Q26" i="14"/>
  <c r="Q22" i="14"/>
  <c r="N14" i="16" s="1"/>
  <c r="Q23" i="14"/>
  <c r="N15" i="16" s="1"/>
  <c r="Q24" i="14"/>
  <c r="N16" i="16" s="1"/>
  <c r="Q25" i="14"/>
  <c r="N17" i="16" s="1"/>
  <c r="Q21" i="14"/>
  <c r="N13" i="16" s="1"/>
  <c r="P22" i="14"/>
  <c r="P23" i="14"/>
  <c r="P24" i="14"/>
  <c r="P25" i="14"/>
  <c r="P21" i="14"/>
  <c r="Q37" i="14"/>
  <c r="Q36" i="14"/>
  <c r="Q35" i="14"/>
  <c r="Q34" i="14"/>
  <c r="Q33" i="14"/>
  <c r="P35" i="14"/>
  <c r="P34" i="14"/>
  <c r="P33" i="14"/>
  <c r="P37" i="14" s="1"/>
  <c r="Z10" i="14"/>
  <c r="Z9" i="14"/>
  <c r="Z8" i="14"/>
  <c r="Z7" i="14"/>
  <c r="Z6" i="14"/>
  <c r="Z5" i="14"/>
  <c r="Z4" i="14"/>
  <c r="Z3" i="14"/>
  <c r="Z2" i="14"/>
  <c r="Q24" i="12"/>
  <c r="P20" i="12"/>
  <c r="Q20" i="12"/>
  <c r="L14" i="16" s="1"/>
  <c r="P21" i="12"/>
  <c r="Q21" i="12"/>
  <c r="L15" i="16" s="1"/>
  <c r="P22" i="12"/>
  <c r="Q22" i="12"/>
  <c r="P23" i="12"/>
  <c r="Q23" i="12"/>
  <c r="L17" i="16" s="1"/>
  <c r="Q19" i="12"/>
  <c r="L13" i="16" s="1"/>
  <c r="P19" i="12"/>
  <c r="Q35" i="12"/>
  <c r="Q34" i="12"/>
  <c r="Q33" i="12"/>
  <c r="Q32" i="12"/>
  <c r="Q31" i="12"/>
  <c r="P33" i="12"/>
  <c r="P32" i="12"/>
  <c r="P31" i="12"/>
  <c r="P34" i="12" s="1"/>
  <c r="AB3" i="11"/>
  <c r="AB4" i="11"/>
  <c r="AB5" i="11"/>
  <c r="AB6" i="11"/>
  <c r="AB7" i="11"/>
  <c r="AB8" i="11"/>
  <c r="AB9" i="11"/>
  <c r="AB10" i="11"/>
  <c r="AA3" i="11"/>
  <c r="AA4" i="11"/>
  <c r="AA5" i="11"/>
  <c r="AA6" i="11"/>
  <c r="AA7" i="11"/>
  <c r="AA8" i="11"/>
  <c r="AA9" i="11"/>
  <c r="AA10" i="11"/>
  <c r="AA2" i="11"/>
  <c r="Q22" i="11"/>
  <c r="Q21" i="11"/>
  <c r="P22" i="11"/>
  <c r="P21" i="11"/>
  <c r="Z10" i="11"/>
  <c r="Z9" i="11"/>
  <c r="Z8" i="11"/>
  <c r="Z7" i="11"/>
  <c r="Z6" i="11"/>
  <c r="Z5" i="11"/>
  <c r="Z4" i="11"/>
  <c r="Z3" i="11"/>
  <c r="Z2" i="11"/>
  <c r="O37" i="7"/>
  <c r="O38" i="7"/>
  <c r="O39" i="7"/>
  <c r="O40" i="7"/>
  <c r="N37" i="7"/>
  <c r="N38" i="7"/>
  <c r="N39" i="7"/>
  <c r="N40" i="7"/>
  <c r="N36" i="7"/>
  <c r="O36" i="7"/>
  <c r="M37" i="7"/>
  <c r="M38" i="7"/>
  <c r="M39" i="7"/>
  <c r="M40" i="7"/>
  <c r="M36" i="7"/>
  <c r="N49" i="7"/>
  <c r="O48" i="7"/>
  <c r="N48" i="7"/>
  <c r="M48" i="7"/>
  <c r="O47" i="7"/>
  <c r="N47" i="7"/>
  <c r="N50" i="7" s="1"/>
  <c r="M47" i="7"/>
  <c r="M50" i="7" s="1"/>
  <c r="O46" i="7"/>
  <c r="O50" i="7" s="1"/>
  <c r="N46" i="7"/>
  <c r="M46" i="7"/>
  <c r="M49" i="7" s="1"/>
  <c r="P22" i="6"/>
  <c r="O22" i="6"/>
  <c r="N22" i="6"/>
  <c r="N23" i="6"/>
  <c r="N24" i="6"/>
  <c r="N25" i="6"/>
  <c r="O21" i="6"/>
  <c r="P21" i="6"/>
  <c r="N21" i="6"/>
  <c r="N33" i="6"/>
  <c r="P32" i="6"/>
  <c r="O32" i="6"/>
  <c r="N32" i="6"/>
  <c r="P31" i="6"/>
  <c r="O31" i="6"/>
  <c r="N31" i="6"/>
  <c r="N34" i="6" s="1"/>
  <c r="P35" i="5"/>
  <c r="P36" i="5"/>
  <c r="P37" i="5"/>
  <c r="P38" i="5"/>
  <c r="O35" i="5"/>
  <c r="O36" i="5"/>
  <c r="O37" i="5"/>
  <c r="O38" i="5"/>
  <c r="O34" i="5"/>
  <c r="P34" i="5"/>
  <c r="N35" i="5"/>
  <c r="N36" i="5"/>
  <c r="N37" i="5"/>
  <c r="N38" i="5"/>
  <c r="N34" i="5"/>
  <c r="O47" i="5"/>
  <c r="P46" i="5"/>
  <c r="O46" i="5"/>
  <c r="N46" i="5"/>
  <c r="P45" i="5"/>
  <c r="O45" i="5"/>
  <c r="O48" i="5" s="1"/>
  <c r="N45" i="5"/>
  <c r="P44" i="5"/>
  <c r="P48" i="5" s="1"/>
  <c r="O44" i="5"/>
  <c r="N44" i="5"/>
  <c r="N48" i="5" s="1"/>
  <c r="P27" i="3"/>
  <c r="O27" i="3"/>
  <c r="O28" i="3"/>
  <c r="O29" i="3"/>
  <c r="O30" i="3"/>
  <c r="O26" i="3"/>
  <c r="P26" i="3"/>
  <c r="N27" i="3"/>
  <c r="N28" i="3"/>
  <c r="N29" i="3"/>
  <c r="N30" i="3"/>
  <c r="N26" i="3"/>
  <c r="O40" i="3"/>
  <c r="O39" i="3"/>
  <c r="O38" i="3"/>
  <c r="N38" i="3"/>
  <c r="P37" i="3"/>
  <c r="O37" i="3"/>
  <c r="N37" i="3"/>
  <c r="N40" i="3" s="1"/>
  <c r="P36" i="3"/>
  <c r="O36" i="3"/>
  <c r="N36" i="3"/>
  <c r="N39" i="3" s="1"/>
  <c r="K27" i="2"/>
  <c r="J27" i="2"/>
  <c r="J26" i="2"/>
  <c r="K26" i="2"/>
  <c r="I27" i="2"/>
  <c r="I26" i="2"/>
  <c r="K37" i="2"/>
  <c r="J37" i="2"/>
  <c r="I37" i="2"/>
  <c r="K36" i="2"/>
  <c r="J36" i="2"/>
  <c r="I36" i="2"/>
  <c r="Q24" i="13" l="1"/>
  <c r="M16" i="16"/>
  <c r="P36" i="14"/>
  <c r="P35" i="12"/>
  <c r="O49" i="7"/>
  <c r="N35" i="6"/>
  <c r="N47" i="5"/>
  <c r="P47" i="5"/>
  <c r="F3" i="6"/>
  <c r="F4" i="6"/>
  <c r="F5" i="6"/>
  <c r="F6" i="6"/>
  <c r="F7" i="6"/>
  <c r="F8" i="6"/>
  <c r="F9" i="6"/>
  <c r="F10" i="6"/>
  <c r="F2" i="6"/>
  <c r="L9" i="11"/>
  <c r="L10" i="11"/>
  <c r="D10" i="14" l="1"/>
  <c r="D9" i="14"/>
  <c r="F9" i="14" s="1"/>
  <c r="H9" i="14" s="1"/>
  <c r="D8" i="14"/>
  <c r="F8" i="14" s="1"/>
  <c r="H8" i="14" s="1"/>
  <c r="D6" i="14"/>
  <c r="R6" i="14" s="1"/>
  <c r="D5" i="14"/>
  <c r="R5" i="14" s="1"/>
  <c r="D4" i="14"/>
  <c r="D3" i="14"/>
  <c r="D2" i="14"/>
  <c r="H19" i="14"/>
  <c r="I19" i="14" s="1"/>
  <c r="B19" i="14"/>
  <c r="C19" i="14" s="1"/>
  <c r="J19" i="14" s="1"/>
  <c r="I18" i="14"/>
  <c r="H18" i="14"/>
  <c r="B18" i="14"/>
  <c r="C18" i="14" s="1"/>
  <c r="J18" i="14" s="1"/>
  <c r="H17" i="14"/>
  <c r="I17" i="14" s="1"/>
  <c r="B17" i="14"/>
  <c r="C17" i="14" s="1"/>
  <c r="S10" i="14"/>
  <c r="T10" i="14" s="1"/>
  <c r="R10" i="14"/>
  <c r="M10" i="14"/>
  <c r="O10" i="14" s="1"/>
  <c r="F10" i="14"/>
  <c r="H10" i="14" s="1"/>
  <c r="S9" i="14"/>
  <c r="T9" i="14" s="1"/>
  <c r="S8" i="14"/>
  <c r="T8" i="14" s="1"/>
  <c r="R8" i="14"/>
  <c r="N8" i="14"/>
  <c r="C8" i="14"/>
  <c r="S7" i="14"/>
  <c r="T7" i="14" s="1"/>
  <c r="R7" i="14"/>
  <c r="N7" i="14"/>
  <c r="L7" i="14"/>
  <c r="M7" i="14" s="1"/>
  <c r="O7" i="14" s="1"/>
  <c r="I7" i="14"/>
  <c r="F7" i="14"/>
  <c r="H7" i="14" s="1"/>
  <c r="S6" i="14"/>
  <c r="T6" i="14" s="1"/>
  <c r="N6" i="14"/>
  <c r="M6" i="14"/>
  <c r="O6" i="14" s="1"/>
  <c r="I6" i="14"/>
  <c r="C6" i="14"/>
  <c r="S5" i="14"/>
  <c r="T5" i="14" s="1"/>
  <c r="N5" i="14"/>
  <c r="M5" i="14"/>
  <c r="O5" i="14" s="1"/>
  <c r="I5" i="14"/>
  <c r="S4" i="14"/>
  <c r="T4" i="14" s="1"/>
  <c r="R4" i="14"/>
  <c r="N4" i="14"/>
  <c r="L4" i="14"/>
  <c r="M4" i="14" s="1"/>
  <c r="O4" i="14" s="1"/>
  <c r="F4" i="14"/>
  <c r="H4" i="14" s="1"/>
  <c r="S3" i="14"/>
  <c r="T3" i="14" s="1"/>
  <c r="R3" i="14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D10" i="13"/>
  <c r="D9" i="13"/>
  <c r="D8" i="13"/>
  <c r="D6" i="13"/>
  <c r="F6" i="13" s="1"/>
  <c r="H6" i="13" s="1"/>
  <c r="D5" i="13"/>
  <c r="R5" i="13" s="1"/>
  <c r="D4" i="13"/>
  <c r="F4" i="13" s="1"/>
  <c r="H4" i="13" s="1"/>
  <c r="D3" i="13"/>
  <c r="R3" i="13" s="1"/>
  <c r="D2" i="13"/>
  <c r="H18" i="13"/>
  <c r="I18" i="13" s="1"/>
  <c r="B18" i="13"/>
  <c r="C18" i="13" s="1"/>
  <c r="J18" i="13" s="1"/>
  <c r="I17" i="13"/>
  <c r="J17" i="13" s="1"/>
  <c r="H17" i="13"/>
  <c r="C17" i="13"/>
  <c r="B17" i="13"/>
  <c r="H16" i="13"/>
  <c r="I16" i="13" s="1"/>
  <c r="C16" i="13"/>
  <c r="J16" i="13" s="1"/>
  <c r="B16" i="13"/>
  <c r="S10" i="13"/>
  <c r="T10" i="13" s="1"/>
  <c r="R10" i="13"/>
  <c r="M10" i="13"/>
  <c r="O10" i="13" s="1"/>
  <c r="I10" i="13"/>
  <c r="F10" i="13"/>
  <c r="H10" i="13" s="1"/>
  <c r="S9" i="13"/>
  <c r="T9" i="13" s="1"/>
  <c r="I9" i="13"/>
  <c r="S8" i="13"/>
  <c r="T8" i="13" s="1"/>
  <c r="N8" i="13"/>
  <c r="L8" i="13"/>
  <c r="M8" i="13" s="1"/>
  <c r="O8" i="13" s="1"/>
  <c r="F8" i="13"/>
  <c r="H8" i="13" s="1"/>
  <c r="S7" i="13"/>
  <c r="T7" i="13" s="1"/>
  <c r="R7" i="13"/>
  <c r="N7" i="13"/>
  <c r="M7" i="13"/>
  <c r="O7" i="13" s="1"/>
  <c r="I7" i="13"/>
  <c r="F7" i="13"/>
  <c r="H7" i="13" s="1"/>
  <c r="S6" i="13"/>
  <c r="T6" i="13" s="1"/>
  <c r="R6" i="13"/>
  <c r="N6" i="13"/>
  <c r="M6" i="13"/>
  <c r="O6" i="13" s="1"/>
  <c r="S5" i="13"/>
  <c r="T5" i="13" s="1"/>
  <c r="N5" i="13"/>
  <c r="M5" i="13"/>
  <c r="O5" i="13" s="1"/>
  <c r="F5" i="13"/>
  <c r="H5" i="13" s="1"/>
  <c r="S4" i="13"/>
  <c r="T4" i="13" s="1"/>
  <c r="N4" i="13"/>
  <c r="L4" i="13"/>
  <c r="M4" i="13" s="1"/>
  <c r="O4" i="13" s="1"/>
  <c r="S3" i="13"/>
  <c r="T3" i="13" s="1"/>
  <c r="N3" i="13"/>
  <c r="I3" i="13"/>
  <c r="S2" i="13"/>
  <c r="T2" i="13" s="1"/>
  <c r="R2" i="13"/>
  <c r="N2" i="13"/>
  <c r="L2" i="13"/>
  <c r="M2" i="13" s="1"/>
  <c r="O2" i="13" s="1"/>
  <c r="I2" i="13"/>
  <c r="F2" i="13"/>
  <c r="H2" i="13" s="1"/>
  <c r="B19" i="11"/>
  <c r="B18" i="11"/>
  <c r="B17" i="11"/>
  <c r="M10" i="12"/>
  <c r="O10" i="12" s="1"/>
  <c r="L2" i="11"/>
  <c r="I10" i="12"/>
  <c r="F10" i="12"/>
  <c r="H10" i="12" s="1"/>
  <c r="R10" i="12"/>
  <c r="S10" i="12"/>
  <c r="T10" i="12" s="1"/>
  <c r="D9" i="12"/>
  <c r="D8" i="12"/>
  <c r="D5" i="12"/>
  <c r="D4" i="12"/>
  <c r="D3" i="12"/>
  <c r="D9" i="11"/>
  <c r="C8" i="11"/>
  <c r="C6" i="11"/>
  <c r="C9" i="8"/>
  <c r="C4" i="8"/>
  <c r="B17" i="7"/>
  <c r="B16" i="7"/>
  <c r="B15" i="7"/>
  <c r="D8" i="7"/>
  <c r="D7" i="7"/>
  <c r="D6" i="7"/>
  <c r="D4" i="7"/>
  <c r="D3" i="7"/>
  <c r="D2" i="7"/>
  <c r="B17" i="6"/>
  <c r="B16" i="6"/>
  <c r="B19" i="5"/>
  <c r="B18" i="5"/>
  <c r="B17" i="3"/>
  <c r="B16" i="3"/>
  <c r="B15" i="3"/>
  <c r="D8" i="3"/>
  <c r="D7" i="3"/>
  <c r="D6" i="3"/>
  <c r="D3" i="3"/>
  <c r="AB3" i="13" l="1"/>
  <c r="AA3" i="13"/>
  <c r="AB7" i="13"/>
  <c r="AA7" i="13"/>
  <c r="AB10" i="13"/>
  <c r="AA10" i="13"/>
  <c r="W2" i="13"/>
  <c r="AB2" i="13"/>
  <c r="AA2" i="13"/>
  <c r="AB5" i="13"/>
  <c r="AA5" i="13"/>
  <c r="AB6" i="13"/>
  <c r="AA6" i="13"/>
  <c r="AB4" i="14"/>
  <c r="AA4" i="14"/>
  <c r="AB3" i="14"/>
  <c r="AA3" i="14"/>
  <c r="AA8" i="14"/>
  <c r="AB8" i="14"/>
  <c r="AB7" i="14"/>
  <c r="AA7" i="14"/>
  <c r="AB2" i="14"/>
  <c r="AA2" i="14"/>
  <c r="W6" i="14"/>
  <c r="AB6" i="14"/>
  <c r="AA6" i="14"/>
  <c r="AB5" i="14"/>
  <c r="AA5" i="14"/>
  <c r="AB10" i="14"/>
  <c r="AA10" i="14"/>
  <c r="W4" i="14"/>
  <c r="W10" i="14"/>
  <c r="W8" i="14"/>
  <c r="W2" i="14"/>
  <c r="W5" i="14"/>
  <c r="W7" i="13"/>
  <c r="W5" i="13"/>
  <c r="AB10" i="12"/>
  <c r="AA10" i="12"/>
  <c r="I8" i="14"/>
  <c r="I9" i="14"/>
  <c r="L8" i="14"/>
  <c r="M8" i="14" s="1"/>
  <c r="O8" i="14" s="1"/>
  <c r="L9" i="14"/>
  <c r="M9" i="14" s="1"/>
  <c r="O9" i="14" s="1"/>
  <c r="O11" i="14"/>
  <c r="R9" i="14"/>
  <c r="F5" i="14"/>
  <c r="H5" i="14" s="1"/>
  <c r="F6" i="14"/>
  <c r="H6" i="14" s="1"/>
  <c r="W3" i="14"/>
  <c r="W7" i="14"/>
  <c r="J17" i="14"/>
  <c r="J20" i="14" s="1"/>
  <c r="L3" i="13"/>
  <c r="M3" i="13" s="1"/>
  <c r="O3" i="13" s="1"/>
  <c r="F3" i="13"/>
  <c r="H3" i="13" s="1"/>
  <c r="R4" i="13"/>
  <c r="I6" i="13"/>
  <c r="W6" i="13"/>
  <c r="W10" i="13"/>
  <c r="W3" i="13"/>
  <c r="J19" i="13"/>
  <c r="I8" i="13"/>
  <c r="R9" i="13"/>
  <c r="F9" i="13"/>
  <c r="H9" i="13" s="1"/>
  <c r="R8" i="13"/>
  <c r="L9" i="13"/>
  <c r="M9" i="13" s="1"/>
  <c r="O9" i="13" s="1"/>
  <c r="W10" i="12"/>
  <c r="W4" i="13" l="1"/>
  <c r="AA4" i="13"/>
  <c r="AB4" i="13"/>
  <c r="AB11" i="13"/>
  <c r="Q33" i="13" s="1"/>
  <c r="O11" i="13"/>
  <c r="W8" i="13"/>
  <c r="AA8" i="13"/>
  <c r="AB8" i="13"/>
  <c r="W9" i="13"/>
  <c r="AB9" i="13"/>
  <c r="AA9" i="13"/>
  <c r="AA11" i="13" s="1"/>
  <c r="H11" i="14"/>
  <c r="W9" i="14"/>
  <c r="W11" i="14" s="1"/>
  <c r="AB9" i="14"/>
  <c r="AA9" i="14"/>
  <c r="AA11" i="14" s="1"/>
  <c r="AB11" i="14"/>
  <c r="N29" i="16"/>
  <c r="W11" i="13"/>
  <c r="H11" i="13"/>
  <c r="Q31" i="13" l="1"/>
  <c r="P31" i="13"/>
  <c r="P32" i="13"/>
  <c r="Q32" i="13"/>
  <c r="P33" i="13"/>
  <c r="P16" i="14"/>
  <c r="N28" i="16"/>
  <c r="M16" i="13"/>
  <c r="P24" i="13" l="1"/>
  <c r="P35" i="13"/>
  <c r="P34" i="13"/>
  <c r="Q35" i="13"/>
  <c r="Q34" i="13"/>
  <c r="N30" i="16"/>
  <c r="N32" i="16"/>
  <c r="P26" i="14"/>
  <c r="N31" i="16"/>
  <c r="C9" i="2"/>
  <c r="C4" i="2"/>
  <c r="N33" i="16" l="1"/>
  <c r="N18" i="16"/>
  <c r="N3" i="12"/>
  <c r="N4" i="12"/>
  <c r="N5" i="12"/>
  <c r="N6" i="12"/>
  <c r="N7" i="12"/>
  <c r="N8" i="12"/>
  <c r="N3" i="11"/>
  <c r="N4" i="11"/>
  <c r="N5" i="11"/>
  <c r="N6" i="11"/>
  <c r="N7" i="11"/>
  <c r="N8" i="11"/>
  <c r="N9" i="11"/>
  <c r="N10" i="11"/>
  <c r="N3" i="8"/>
  <c r="N4" i="8"/>
  <c r="N5" i="8"/>
  <c r="N6" i="8"/>
  <c r="N7" i="8"/>
  <c r="N8" i="8"/>
  <c r="N9" i="8"/>
  <c r="N3" i="7"/>
  <c r="N4" i="7"/>
  <c r="N5" i="7"/>
  <c r="N6" i="7"/>
  <c r="N7" i="7"/>
  <c r="N8" i="7"/>
  <c r="N9" i="7"/>
  <c r="N10" i="7"/>
  <c r="N3" i="6"/>
  <c r="N4" i="6"/>
  <c r="N5" i="6"/>
  <c r="N6" i="6"/>
  <c r="N7" i="6"/>
  <c r="N8" i="6"/>
  <c r="N9" i="6"/>
  <c r="N10" i="6"/>
  <c r="N3" i="5"/>
  <c r="N4" i="5"/>
  <c r="N5" i="5"/>
  <c r="N6" i="5"/>
  <c r="N7" i="5"/>
  <c r="N8" i="5"/>
  <c r="N9" i="5"/>
  <c r="N10" i="5"/>
  <c r="N3" i="3"/>
  <c r="N4" i="3"/>
  <c r="N5" i="3"/>
  <c r="N6" i="3"/>
  <c r="N7" i="3"/>
  <c r="N8" i="3"/>
  <c r="N9" i="3"/>
  <c r="N10" i="3"/>
  <c r="N3" i="2"/>
  <c r="N4" i="2"/>
  <c r="N5" i="2"/>
  <c r="N6" i="2"/>
  <c r="N7" i="2"/>
  <c r="N8" i="2"/>
  <c r="N9" i="2"/>
  <c r="N2" i="2"/>
  <c r="M30" i="16" l="1"/>
  <c r="M28" i="16"/>
  <c r="N2" i="12"/>
  <c r="N2" i="11"/>
  <c r="N2" i="8"/>
  <c r="N2" i="7"/>
  <c r="N2" i="6"/>
  <c r="N2" i="5"/>
  <c r="N2" i="3"/>
  <c r="O17" i="8" l="1"/>
  <c r="O16" i="8"/>
  <c r="O15" i="8"/>
  <c r="Z9" i="8"/>
  <c r="Z8" i="8"/>
  <c r="Z7" i="8"/>
  <c r="Z6" i="8"/>
  <c r="Z5" i="8"/>
  <c r="Z4" i="8"/>
  <c r="Z3" i="8"/>
  <c r="Z2" i="8"/>
  <c r="O16" i="2"/>
  <c r="O17" i="2"/>
  <c r="O15" i="2"/>
  <c r="Z3" i="3"/>
  <c r="Z4" i="3"/>
  <c r="Z5" i="3"/>
  <c r="Z6" i="3"/>
  <c r="Z7" i="3"/>
  <c r="Z8" i="3"/>
  <c r="Z9" i="3"/>
  <c r="Z10" i="3"/>
  <c r="Z2" i="3"/>
  <c r="Z3" i="2"/>
  <c r="Z4" i="2"/>
  <c r="Z5" i="2"/>
  <c r="Z6" i="2"/>
  <c r="Z7" i="2"/>
  <c r="Z8" i="2"/>
  <c r="Z9" i="2"/>
  <c r="Z10" i="2"/>
  <c r="Z2" i="2"/>
  <c r="E2" i="2" l="1"/>
  <c r="L4" i="7"/>
  <c r="M4" i="7" s="1"/>
  <c r="L4" i="6"/>
  <c r="M4" i="6" s="1"/>
  <c r="O4" i="6" s="1"/>
  <c r="L6" i="6"/>
  <c r="M6" i="6" s="1"/>
  <c r="O6" i="6" s="1"/>
  <c r="L3" i="6"/>
  <c r="M3" i="6" s="1"/>
  <c r="O3" i="6" s="1"/>
  <c r="B18" i="12"/>
  <c r="C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R9" i="11"/>
  <c r="R9" i="12"/>
  <c r="R3" i="12"/>
  <c r="R4" i="12"/>
  <c r="R5" i="12"/>
  <c r="R6" i="12"/>
  <c r="R7" i="12"/>
  <c r="R8" i="12"/>
  <c r="R2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M4" i="12"/>
  <c r="O4" i="12" s="1"/>
  <c r="M5" i="12"/>
  <c r="O5" i="12" s="1"/>
  <c r="M6" i="12"/>
  <c r="O6" i="12" s="1"/>
  <c r="M7" i="12"/>
  <c r="O7" i="12" s="1"/>
  <c r="L8" i="12"/>
  <c r="M8" i="12" s="1"/>
  <c r="O8" i="12" s="1"/>
  <c r="L4" i="12"/>
  <c r="L3" i="12"/>
  <c r="M3" i="12" s="1"/>
  <c r="O3" i="12" s="1"/>
  <c r="L2" i="12"/>
  <c r="M2" i="12" s="1"/>
  <c r="O2" i="12" s="1"/>
  <c r="I9" i="12"/>
  <c r="I8" i="12"/>
  <c r="I7" i="12"/>
  <c r="I6" i="12"/>
  <c r="I3" i="12"/>
  <c r="I2" i="12"/>
  <c r="F3" i="12"/>
  <c r="H3" i="12" s="1"/>
  <c r="F4" i="12"/>
  <c r="H4" i="12" s="1"/>
  <c r="F5" i="12"/>
  <c r="H5" i="12" s="1"/>
  <c r="F6" i="12"/>
  <c r="H6" i="12" s="1"/>
  <c r="F7" i="12"/>
  <c r="H7" i="12" s="1"/>
  <c r="F8" i="12"/>
  <c r="H8" i="12" s="1"/>
  <c r="F9" i="12"/>
  <c r="M9" i="12" s="1"/>
  <c r="O9" i="12" s="1"/>
  <c r="F2" i="12"/>
  <c r="H2" i="12" s="1"/>
  <c r="I18" i="11"/>
  <c r="I19" i="11"/>
  <c r="I17" i="11"/>
  <c r="H18" i="11"/>
  <c r="H19" i="11"/>
  <c r="H17" i="11"/>
  <c r="C18" i="11"/>
  <c r="J18" i="11" s="1"/>
  <c r="C19" i="11"/>
  <c r="J19" i="11" s="1"/>
  <c r="C17" i="11"/>
  <c r="J17" i="11" s="1"/>
  <c r="T4" i="11"/>
  <c r="S3" i="11"/>
  <c r="T3" i="11" s="1"/>
  <c r="S4" i="11"/>
  <c r="S5" i="11"/>
  <c r="T5" i="11" s="1"/>
  <c r="S6" i="11"/>
  <c r="T6" i="11" s="1"/>
  <c r="S7" i="11"/>
  <c r="T7" i="11" s="1"/>
  <c r="S8" i="11"/>
  <c r="T8" i="11" s="1"/>
  <c r="S9" i="11"/>
  <c r="T9" i="11" s="1"/>
  <c r="S10" i="11"/>
  <c r="T10" i="11" s="1"/>
  <c r="S2" i="11"/>
  <c r="T2" i="11" s="1"/>
  <c r="R3" i="11"/>
  <c r="R4" i="11"/>
  <c r="R5" i="11"/>
  <c r="R6" i="11"/>
  <c r="R7" i="11"/>
  <c r="R8" i="11"/>
  <c r="R10" i="11"/>
  <c r="R2" i="11"/>
  <c r="M4" i="11"/>
  <c r="O4" i="11" s="1"/>
  <c r="M5" i="11"/>
  <c r="O5" i="11" s="1"/>
  <c r="M6" i="11"/>
  <c r="O6" i="11" s="1"/>
  <c r="M7" i="11"/>
  <c r="O7" i="11" s="1"/>
  <c r="M9" i="11"/>
  <c r="O9" i="11" s="1"/>
  <c r="M10" i="11"/>
  <c r="O10" i="11" s="1"/>
  <c r="M8" i="11"/>
  <c r="O8" i="11" s="1"/>
  <c r="L7" i="11"/>
  <c r="L4" i="11"/>
  <c r="L3" i="11"/>
  <c r="M3" i="11" s="1"/>
  <c r="O3" i="11" s="1"/>
  <c r="M2" i="11"/>
  <c r="O2" i="11" s="1"/>
  <c r="I9" i="11"/>
  <c r="I8" i="11"/>
  <c r="I7" i="11"/>
  <c r="I6" i="11"/>
  <c r="I5" i="11"/>
  <c r="I3" i="11"/>
  <c r="I2" i="11"/>
  <c r="F3" i="11"/>
  <c r="H3" i="11" s="1"/>
  <c r="F4" i="11"/>
  <c r="H4" i="11" s="1"/>
  <c r="F5" i="11"/>
  <c r="H5" i="11" s="1"/>
  <c r="F6" i="11"/>
  <c r="H6" i="11" s="1"/>
  <c r="F7" i="11"/>
  <c r="H7" i="11" s="1"/>
  <c r="F8" i="11"/>
  <c r="H8" i="11" s="1"/>
  <c r="F9" i="11"/>
  <c r="H9" i="11" s="1"/>
  <c r="F10" i="11"/>
  <c r="H10" i="11" s="1"/>
  <c r="F2" i="11"/>
  <c r="H2" i="11" s="1"/>
  <c r="R8" i="8"/>
  <c r="L7" i="8"/>
  <c r="M7" i="8" s="1"/>
  <c r="R3" i="8"/>
  <c r="I17" i="8"/>
  <c r="K17" i="8" s="1"/>
  <c r="H17" i="8"/>
  <c r="J17" i="8" s="1"/>
  <c r="B17" i="8"/>
  <c r="I16" i="8"/>
  <c r="K16" i="8" s="1"/>
  <c r="H16" i="8"/>
  <c r="J16" i="8" s="1"/>
  <c r="B16" i="8"/>
  <c r="P16" i="8" s="1"/>
  <c r="I15" i="8"/>
  <c r="K15" i="8" s="1"/>
  <c r="H15" i="8"/>
  <c r="J15" i="8" s="1"/>
  <c r="B15" i="8"/>
  <c r="P15" i="8" s="1"/>
  <c r="S9" i="8"/>
  <c r="T9" i="8" s="1"/>
  <c r="R9" i="8"/>
  <c r="L9" i="8"/>
  <c r="M9" i="8" s="1"/>
  <c r="O9" i="8" s="1"/>
  <c r="F9" i="8"/>
  <c r="H9" i="8" s="1"/>
  <c r="S8" i="8"/>
  <c r="T8" i="8" s="1"/>
  <c r="S7" i="8"/>
  <c r="T7" i="8" s="1"/>
  <c r="S6" i="8"/>
  <c r="T6" i="8" s="1"/>
  <c r="R6" i="8"/>
  <c r="M6" i="8"/>
  <c r="O6" i="8" s="1"/>
  <c r="F6" i="8"/>
  <c r="H6" i="8" s="1"/>
  <c r="S5" i="8"/>
  <c r="T5" i="8" s="1"/>
  <c r="R5" i="8"/>
  <c r="M5" i="8"/>
  <c r="O5" i="8" s="1"/>
  <c r="F5" i="8"/>
  <c r="H5" i="8" s="1"/>
  <c r="S4" i="8"/>
  <c r="T4" i="8" s="1"/>
  <c r="R4" i="8"/>
  <c r="L4" i="8"/>
  <c r="M4" i="8" s="1"/>
  <c r="O4" i="8" s="1"/>
  <c r="F4" i="8"/>
  <c r="H4" i="8" s="1"/>
  <c r="S3" i="8"/>
  <c r="T3" i="8" s="1"/>
  <c r="S2" i="8"/>
  <c r="T2" i="8" s="1"/>
  <c r="R2" i="8"/>
  <c r="L2" i="8"/>
  <c r="M2" i="8" s="1"/>
  <c r="O2" i="8" s="1"/>
  <c r="G2" i="8"/>
  <c r="F2" i="8"/>
  <c r="L7" i="7"/>
  <c r="M7" i="7" s="1"/>
  <c r="L5" i="7"/>
  <c r="M5" i="7" s="1"/>
  <c r="O5" i="7" s="1"/>
  <c r="M6" i="7"/>
  <c r="M9" i="7"/>
  <c r="M10" i="7"/>
  <c r="L2" i="7"/>
  <c r="R8" i="7"/>
  <c r="L3" i="7"/>
  <c r="M3" i="7" s="1"/>
  <c r="O3" i="7" s="1"/>
  <c r="F2" i="7"/>
  <c r="H2" i="7" s="1"/>
  <c r="I4" i="6"/>
  <c r="I5" i="6"/>
  <c r="I6" i="6"/>
  <c r="I7" i="6"/>
  <c r="I8" i="6"/>
  <c r="I9" i="6"/>
  <c r="I10" i="6"/>
  <c r="I3" i="6"/>
  <c r="T3" i="6"/>
  <c r="T7" i="6"/>
  <c r="W7" i="6" s="1"/>
  <c r="T10" i="6"/>
  <c r="T2" i="6"/>
  <c r="S3" i="6"/>
  <c r="S4" i="6"/>
  <c r="T4" i="6" s="1"/>
  <c r="S5" i="6"/>
  <c r="T5" i="6" s="1"/>
  <c r="S6" i="6"/>
  <c r="T6" i="6" s="1"/>
  <c r="S7" i="6"/>
  <c r="S8" i="6"/>
  <c r="T8" i="6" s="1"/>
  <c r="S9" i="6"/>
  <c r="T9" i="6" s="1"/>
  <c r="S10" i="6"/>
  <c r="R3" i="6"/>
  <c r="R4" i="6"/>
  <c r="R5" i="6"/>
  <c r="R6" i="6"/>
  <c r="R7" i="6"/>
  <c r="R8" i="6"/>
  <c r="R9" i="6"/>
  <c r="R10" i="6"/>
  <c r="W10" i="6" s="1"/>
  <c r="S2" i="6"/>
  <c r="R2" i="6"/>
  <c r="M5" i="6"/>
  <c r="O5" i="6" s="1"/>
  <c r="M7" i="6"/>
  <c r="O7" i="6" s="1"/>
  <c r="M8" i="6"/>
  <c r="O8" i="6" s="1"/>
  <c r="M9" i="6"/>
  <c r="O9" i="6" s="1"/>
  <c r="G22" i="7"/>
  <c r="H22" i="7" s="1"/>
  <c r="G21" i="7"/>
  <c r="H21" i="7" s="1"/>
  <c r="G20" i="7"/>
  <c r="H20" i="7" s="1"/>
  <c r="B22" i="7"/>
  <c r="B21" i="7"/>
  <c r="B20" i="7"/>
  <c r="S10" i="7"/>
  <c r="T10" i="7" s="1"/>
  <c r="R10" i="7"/>
  <c r="I10" i="7"/>
  <c r="F10" i="7"/>
  <c r="H10" i="7" s="1"/>
  <c r="S9" i="7"/>
  <c r="T9" i="7" s="1"/>
  <c r="R9" i="7"/>
  <c r="I9" i="7"/>
  <c r="F9" i="7"/>
  <c r="H9" i="7" s="1"/>
  <c r="S8" i="7"/>
  <c r="T8" i="7" s="1"/>
  <c r="S7" i="7"/>
  <c r="T7" i="7" s="1"/>
  <c r="R7" i="7"/>
  <c r="F7" i="7"/>
  <c r="H7" i="7" s="1"/>
  <c r="S6" i="7"/>
  <c r="T6" i="7" s="1"/>
  <c r="R6" i="7"/>
  <c r="I6" i="7"/>
  <c r="F6" i="7"/>
  <c r="H6" i="7" s="1"/>
  <c r="S5" i="7"/>
  <c r="T5" i="7" s="1"/>
  <c r="R5" i="7"/>
  <c r="F5" i="7"/>
  <c r="H5" i="7" s="1"/>
  <c r="S4" i="7"/>
  <c r="T4" i="7" s="1"/>
  <c r="R4" i="7"/>
  <c r="F4" i="7"/>
  <c r="H4" i="7" s="1"/>
  <c r="S3" i="7"/>
  <c r="T3" i="7" s="1"/>
  <c r="R3" i="7"/>
  <c r="F3" i="7"/>
  <c r="H3" i="7" s="1"/>
  <c r="S2" i="7"/>
  <c r="T2" i="7" s="1"/>
  <c r="R2" i="7"/>
  <c r="C19" i="5"/>
  <c r="J16" i="6"/>
  <c r="C17" i="6"/>
  <c r="J17" i="6" s="1"/>
  <c r="H17" i="6"/>
  <c r="I17" i="6" s="1"/>
  <c r="H16" i="6"/>
  <c r="I16" i="6" s="1"/>
  <c r="C16" i="6"/>
  <c r="H3" i="6"/>
  <c r="H4" i="6"/>
  <c r="H5" i="6"/>
  <c r="H6" i="6"/>
  <c r="H7" i="6"/>
  <c r="H8" i="6"/>
  <c r="H9" i="6"/>
  <c r="H10" i="6"/>
  <c r="H2" i="6"/>
  <c r="L10" i="6"/>
  <c r="M10" i="6" s="1"/>
  <c r="O10" i="6" s="1"/>
  <c r="L9" i="6"/>
  <c r="L2" i="6"/>
  <c r="M2" i="6" s="1"/>
  <c r="O2" i="6" s="1"/>
  <c r="I19" i="5"/>
  <c r="I18" i="5"/>
  <c r="H19" i="5"/>
  <c r="H18" i="5"/>
  <c r="C18" i="5"/>
  <c r="T4" i="5"/>
  <c r="W4" i="5" s="1"/>
  <c r="T6" i="5"/>
  <c r="S3" i="5"/>
  <c r="T3" i="5" s="1"/>
  <c r="S4" i="5"/>
  <c r="S5" i="5"/>
  <c r="T5" i="5" s="1"/>
  <c r="S6" i="5"/>
  <c r="S7" i="5"/>
  <c r="T7" i="5" s="1"/>
  <c r="W7" i="5" s="1"/>
  <c r="S8" i="5"/>
  <c r="T8" i="5" s="1"/>
  <c r="W8" i="5" s="1"/>
  <c r="S9" i="5"/>
  <c r="T9" i="5" s="1"/>
  <c r="S10" i="5"/>
  <c r="T10" i="5" s="1"/>
  <c r="S2" i="5"/>
  <c r="T2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M5" i="5"/>
  <c r="O5" i="5" s="1"/>
  <c r="M7" i="5"/>
  <c r="O7" i="5" s="1"/>
  <c r="M8" i="5"/>
  <c r="O8" i="5" s="1"/>
  <c r="L10" i="5"/>
  <c r="M10" i="5" s="1"/>
  <c r="O10" i="5" s="1"/>
  <c r="L9" i="5"/>
  <c r="M9" i="5" s="1"/>
  <c r="O9" i="5" s="1"/>
  <c r="L6" i="5"/>
  <c r="M6" i="5" s="1"/>
  <c r="O6" i="5" s="1"/>
  <c r="L4" i="5"/>
  <c r="M4" i="5" s="1"/>
  <c r="O4" i="5" s="1"/>
  <c r="L2" i="5"/>
  <c r="M2" i="5" s="1"/>
  <c r="O2" i="5" s="1"/>
  <c r="L3" i="5"/>
  <c r="M3" i="5" s="1"/>
  <c r="O3" i="5" s="1"/>
  <c r="I10" i="5"/>
  <c r="I9" i="5"/>
  <c r="I9" i="3"/>
  <c r="I8" i="5"/>
  <c r="I3" i="5"/>
  <c r="H5" i="5"/>
  <c r="H9" i="5"/>
  <c r="F3" i="5"/>
  <c r="H3" i="5" s="1"/>
  <c r="F4" i="5"/>
  <c r="H4" i="5" s="1"/>
  <c r="F5" i="5"/>
  <c r="F6" i="5"/>
  <c r="H6" i="5" s="1"/>
  <c r="F7" i="5"/>
  <c r="H7" i="5" s="1"/>
  <c r="F8" i="5"/>
  <c r="H8" i="5" s="1"/>
  <c r="F9" i="5"/>
  <c r="F10" i="5"/>
  <c r="H10" i="5" s="1"/>
  <c r="F2" i="5"/>
  <c r="H2" i="5" s="1"/>
  <c r="C8" i="5"/>
  <c r="C6" i="5"/>
  <c r="AA2" i="12" l="1"/>
  <c r="AB2" i="12"/>
  <c r="J18" i="12"/>
  <c r="AB8" i="12"/>
  <c r="AA8" i="12"/>
  <c r="AB9" i="12"/>
  <c r="AA9" i="12"/>
  <c r="AA5" i="12"/>
  <c r="AB5" i="12"/>
  <c r="W7" i="12"/>
  <c r="AB7" i="12"/>
  <c r="AA7" i="12"/>
  <c r="AA4" i="12"/>
  <c r="AB4" i="12"/>
  <c r="AB6" i="12"/>
  <c r="AA6" i="12"/>
  <c r="AB3" i="12"/>
  <c r="AA3" i="12"/>
  <c r="W5" i="12"/>
  <c r="W4" i="12"/>
  <c r="W7" i="11"/>
  <c r="W5" i="11"/>
  <c r="W9" i="11"/>
  <c r="W3" i="11"/>
  <c r="AB2" i="11"/>
  <c r="AA11" i="11"/>
  <c r="W4" i="11"/>
  <c r="W10" i="11"/>
  <c r="W6" i="11"/>
  <c r="W8" i="11"/>
  <c r="J20" i="11"/>
  <c r="W9" i="12"/>
  <c r="W6" i="12"/>
  <c r="W2" i="12"/>
  <c r="W8" i="12"/>
  <c r="W3" i="12"/>
  <c r="H9" i="12"/>
  <c r="H11" i="12" s="1"/>
  <c r="W2" i="11"/>
  <c r="P17" i="8"/>
  <c r="Q17" i="8"/>
  <c r="Q15" i="8"/>
  <c r="Q16" i="8"/>
  <c r="M22" i="7"/>
  <c r="N22" i="7"/>
  <c r="M21" i="7"/>
  <c r="N21" i="7"/>
  <c r="M20" i="7"/>
  <c r="N20" i="7"/>
  <c r="AA4" i="7"/>
  <c r="AB4" i="7"/>
  <c r="AB3" i="7"/>
  <c r="AA3" i="7"/>
  <c r="AB5" i="7"/>
  <c r="AA5" i="7"/>
  <c r="AA9" i="7"/>
  <c r="AB9" i="7"/>
  <c r="AA8" i="7"/>
  <c r="AB8" i="7"/>
  <c r="AB6" i="7"/>
  <c r="AA6" i="7"/>
  <c r="AB2" i="7"/>
  <c r="AA2" i="7"/>
  <c r="AB10" i="7"/>
  <c r="AA10" i="7"/>
  <c r="AB7" i="7"/>
  <c r="AA7" i="7"/>
  <c r="O17" i="6"/>
  <c r="N17" i="6"/>
  <c r="J18" i="6"/>
  <c r="O16" i="6"/>
  <c r="N16" i="6"/>
  <c r="J19" i="5"/>
  <c r="N19" i="5"/>
  <c r="O19" i="5"/>
  <c r="O18" i="5"/>
  <c r="N18" i="5"/>
  <c r="J18" i="5"/>
  <c r="AB8" i="5"/>
  <c r="AA8" i="5"/>
  <c r="W2" i="5"/>
  <c r="W3" i="5"/>
  <c r="AB6" i="5"/>
  <c r="AA6" i="5"/>
  <c r="AB3" i="5"/>
  <c r="AA3" i="5"/>
  <c r="AB7" i="5"/>
  <c r="AA7" i="5"/>
  <c r="W10" i="5"/>
  <c r="W6" i="5"/>
  <c r="AB5" i="5"/>
  <c r="AA5" i="5"/>
  <c r="AA4" i="5"/>
  <c r="AB4" i="5"/>
  <c r="AB2" i="5"/>
  <c r="AA2" i="5"/>
  <c r="AA10" i="5"/>
  <c r="AB10" i="5"/>
  <c r="AA5" i="3"/>
  <c r="AB5" i="3"/>
  <c r="AB4" i="3"/>
  <c r="AA4" i="3"/>
  <c r="AA2" i="3"/>
  <c r="AB2" i="3"/>
  <c r="AA3" i="3"/>
  <c r="AB3" i="3"/>
  <c r="AA3" i="2"/>
  <c r="AB3" i="2"/>
  <c r="AB5" i="2"/>
  <c r="AA5" i="2"/>
  <c r="AB2" i="2"/>
  <c r="AA2" i="2"/>
  <c r="AA10" i="2"/>
  <c r="AB10" i="2"/>
  <c r="AA4" i="2"/>
  <c r="AB4" i="2"/>
  <c r="AB8" i="2"/>
  <c r="AA8" i="2"/>
  <c r="AA7" i="2"/>
  <c r="AB7" i="2"/>
  <c r="AA6" i="2"/>
  <c r="AB6" i="2"/>
  <c r="O11" i="12"/>
  <c r="O11" i="11"/>
  <c r="O11" i="5"/>
  <c r="G29" i="16" s="1"/>
  <c r="AB9" i="5"/>
  <c r="AA9" i="5"/>
  <c r="W9" i="5"/>
  <c r="AA9" i="2"/>
  <c r="AB9" i="2"/>
  <c r="AB11" i="2" s="1"/>
  <c r="W4" i="6"/>
  <c r="W8" i="6"/>
  <c r="AB7" i="6"/>
  <c r="AA7" i="6"/>
  <c r="AB8" i="6"/>
  <c r="AA8" i="6"/>
  <c r="AB6" i="6"/>
  <c r="AA6" i="6"/>
  <c r="W6" i="6"/>
  <c r="AB2" i="6"/>
  <c r="AA2" i="6"/>
  <c r="AB3" i="6"/>
  <c r="AA3" i="6"/>
  <c r="AA10" i="6"/>
  <c r="AB10" i="6"/>
  <c r="AB5" i="6"/>
  <c r="AA5" i="6"/>
  <c r="AA4" i="6"/>
  <c r="AB4" i="6"/>
  <c r="AA9" i="6"/>
  <c r="AB9" i="6"/>
  <c r="W9" i="6"/>
  <c r="AB9" i="8"/>
  <c r="AA9" i="8"/>
  <c r="AB6" i="8"/>
  <c r="AA6" i="8"/>
  <c r="AB3" i="8"/>
  <c r="AA3" i="8"/>
  <c r="AB4" i="8"/>
  <c r="AA4" i="8"/>
  <c r="AB5" i="8"/>
  <c r="AA5" i="8"/>
  <c r="AB8" i="8"/>
  <c r="AA8" i="8"/>
  <c r="AB2" i="8"/>
  <c r="AA2" i="8"/>
  <c r="W5" i="8"/>
  <c r="O4" i="7"/>
  <c r="I8" i="7"/>
  <c r="O7" i="7"/>
  <c r="O10" i="7"/>
  <c r="O9" i="7"/>
  <c r="O6" i="7"/>
  <c r="W5" i="6"/>
  <c r="W2" i="6"/>
  <c r="W3" i="6"/>
  <c r="H11" i="5"/>
  <c r="W5" i="5"/>
  <c r="H11" i="6"/>
  <c r="L3" i="8"/>
  <c r="M3" i="8" s="1"/>
  <c r="O3" i="8" s="1"/>
  <c r="L16" i="8"/>
  <c r="O7" i="8"/>
  <c r="W3" i="8"/>
  <c r="F3" i="8"/>
  <c r="H3" i="8" s="1"/>
  <c r="F8" i="8"/>
  <c r="H8" i="8" s="1"/>
  <c r="L15" i="8"/>
  <c r="L17" i="8"/>
  <c r="O11" i="6"/>
  <c r="H11" i="11"/>
  <c r="J17" i="12"/>
  <c r="J19" i="12" s="1"/>
  <c r="L8" i="8"/>
  <c r="M8" i="8" s="1"/>
  <c r="O8" i="8" s="1"/>
  <c r="W8" i="8"/>
  <c r="H2" i="8"/>
  <c r="F7" i="8"/>
  <c r="H7" i="8" s="1"/>
  <c r="R7" i="8"/>
  <c r="W9" i="8"/>
  <c r="W2" i="8"/>
  <c r="W4" i="8"/>
  <c r="W6" i="8"/>
  <c r="I2" i="7"/>
  <c r="M8" i="7"/>
  <c r="O8" i="7" s="1"/>
  <c r="M2" i="7"/>
  <c r="O2" i="7" s="1"/>
  <c r="F8" i="7"/>
  <c r="H8" i="7" s="1"/>
  <c r="H11" i="7" s="1"/>
  <c r="W10" i="7"/>
  <c r="W4" i="7"/>
  <c r="W2" i="7"/>
  <c r="W6" i="7"/>
  <c r="W7" i="7"/>
  <c r="W8" i="7"/>
  <c r="W3" i="7"/>
  <c r="W5" i="7"/>
  <c r="W9" i="7"/>
  <c r="AB11" i="12" l="1"/>
  <c r="AA11" i="12"/>
  <c r="W11" i="11"/>
  <c r="P36" i="11"/>
  <c r="P23" i="11" s="1"/>
  <c r="K15" i="16" s="1"/>
  <c r="P34" i="11"/>
  <c r="Q34" i="11"/>
  <c r="K29" i="16"/>
  <c r="P35" i="11"/>
  <c r="Q35" i="11"/>
  <c r="AB11" i="11"/>
  <c r="Q36" i="11" s="1"/>
  <c r="Q23" i="11" s="1"/>
  <c r="AB11" i="7"/>
  <c r="AA11" i="7"/>
  <c r="J20" i="5"/>
  <c r="W11" i="5"/>
  <c r="G30" i="16" s="1"/>
  <c r="H13" i="16"/>
  <c r="H28" i="16"/>
  <c r="W11" i="12"/>
  <c r="L20" i="8"/>
  <c r="S22" i="7"/>
  <c r="R22" i="7"/>
  <c r="S21" i="7"/>
  <c r="R21" i="7"/>
  <c r="S20" i="7"/>
  <c r="R20" i="7"/>
  <c r="I28" i="16"/>
  <c r="I13" i="16"/>
  <c r="G28" i="16"/>
  <c r="G13" i="16"/>
  <c r="AB11" i="5"/>
  <c r="AA11" i="5"/>
  <c r="M29" i="16"/>
  <c r="L29" i="16"/>
  <c r="O11" i="7"/>
  <c r="G14" i="16"/>
  <c r="AA11" i="6"/>
  <c r="H14" i="16"/>
  <c r="W11" i="6"/>
  <c r="H30" i="16" s="1"/>
  <c r="AB11" i="6"/>
  <c r="AA11" i="8"/>
  <c r="O11" i="8"/>
  <c r="W7" i="8"/>
  <c r="W11" i="8" s="1"/>
  <c r="P38" i="8" s="1"/>
  <c r="P26" i="8" s="1"/>
  <c r="AB7" i="8"/>
  <c r="AB11" i="8" s="1"/>
  <c r="AA7" i="8"/>
  <c r="P16" i="11"/>
  <c r="H29" i="16"/>
  <c r="H11" i="8"/>
  <c r="W11" i="7"/>
  <c r="Q38" i="11" l="1"/>
  <c r="Q25" i="11" s="1"/>
  <c r="Q37" i="11"/>
  <c r="Q24" i="11" s="1"/>
  <c r="Q26" i="11" s="1"/>
  <c r="K14" i="16"/>
  <c r="P38" i="11"/>
  <c r="P25" i="11" s="1"/>
  <c r="P37" i="11"/>
  <c r="P24" i="11" s="1"/>
  <c r="K30" i="16"/>
  <c r="R36" i="8"/>
  <c r="R24" i="8" s="1"/>
  <c r="Q36" i="8"/>
  <c r="Q24" i="8" s="1"/>
  <c r="J13" i="16" s="1"/>
  <c r="P36" i="8"/>
  <c r="P37" i="8"/>
  <c r="Q37" i="8"/>
  <c r="Q25" i="8" s="1"/>
  <c r="J14" i="16" s="1"/>
  <c r="R37" i="8"/>
  <c r="R25" i="8" s="1"/>
  <c r="K29" i="8"/>
  <c r="G15" i="16"/>
  <c r="M14" i="5"/>
  <c r="M16" i="12"/>
  <c r="L30" i="16"/>
  <c r="L28" i="16"/>
  <c r="K28" i="16"/>
  <c r="K13" i="16"/>
  <c r="Q14" i="6"/>
  <c r="M31" i="16"/>
  <c r="I29" i="16"/>
  <c r="I14" i="16"/>
  <c r="G17" i="16"/>
  <c r="G16" i="16"/>
  <c r="J30" i="16"/>
  <c r="G32" i="16"/>
  <c r="G31" i="16"/>
  <c r="H31" i="16"/>
  <c r="H32" i="16"/>
  <c r="G33" i="16" l="1"/>
  <c r="P39" i="8"/>
  <c r="P27" i="8" s="1"/>
  <c r="P24" i="8"/>
  <c r="J28" i="16" s="1"/>
  <c r="P40" i="8"/>
  <c r="P28" i="8" s="1"/>
  <c r="J32" i="16" s="1"/>
  <c r="P25" i="8"/>
  <c r="J29" i="16" s="1"/>
  <c r="G18" i="16"/>
  <c r="N43" i="16"/>
  <c r="P39" i="5"/>
  <c r="P26" i="11"/>
  <c r="H33" i="16"/>
  <c r="O39" i="5"/>
  <c r="M32" i="16"/>
  <c r="M33" i="16" s="1"/>
  <c r="M18" i="16"/>
  <c r="J43" i="16"/>
  <c r="J44" i="16"/>
  <c r="L31" i="16"/>
  <c r="L32" i="16"/>
  <c r="L33" i="16" s="1"/>
  <c r="L18" i="16"/>
  <c r="K17" i="16"/>
  <c r="K32" i="16"/>
  <c r="K31" i="16"/>
  <c r="K33" i="16" s="1"/>
  <c r="K16" i="16"/>
  <c r="N39" i="5"/>
  <c r="P24" i="12"/>
  <c r="N26" i="6"/>
  <c r="O33" i="6" s="1"/>
  <c r="O23" i="6" s="1"/>
  <c r="H15" i="16" s="1"/>
  <c r="K18" i="16" l="1"/>
  <c r="N47" i="16"/>
  <c r="J31" i="16"/>
  <c r="J46" i="16" s="1"/>
  <c r="O34" i="6"/>
  <c r="O24" i="6" s="1"/>
  <c r="H16" i="16" s="1"/>
  <c r="O35" i="6"/>
  <c r="O25" i="6" s="1"/>
  <c r="H17" i="16" s="1"/>
  <c r="O26" i="6"/>
  <c r="P33" i="6" s="1"/>
  <c r="P23" i="6" s="1"/>
  <c r="J50" i="16"/>
  <c r="N50" i="16"/>
  <c r="N49" i="16"/>
  <c r="J49" i="16"/>
  <c r="N48" i="16"/>
  <c r="J48" i="16"/>
  <c r="P29" i="8"/>
  <c r="Q38" i="8" s="1"/>
  <c r="Q26" i="8" s="1"/>
  <c r="J15" i="16" s="1"/>
  <c r="H21" i="3"/>
  <c r="H22" i="3"/>
  <c r="G21" i="3"/>
  <c r="G22" i="3"/>
  <c r="G20" i="3"/>
  <c r="H20" i="3" s="1"/>
  <c r="J33" i="16" l="1"/>
  <c r="Q39" i="8"/>
  <c r="Q27" i="8" s="1"/>
  <c r="Q40" i="8"/>
  <c r="Q28" i="8" s="1"/>
  <c r="J17" i="16" s="1"/>
  <c r="P35" i="6"/>
  <c r="P25" i="6" s="1"/>
  <c r="P34" i="6"/>
  <c r="P24" i="6" s="1"/>
  <c r="P26" i="6" s="1"/>
  <c r="N44" i="16"/>
  <c r="H18" i="16"/>
  <c r="I20" i="7"/>
  <c r="I22" i="7"/>
  <c r="I21" i="7"/>
  <c r="B22" i="3"/>
  <c r="B21" i="3"/>
  <c r="B20" i="3"/>
  <c r="B17" i="2"/>
  <c r="B16" i="2"/>
  <c r="B15" i="2"/>
  <c r="M10" i="3"/>
  <c r="L9" i="3"/>
  <c r="M9" i="3" s="1"/>
  <c r="L8" i="3"/>
  <c r="M8" i="3" s="1"/>
  <c r="O8" i="3" s="1"/>
  <c r="L7" i="3"/>
  <c r="M7" i="3" s="1"/>
  <c r="O7" i="3" s="1"/>
  <c r="L6" i="3"/>
  <c r="M6" i="3" s="1"/>
  <c r="L5" i="3"/>
  <c r="M5" i="3" s="1"/>
  <c r="O5" i="3" s="1"/>
  <c r="L3" i="3"/>
  <c r="M3" i="3" s="1"/>
  <c r="L2" i="3"/>
  <c r="M2" i="3" s="1"/>
  <c r="O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2" i="3"/>
  <c r="T2" i="3" s="1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H15" i="2"/>
  <c r="J15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AA11" i="2" s="1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J16" i="16" l="1"/>
  <c r="Q29" i="8"/>
  <c r="R38" i="8" s="1"/>
  <c r="AB10" i="3"/>
  <c r="AA10" i="3"/>
  <c r="W9" i="3"/>
  <c r="AA9" i="3"/>
  <c r="AB9" i="3"/>
  <c r="W8" i="3"/>
  <c r="AB8" i="3"/>
  <c r="AA8" i="3"/>
  <c r="W7" i="3"/>
  <c r="AB7" i="3"/>
  <c r="AA7" i="3"/>
  <c r="AB6" i="3"/>
  <c r="AA6" i="3"/>
  <c r="AA11" i="3" s="1"/>
  <c r="I22" i="3"/>
  <c r="N22" i="3"/>
  <c r="M22" i="3"/>
  <c r="I21" i="3"/>
  <c r="M21" i="3"/>
  <c r="N21" i="3"/>
  <c r="I20" i="3"/>
  <c r="N20" i="3"/>
  <c r="M20" i="3"/>
  <c r="L17" i="2"/>
  <c r="Q17" i="2"/>
  <c r="P17" i="2"/>
  <c r="P15" i="2"/>
  <c r="L15" i="2"/>
  <c r="L20" i="2" s="1"/>
  <c r="Q15" i="2"/>
  <c r="L16" i="2"/>
  <c r="Q16" i="2"/>
  <c r="P16" i="2"/>
  <c r="W10" i="3"/>
  <c r="W5" i="3"/>
  <c r="I23" i="7"/>
  <c r="O3" i="3"/>
  <c r="W4" i="3"/>
  <c r="O8" i="2"/>
  <c r="H2" i="2"/>
  <c r="H11" i="2" s="1"/>
  <c r="W2" i="3"/>
  <c r="W3" i="3"/>
  <c r="O9" i="3"/>
  <c r="H11" i="3"/>
  <c r="W6" i="3"/>
  <c r="O6" i="3"/>
  <c r="O10" i="3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R26" i="8" l="1"/>
  <c r="R40" i="8"/>
  <c r="R28" i="8" s="1"/>
  <c r="R39" i="8"/>
  <c r="R27" i="8" s="1"/>
  <c r="N46" i="16"/>
  <c r="J18" i="16"/>
  <c r="AB11" i="3"/>
  <c r="I23" i="3"/>
  <c r="F28" i="16"/>
  <c r="F13" i="16"/>
  <c r="E13" i="16"/>
  <c r="J47" i="16"/>
  <c r="I30" i="16"/>
  <c r="M15" i="7"/>
  <c r="O11" i="3"/>
  <c r="E28" i="16"/>
  <c r="W11" i="3"/>
  <c r="W11" i="2"/>
  <c r="O11" i="2"/>
  <c r="R29" i="8" l="1"/>
  <c r="I38" i="2"/>
  <c r="K38" i="2"/>
  <c r="J38" i="2"/>
  <c r="I15" i="16"/>
  <c r="I16" i="16"/>
  <c r="I17" i="16"/>
  <c r="F15" i="16"/>
  <c r="F30" i="16"/>
  <c r="F29" i="16"/>
  <c r="F14" i="16"/>
  <c r="E29" i="16"/>
  <c r="E14" i="16"/>
  <c r="I31" i="16"/>
  <c r="I32" i="16"/>
  <c r="M18" i="3"/>
  <c r="Q28" i="2"/>
  <c r="K28" i="2" l="1"/>
  <c r="K40" i="2"/>
  <c r="K30" i="2" s="1"/>
  <c r="K39" i="2"/>
  <c r="K29" i="2" s="1"/>
  <c r="I28" i="2"/>
  <c r="E30" i="16" s="1"/>
  <c r="I39" i="2"/>
  <c r="I29" i="2" s="1"/>
  <c r="E31" i="16" s="1"/>
  <c r="I40" i="2"/>
  <c r="I30" i="2" s="1"/>
  <c r="J39" i="2"/>
  <c r="J29" i="2" s="1"/>
  <c r="E16" i="16" s="1"/>
  <c r="J28" i="2"/>
  <c r="E15" i="16" s="1"/>
  <c r="J40" i="2"/>
  <c r="J30" i="2" s="1"/>
  <c r="E17" i="16" s="1"/>
  <c r="N41" i="7"/>
  <c r="N45" i="16"/>
  <c r="I18" i="16"/>
  <c r="O41" i="7"/>
  <c r="J45" i="16"/>
  <c r="I33" i="16"/>
  <c r="F17" i="16"/>
  <c r="M41" i="7"/>
  <c r="F31" i="16"/>
  <c r="F32" i="16" l="1"/>
  <c r="J42" i="16" s="1"/>
  <c r="F33" i="16"/>
  <c r="E18" i="16"/>
  <c r="O31" i="3"/>
  <c r="F16" i="16"/>
  <c r="N42" i="16" s="1"/>
  <c r="I31" i="2"/>
  <c r="E32" i="16"/>
  <c r="E33" i="16" s="1"/>
  <c r="J31" i="2"/>
  <c r="N41" i="16"/>
  <c r="K31" i="2"/>
  <c r="N31" i="3"/>
  <c r="P38" i="3" s="1"/>
  <c r="P28" i="3" s="1"/>
  <c r="P40" i="3" l="1"/>
  <c r="P30" i="3" s="1"/>
  <c r="P39" i="3"/>
  <c r="P29" i="3" s="1"/>
  <c r="P31" i="3" s="1"/>
  <c r="J41" i="16"/>
  <c r="F18" i="16"/>
</calcChain>
</file>

<file path=xl/sharedStrings.xml><?xml version="1.0" encoding="utf-8"?>
<sst xmlns="http://schemas.openxmlformats.org/spreadsheetml/2006/main" count="870" uniqueCount="121">
  <si>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</si>
  <si>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</si>
  <si>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</si>
  <si>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</si>
  <si>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</si>
  <si>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</si>
  <si>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</si>
  <si>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</si>
  <si>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</si>
  <si>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</si>
  <si>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</si>
  <si>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</si>
  <si>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</si>
  <si>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</si>
  <si>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</si>
  <si>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</si>
  <si>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</si>
  <si>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</si>
  <si>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</si>
  <si>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</si>
  <si>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</si>
  <si>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</si>
  <si>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</si>
  <si>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</si>
  <si>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</si>
  <si>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</si>
  <si>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</si>
  <si>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</si>
  <si>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</si>
  <si>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</si>
  <si>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</si>
  <si>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</si>
  <si>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Business</t>
  </si>
  <si>
    <t>FM Penalty ITS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</si>
  <si>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</si>
  <si>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</si>
  <si>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</si>
  <si>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</si>
  <si>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</si>
  <si>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</si>
  <si>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</si>
  <si>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</si>
  <si>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</si>
  <si>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</si>
  <si>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</si>
  <si>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</si>
  <si>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</si>
  <si>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</si>
  <si>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</si>
  <si>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</si>
  <si>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</si>
  <si>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</si>
  <si>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</si>
  <si>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</si>
  <si>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</si>
  <si>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</si>
  <si>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</si>
  <si>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</si>
  <si>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</si>
  <si>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</si>
  <si>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</si>
  <si>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</si>
  <si>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</si>
  <si>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</si>
  <si>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</si>
  <si>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</si>
  <si>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</si>
  <si>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</si>
  <si>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</si>
  <si>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</si>
  <si>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</si>
  <si>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</si>
  <si>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</si>
  <si>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</si>
  <si>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</si>
  <si>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</si>
  <si>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</si>
  <si>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</si>
  <si>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</si>
  <si>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</si>
  <si>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</si>
  <si>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HybridPON ONT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</si>
  <si>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</si>
  <si>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</si>
  <si>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</si>
  <si>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</si>
  <si>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</si>
  <si>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</si>
  <si>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</si>
  <si>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</si>
  <si>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</si>
  <si>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FTTH_XGPON_100</t>
  </si>
  <si>
    <t>FTTC_GPON_100</t>
  </si>
  <si>
    <t>FTTC_Hybridpon_25</t>
  </si>
  <si>
    <t>FTTB_Hybridpon_50</t>
  </si>
  <si>
    <t>FTTH_Hybridpon_100</t>
  </si>
  <si>
    <t>FTTC_Hybridpon_100</t>
  </si>
  <si>
    <t>SLA CU per hour</t>
  </si>
  <si>
    <t>Residential</t>
  </si>
  <si>
    <t>Business</t>
  </si>
  <si>
    <t>ITS</t>
  </si>
  <si>
    <t>Percentage of Business Users</t>
  </si>
  <si>
    <t>Percentage of ITS and business users</t>
  </si>
  <si>
    <t>Percentage of business users</t>
  </si>
  <si>
    <t>Percentage of ITS users</t>
  </si>
  <si>
    <t>FM Fiber penalty business</t>
  </si>
  <si>
    <t>FM Fiber penalty business its</t>
  </si>
  <si>
    <t>Business ITS</t>
  </si>
  <si>
    <t>Component_business</t>
  </si>
  <si>
    <t>RESIDENTIAL_T</t>
  </si>
  <si>
    <t>BUSINESS_T</t>
  </si>
  <si>
    <t>Power Splitter 1:32</t>
  </si>
  <si>
    <t>1:8 DSLAM</t>
  </si>
  <si>
    <t>1:16 PS</t>
  </si>
  <si>
    <t>FTTB_UDWDM_50</t>
  </si>
  <si>
    <t>FTTH_UDWDM_100</t>
  </si>
  <si>
    <t>No Sub</t>
  </si>
  <si>
    <t>Total Sub</t>
  </si>
  <si>
    <t>Total sub</t>
  </si>
  <si>
    <t>Cost ITS</t>
  </si>
  <si>
    <t>Total Subscribers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</si>
</sst>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42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6" borderId="0" xfId="0" applyFont="1" applyFill="1"/>
    <xf numFmtId="0" fontId="5" fillId="0" borderId="0" xfId="0" applyFont="1"/>
    <xf numFmtId="0" fontId="8" fillId="0" borderId="9" xfId="0" applyFont="1" applyBorder="1"/>
    <xf numFmtId="0" fontId="8" fillId="0" borderId="8" xfId="0" applyFont="1" applyBorder="1"/>
    <xf numFmtId="0" fontId="6" fillId="0" borderId="8" xfId="0" applyFont="1" applyBorder="1"/>
    <xf numFmtId="0" fontId="0" fillId="5" borderId="11" xfId="0" applyFont="1" applyFill="1" applyBorder="1"/>
    <xf numFmtId="0" fontId="0" fillId="5" borderId="2" xfId="0" applyFont="1" applyFill="1" applyBorder="1"/>
    <xf numFmtId="0" fontId="0" fillId="0" borderId="11" xfId="0" applyFont="1" applyBorder="1"/>
    <xf numFmtId="0" fontId="0" fillId="0" borderId="2" xfId="0" applyFont="1" applyBorder="1"/>
    <xf numFmtId="0" fontId="8" fillId="5" borderId="8" xfId="0" applyFont="1" applyFill="1" applyBorder="1"/>
    <xf numFmtId="0" fontId="6" fillId="5" borderId="8" xfId="0" applyFont="1" applyFill="1" applyBorder="1"/>
    <xf numFmtId="0" fontId="6" fillId="5" borderId="4" xfId="0" applyFont="1" applyFill="1" applyBorder="1"/>
    <xf numFmtId="0" fontId="6" fillId="5" borderId="12" xfId="0" applyFont="1" applyFill="1" applyBorder="1"/>
    <xf numFmtId="0" fontId="4" fillId="4" borderId="11" xfId="0" applyFont="1" applyFill="1" applyBorder="1"/>
    <xf numFmtId="0" fontId="4" fillId="4" borderId="4" xfId="0" applyFont="1" applyFill="1" applyBorder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4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04736"/>
        <c:axId val="209653120"/>
      </c:barChart>
      <c:catAx>
        <c:axId val="108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3120"/>
        <c:crosses val="autoZero"/>
        <c:auto val="1"/>
        <c:lblAlgn val="ctr"/>
        <c:lblOffset val="100"/>
        <c:noMultiLvlLbl val="0"/>
      </c:catAx>
      <c:valAx>
        <c:axId val="209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Per Year  Per subscriber OPEX for different PON Technologies (Ottobrunn)</a:t>
            </a:r>
          </a:p>
        </c:rich>
      </c:tx>
      <c:layout>
        <c:manualLayout>
          <c:xMode val="edge"/>
          <c:yMode val="edge"/>
          <c:x val="0.17891421467053462"/>
          <c:y val="3.3264821832323328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invertIfNegative val="0"/>
          <c:cat>
            <c:strRef>
              <c:f>OPEX!$E$27:$N$27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OPEX!$E$28:$N$28</c:f>
              <c:numCache>
                <c:formatCode>General</c:formatCode>
                <c:ptCount val="10"/>
                <c:pt idx="0">
                  <c:v>0.48212867355043687</c:v>
                </c:pt>
                <c:pt idx="1">
                  <c:v>0.30249631226597073</c:v>
                </c:pt>
                <c:pt idx="2">
                  <c:v>0.79382730057869055</c:v>
                </c:pt>
                <c:pt idx="3">
                  <c:v>0.8611823442641553</c:v>
                </c:pt>
                <c:pt idx="4">
                  <c:v>0.58454555769885397</c:v>
                </c:pt>
                <c:pt idx="5">
                  <c:v>1.2432996709406559</c:v>
                </c:pt>
                <c:pt idx="6">
                  <c:v>0.62393623056847836</c:v>
                </c:pt>
                <c:pt idx="7">
                  <c:v>0.3153409735617837</c:v>
                </c:pt>
                <c:pt idx="8">
                  <c:v>0.57372063996368994</c:v>
                </c:pt>
                <c:pt idx="9">
                  <c:v>0.82389651650970153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invertIfNegative val="0"/>
          <c:cat>
            <c:strRef>
              <c:f>OPEX!$E$27:$N$27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OPEX!$E$29:$N$29</c:f>
              <c:numCache>
                <c:formatCode>General</c:formatCode>
                <c:ptCount val="10"/>
                <c:pt idx="0">
                  <c:v>0.13574334179053671</c:v>
                </c:pt>
                <c:pt idx="1">
                  <c:v>9.5154294791784874E-3</c:v>
                </c:pt>
                <c:pt idx="2">
                  <c:v>0.13587472688074437</c:v>
                </c:pt>
                <c:pt idx="3">
                  <c:v>0.14982313582208101</c:v>
                </c:pt>
                <c:pt idx="4">
                  <c:v>6.9992529218200386E-2</c:v>
                </c:pt>
                <c:pt idx="5">
                  <c:v>0.54271882718710995</c:v>
                </c:pt>
                <c:pt idx="6">
                  <c:v>0.19025342335186657</c:v>
                </c:pt>
                <c:pt idx="7">
                  <c:v>1.4774113241801884E-2</c:v>
                </c:pt>
                <c:pt idx="8">
                  <c:v>2.7759051401338931E-2</c:v>
                </c:pt>
                <c:pt idx="9">
                  <c:v>1.9251523885169635E-2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invertIfNegative val="0"/>
          <c:cat>
            <c:strRef>
              <c:f>OPEX!$E$27:$N$27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OPEX!$E$30:$N$30</c:f>
              <c:numCache>
                <c:formatCode>General</c:formatCode>
                <c:ptCount val="10"/>
                <c:pt idx="0">
                  <c:v>6.8334862412389411E-2</c:v>
                </c:pt>
                <c:pt idx="1">
                  <c:v>8.5710618123271062E-2</c:v>
                </c:pt>
                <c:pt idx="2">
                  <c:v>7.1360731283331438E-2</c:v>
                </c:pt>
                <c:pt idx="3">
                  <c:v>7.1360731283331438E-2</c:v>
                </c:pt>
                <c:pt idx="4">
                  <c:v>7.24923050039714E-2</c:v>
                </c:pt>
                <c:pt idx="5">
                  <c:v>5.811858422788925E-2</c:v>
                </c:pt>
                <c:pt idx="6">
                  <c:v>0.13786416830591175</c:v>
                </c:pt>
                <c:pt idx="7">
                  <c:v>8.3057791399069561E-2</c:v>
                </c:pt>
                <c:pt idx="8">
                  <c:v>0.16615042201293545</c:v>
                </c:pt>
                <c:pt idx="9">
                  <c:v>0.27550469171451264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OPEX!$E$27:$N$27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OPEX!$E$31:$N$31</c:f>
              <c:numCache>
                <c:formatCode>General</c:formatCode>
                <c:ptCount val="10"/>
                <c:pt idx="0">
                  <c:v>3.4310343887668147E-2</c:v>
                </c:pt>
                <c:pt idx="1">
                  <c:v>1.9886117993421017E-2</c:v>
                </c:pt>
                <c:pt idx="2">
                  <c:v>5.005313793713833E-2</c:v>
                </c:pt>
                <c:pt idx="3">
                  <c:v>5.4118310568478392E-2</c:v>
                </c:pt>
                <c:pt idx="4">
                  <c:v>3.6351519596051297E-2</c:v>
                </c:pt>
                <c:pt idx="5">
                  <c:v>9.2206854117782761E-2</c:v>
                </c:pt>
                <c:pt idx="6">
                  <c:v>4.7602691111312836E-2</c:v>
                </c:pt>
                <c:pt idx="7">
                  <c:v>2.0658643910132762E-2</c:v>
                </c:pt>
                <c:pt idx="8">
                  <c:v>3.8381505668898225E-2</c:v>
                </c:pt>
                <c:pt idx="9">
                  <c:v>5.593263660546919E-2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invertIfNegative val="0"/>
          <c:cat>
            <c:strRef>
              <c:f>OPEX!$E$27:$N$27</c:f>
              <c:strCache>
                <c:ptCount val="10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OPEX!$E$32:$N$32</c:f>
              <c:numCache>
                <c:formatCode>General</c:formatCode>
                <c:ptCount val="10"/>
                <c:pt idx="0">
                  <c:v>4.8034481442735408E-2</c:v>
                </c:pt>
                <c:pt idx="1">
                  <c:v>2.7840565190789424E-2</c:v>
                </c:pt>
                <c:pt idx="2">
                  <c:v>7.0074393111993663E-2</c:v>
                </c:pt>
                <c:pt idx="3">
                  <c:v>7.5765634795869757E-2</c:v>
                </c:pt>
                <c:pt idx="4">
                  <c:v>5.0892127434471808E-2</c:v>
                </c:pt>
                <c:pt idx="5">
                  <c:v>0.12908959576489587</c:v>
                </c:pt>
                <c:pt idx="6">
                  <c:v>6.6643767555837966E-2</c:v>
                </c:pt>
                <c:pt idx="7">
                  <c:v>2.8922101474185866E-2</c:v>
                </c:pt>
                <c:pt idx="8">
                  <c:v>5.3734107936457512E-2</c:v>
                </c:pt>
                <c:pt idx="9">
                  <c:v>7.8305691247656864E-2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5441408"/>
        <c:axId val="209697536"/>
      </c:barChart>
      <c:catAx>
        <c:axId val="2154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800"/>
            </a:pPr>
            <a:endParaRPr lang="de-DE"/>
          </a:p>
        </c:txPr>
        <c:crossAx val="209697536"/>
        <c:crosses val="autoZero"/>
        <c:auto val="1"/>
        <c:lblAlgn val="ctr"/>
        <c:lblOffset val="100"/>
        <c:noMultiLvlLbl val="0"/>
      </c:catAx>
      <c:valAx>
        <c:axId val="20969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de-DE"/>
          </a:p>
        </c:txPr>
        <c:crossAx val="215441408"/>
        <c:crosses val="autoZero"/>
        <c:crossBetween val="between"/>
      </c:valAx>
    </c:plotArea>
    <c:legend>
      <c:legendPos val="r"/>
      <c:layout/>
      <c:overlay val="0"/>
      <c:txPr>
        <a:bodyPr rot="0" vert="horz"/>
        <a:lstStyle/>
        <a:p>
          <a:pPr>
            <a:defRPr sz="16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56</xdr:row>
      <xdr:rowOff>95250</xdr:rowOff>
    </xdr:from>
    <xdr:to>
      <xdr:col>8</xdr:col>
      <xdr:colOff>1171576</xdr:colOff>
      <xdr:row>91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7</xdr:row>
      <xdr:rowOff>123825</xdr:rowOff>
    </xdr:from>
    <xdr:to>
      <xdr:col>12</xdr:col>
      <xdr:colOff>47625</xdr:colOff>
      <xdr:row>10</xdr:row>
      <xdr:rowOff>114300</xdr:rowOff>
    </xdr:to>
    <xdr:sp macro="" textlink="">
      <xdr:nvSpPr>
        <xdr:cNvPr id="2" name="TextBox 1"/>
        <xdr:cNvSpPr txBox="1"/>
      </xdr:nvSpPr>
      <xdr:spPr>
        <a:xfrm>
          <a:off x="9020175" y="1457325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BUSINESS OPEX</a:t>
          </a:r>
        </a:p>
      </xdr:txBody>
    </xdr:sp>
    <xdr:clientData/>
  </xdr:twoCellAnchor>
  <xdr:twoCellAnchor>
    <xdr:from>
      <xdr:col>8</xdr:col>
      <xdr:colOff>885825</xdr:colOff>
      <xdr:row>22</xdr:row>
      <xdr:rowOff>133350</xdr:rowOff>
    </xdr:from>
    <xdr:to>
      <xdr:col>12</xdr:col>
      <xdr:colOff>152400</xdr:colOff>
      <xdr:row>25</xdr:row>
      <xdr:rowOff>123825</xdr:rowOff>
    </xdr:to>
    <xdr:sp macro="" textlink="">
      <xdr:nvSpPr>
        <xdr:cNvPr id="4" name="TextBox 3"/>
        <xdr:cNvSpPr txBox="1"/>
      </xdr:nvSpPr>
      <xdr:spPr>
        <a:xfrm>
          <a:off x="9124950" y="4324350"/>
          <a:ext cx="39909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2400" b="1"/>
            <a:t>RESIDENTIAL OPEX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B11" totalsRowCount="1">
  <autoFilter ref="A1:AB10"/>
  <tableColumns count="28">
    <tableColumn id="1" name="Position of component" dataDxfId="144"/>
    <tableColumn id="2" name="Component Name" dataDxfId="143"/>
    <tableColumn id="3" name="Cost per Unit (OASE)" dataDxfId="142"/>
    <tableColumn id="4" name="Quantity" dataDxfId="141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40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39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38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Table2[[#This Row],[Percentage of Business Users]]*Table2[[#This Row],[SLA CU per hour]]*Table2[[#This Row],[Failures per year]]*Table2[[#This Row],[Total Time to Repair(h)]]</calculatedColumnFormula>
    </tableColumn>
    <tableColumn id="28" name="FM Penalty ITS" totalsRowFunction="sum">
      <calculatedColumnFormula>Table2[[#This Row],[Percentage of ITS and business users]]*Table2[[#This Row],[SLA CU per hour]]*Table2[[#This Row],[Failures per year]]*Table2[[#This Row],[Total Time to Repair(h)]]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AB11" totalsRowCount="1">
  <autoFilter ref="A1:AB10"/>
  <tableColumns count="28">
    <tableColumn id="1" name="Position of component" dataDxfId="88"/>
    <tableColumn id="2" name="Component Name" dataDxfId="87"/>
    <tableColumn id="3" name="Cost per Unit (OASE)" dataDxfId="86"/>
    <tableColumn id="4" name="Quantity" dataDxfId="85"/>
    <tableColumn id="5" name="Floor Space per component"/>
    <tableColumn id="6" name="Total Floor Space" totalsRowDxfId="84">
      <calculatedColumnFormula>E2*D2</calculatedColumnFormula>
    </tableColumn>
    <tableColumn id="7" name="Rent per sqm per year" totalsRowDxfId="83"/>
    <tableColumn id="8" name="Total Rent cost per year" totalsRowFunction="custom" totalsRowDxfId="82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1"/>
    <tableColumn id="10" name="MTTR" totalsRowDxfId="80"/>
    <tableColumn id="11" name="FIT" totalsRowDxfId="79"/>
    <tableColumn id="12" name="Energy consumption in W" totalsRowDxfId="78"/>
    <tableColumn id="13" name="Yearly Energy Consumption in kWh" totalsRowDxfId="77">
      <calculatedColumnFormula>Table10[[#This Row],[Energy consumption in W]]*24*365/1000</calculatedColumnFormula>
    </tableColumn>
    <tableColumn id="14" name="CU/kWh" totalsRowDxfId="76">
      <calculatedColumnFormula>0.15/50</calculatedColumnFormula>
    </tableColumn>
    <tableColumn id="15" name="Energy Cost per year in CU" totalsRowFunction="sum" totalsRowDxfId="75">
      <calculatedColumnFormula>Table10[[#This Row],[Yearly Energy Consumption in kWh]]*Table10[[#This Row],[CU/kWh]]</calculatedColumnFormula>
    </tableColumn>
    <tableColumn id="16" name="Mean dist in km from CO" totalsRowDxfId="74"/>
    <tableColumn id="17" name="Avg Travel Speed" totalsRowDxfId="73"/>
    <tableColumn id="18" name="Failures per year" totalsRowDxfId="72">
      <calculatedColumnFormula>Table10[[#This Row],[FIT]]*Table10[[#This Row],[Quantity]]*24*365/1000000000</calculatedColumnFormula>
    </tableColumn>
    <tableColumn id="19" name="Twice Travel Time" totalsRowDxfId="71">
      <calculatedColumnFormula>2*Table10[[#This Row],[Mean dist in km from CO]]/Table10[[#This Row],[Avg Travel Speed]]</calculatedColumnFormula>
    </tableColumn>
    <tableColumn id="20" name="Total Time to Repair(h)" totalsRowDxfId="70">
      <calculatedColumnFormula>Table10[[#This Row],[MTTR]]+Table10[[#This Row],[Twice Travel Time]]</calculatedColumnFormula>
    </tableColumn>
    <tableColumn id="21" name="No. Of technicians" totalsRowDxfId="69"/>
    <tableColumn id="22" name="Cost per hour" totalsRowDxfId="68"/>
    <tableColumn id="23" name="FM Cost" totalsRowFunction="sum" totalsRowDxfId="67">
      <calculatedColumnFormula>Table10[[#This Row],[Failures per year]]*Table10[[#This Row],[Total Time to Repair(h)]]*Table10[[#This Row],[No. Of technicians]]*Table10[[#This Row],[Cost per hour]]</calculatedColumnFormula>
    </tableColumn>
    <tableColumn id="24" name="SLA CU per hour" totalsRowDxfId="66"/>
    <tableColumn id="25" name="Percentage of Business Users" totalsRowDxfId="65"/>
    <tableColumn id="26" name="Percentage of ITS and business users" totalsRowDxfId="64"/>
    <tableColumn id="27" name="FM Penalty Business" totalsRowFunction="sum" totalsRowDxfId="63">
      <calculatedColumnFormula>Table10[[#This Row],[Percentage of Business Users]]*Table10[[#This Row],[SLA CU per hour]]*Table10[[#This Row],[Failures per year]]*Table10[[#This Row],[Total Time to Repair(h)]]</calculatedColumnFormula>
    </tableColumn>
    <tableColumn id="28" name="FM Penalty ITS" totalsRowFunction="sum" totalsRowDxfId="62">
      <calculatedColumnFormula>Table10[[#This Row],[Percentage of ITS and business users]]*Table10[[#This Row],[SLA CU per hour]]*Table10[[#This Row],[Failures per year]]*Table10[[#This Row],[Total Time to Repair(h)]]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le1416171819" displayName="Table1416171819" ref="O18:Q24" totalsRowCount="1">
  <autoFilter ref="O18:Q23"/>
  <tableColumns count="3">
    <tableColumn id="1" name="Component"/>
    <tableColumn id="2" name="Cost" totalsRowFunction="custom">
      <calculatedColumnFormula>P31/$M$21</calculatedColumnFormula>
      <totalsRowFormula>SUM(Table1416171819[Cost])</totalsRowFormula>
    </tableColumn>
    <tableColumn id="3" name="Cost ITS" totalsRowFunction="sum">
      <calculatedColumnFormula>Q31/$M$21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7" name="Table108" displayName="Table108" ref="A1:AB11" totalsRowCount="1">
  <autoFilter ref="A1:AB10"/>
  <tableColumns count="28">
    <tableColumn id="1" name="Position of component" dataDxfId="61"/>
    <tableColumn id="2" name="Component Name" dataDxfId="60"/>
    <tableColumn id="3" name="Cost per Unit (OASE)" dataDxfId="59"/>
    <tableColumn id="4" name="Quantity" dataDxfId="58"/>
    <tableColumn id="5" name="Floor Space per component"/>
    <tableColumn id="6" name="Total Floor Space" totalsRowDxfId="57">
      <calculatedColumnFormula>E2*D2</calculatedColumnFormula>
    </tableColumn>
    <tableColumn id="7" name="Rent per sqm per year" totalsRowDxfId="56"/>
    <tableColumn id="8" name="Total Rent cost per year" totalsRowFunction="custom" totalsRowDxfId="55">
      <calculatedColumnFormula>Table108[[#This Row],[Total Floor Space]]*Table108[[#This Row],[Rent per sqm per year]]</calculatedColumnFormula>
      <totalsRowFormula>SUM(Table108[Total Rent cost per year])</totalsRowFormula>
    </tableColumn>
    <tableColumn id="9" name="Installation Time in hours" totalsRowDxfId="54"/>
    <tableColumn id="10" name="MTTR" totalsRowDxfId="53"/>
    <tableColumn id="11" name="FIT" totalsRowDxfId="52"/>
    <tableColumn id="12" name="Energy consumption in W" totalsRowDxfId="51"/>
    <tableColumn id="13" name="Yearly Energy Consumption in kWh" totalsRowDxfId="50">
      <calculatedColumnFormula>Table108[[#This Row],[Energy consumption in W]]*24*365/1000</calculatedColumnFormula>
    </tableColumn>
    <tableColumn id="14" name="CU/kWh" totalsRowDxfId="49">
      <calculatedColumnFormula>0.15/50</calculatedColumnFormula>
    </tableColumn>
    <tableColumn id="15" name="Energy Cost per year in CU" totalsRowFunction="sum" totalsRowDxfId="48">
      <calculatedColumnFormula>Table108[[#This Row],[Yearly Energy Consumption in kWh]]*Table108[[#This Row],[CU/kWh]]</calculatedColumnFormula>
    </tableColumn>
    <tableColumn id="16" name="Mean dist in km from CO" totalsRowDxfId="47"/>
    <tableColumn id="17" name="Avg Travel Speed" totalsRowDxfId="46"/>
    <tableColumn id="18" name="Failures per year" totalsRowDxfId="45">
      <calculatedColumnFormula>Table108[[#This Row],[FIT]]*Table108[[#This Row],[Quantity]]*24*365/1000000000</calculatedColumnFormula>
    </tableColumn>
    <tableColumn id="19" name="Twice Travel Time" totalsRowDxfId="44">
      <calculatedColumnFormula>2*Table108[[#This Row],[Mean dist in km from CO]]/Table108[[#This Row],[Avg Travel Speed]]</calculatedColumnFormula>
    </tableColumn>
    <tableColumn id="20" name="Total Time to Repair(h)" totalsRowDxfId="43">
      <calculatedColumnFormula>Table108[[#This Row],[MTTR]]+Table108[[#This Row],[Twice Travel Time]]</calculatedColumnFormula>
    </tableColumn>
    <tableColumn id="21" name="No. Of technicians" totalsRowDxfId="42"/>
    <tableColumn id="22" name="Cost per hour" totalsRowDxfId="41"/>
    <tableColumn id="23" name="FM Cost" totalsRowFunction="sum" totalsRowDxfId="40">
      <calculatedColumnFormula>Table108[[#This Row],[Failures per year]]*Table108[[#This Row],[Total Time to Repair(h)]]*Table108[[#This Row],[No. Of technicians]]*Table108[[#This Row],[Cost per hour]]</calculatedColumnFormula>
    </tableColumn>
    <tableColumn id="24" name="SLA CU per hour" totalsRowDxfId="39"/>
    <tableColumn id="25" name="Percentage of Business Users" totalsRowDxfId="38"/>
    <tableColumn id="26" name="Percentage of ITS and business users" totalsRowDxfId="37"/>
    <tableColumn id="27" name="FM Penalty Business" totalsRowFunction="sum" totalsRowDxfId="36">
      <calculatedColumnFormula>Table108[[#This Row],[Percentage of Business Users]]*Table108[[#This Row],[SLA CU per hour]]*Table108[[#This Row],[Failures per year]]*Table108[[#This Row],[Total Time to Repair(h)]]</calculatedColumnFormula>
    </tableColumn>
    <tableColumn id="28" name="FM Penalty ITS" totalsRowFunction="sum" totalsRowDxfId="35">
      <calculatedColumnFormula>Table108[[#This Row],[Percentage of ITS and business users]]*Table108[[#This Row],[SLA CU per hour]]*Table108[[#This Row],[Failures per year]]*Table108[[#This Row],[Total Time to Repair(h)]]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8" name="Table14161718199" displayName="Table14161718199" ref="O18:Q24" totalsRowCount="1">
  <autoFilter ref="O18:Q23"/>
  <tableColumns count="3">
    <tableColumn id="1" name="Component"/>
    <tableColumn id="2" name="Cost" totalsRowFunction="custom">
      <calculatedColumnFormula>P31/$M$21</calculatedColumnFormula>
      <totalsRowFormula>SUM(Table14161718199[Cost])</totalsRowFormula>
    </tableColumn>
    <tableColumn id="3" name="Cost ITS" totalsRowFunction="sum">
      <calculatedColumnFormula>Q31/$M$21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912" displayName="Table912" ref="A1:AB11" totalsRowCount="1">
  <autoFilter ref="A1:AB10"/>
  <tableColumns count="28">
    <tableColumn id="1" name="Position of component" dataDxfId="34" totalsRowDxfId="33"/>
    <tableColumn id="2" name="Component Name" dataDxfId="32" totalsRowDxfId="31"/>
    <tableColumn id="3" name="Cost per Unit (OASE)" dataDxfId="30" totalsRowDxfId="29"/>
    <tableColumn id="4" name="Quantity" dataDxfId="28"/>
    <tableColumn id="5" name="Floor Space per component"/>
    <tableColumn id="6" name="Total Floor Space">
      <calculatedColumnFormula>Table912[[#This Row],[Floor Space per component]]*Table912[[#This Row],[Quantity]]</calculatedColumnFormula>
    </tableColumn>
    <tableColumn id="7" name="Rent per sqm per year"/>
    <tableColumn id="8" name="Total Rent cost per year" totalsRowFunction="custom">
      <calculatedColumnFormula>Table912[[#This Row],[Total Floor Space]]*Table912[[#This Row],[Rent per sqm per year]]</calculatedColumnFormula>
      <totalsRowFormula>SUM(Table912[Total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Table912[[#This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Table912[[#This Row],[Yearly Energy Consumption in kWh]]*Table912[[#This Row],[CU/kWh]]</calculatedColumnFormula>
    </tableColumn>
    <tableColumn id="16" name="Mean dist in km from CO"/>
    <tableColumn id="17" name="Avg Travel Speed"/>
    <tableColumn id="18" name="Failures per year">
      <calculatedColumnFormula>Table912[[#This Row],[FIT]]*Table912[[#This Row],[Quantity]]*24*365/1000000000</calculatedColumnFormula>
    </tableColumn>
    <tableColumn id="19" name="Twice Travel Time">
      <calculatedColumnFormula>2*Table912[[#This Row],[Mean dist in km from CO]]/Table912[[#This Row],[Avg Travel Speed]]</calculatedColumnFormula>
    </tableColumn>
    <tableColumn id="20" name="Total Time to Repair(h)">
      <calculatedColumnFormula>Table912[[#This Row],[MTTR]]+Table912[[#This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Table912[[#This Row],[Failures per year]]*Table912[[#This Row],[Total Time to Repair(h)]]*Table912[[#This Row],[No. Of technicians]]*Table912[[#This Row],[Cost per hour]]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Table912[[#This Row],[Percentage of Business Users]]*Table912[[#This Row],[SLA CU per hour]]*Table912[[#This Row],[Failures per year]]*Table912[[#This Row],[Total Time to Repair(h)]]</calculatedColumnFormula>
    </tableColumn>
    <tableColumn id="28" name="FM Penalty ITS" totalsRowFunction="sum">
      <calculatedColumnFormula>Table912[[#This Row],[Percentage of ITS and business users]]*Table912[[#This Row],[SLA CU per hour]]*Table912[[#This Row],[Failures per year]]*Table912[[#This Row],[Total Time to Repair(h)]]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416171814" displayName="Table1416171814" ref="O20:Q26" totalsRowCount="1">
  <autoFilter ref="O20:Q25"/>
  <tableColumns count="3">
    <tableColumn id="1" name="Component"/>
    <tableColumn id="2" name="Cost" totalsRowFunction="custom">
      <calculatedColumnFormula>P33/$M$25</calculatedColumnFormula>
      <totalsRowFormula>SUM(Table1416171814[Cost])</totalsRowFormula>
    </tableColumn>
    <tableColumn id="3" name="Cost ITS" totalsRowFunction="sum">
      <calculatedColumnFormula>Q33/$M$25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2" name="Table22" displayName="Table22" ref="D27:N33" totalsRowCount="1">
  <autoFilter ref="D27:N32"/>
  <tableColumns count="11">
    <tableColumn id="1" name="Component" totalsRowDxfId="27"/>
    <tableColumn id="2" name="FTTC_GPON_25" totalsRowFunction="custom" totalsRowDxfId="26">
      <calculatedColumnFormula>FTTC_GPON_25!$I26</calculatedColumnFormula>
      <totalsRowFormula>SUM(Table22[FTTC_GPON_25])</totalsRowFormula>
    </tableColumn>
    <tableColumn id="3" name="FTTB_XGPON_50" totalsRowFunction="sum" totalsRowDxfId="25">
      <calculatedColumnFormula>FTTB_XGPON_50!$N26</calculatedColumnFormula>
    </tableColumn>
    <tableColumn id="4" name="FTTB_UDWDM_50" totalsRowFunction="sum" totalsRowDxfId="24">
      <calculatedColumnFormula>FTTB_DWDM_50!$N34</calculatedColumnFormula>
    </tableColumn>
    <tableColumn id="5" name="FTTH_UDWDM_100" totalsRowFunction="sum" totalsRowDxfId="23">
      <calculatedColumnFormula>FTTH_DWDM_100!$N21</calculatedColumnFormula>
    </tableColumn>
    <tableColumn id="6" name="FTTH_XGPON_100" totalsRowFunction="sum" totalsRowDxfId="22">
      <calculatedColumnFormula>FTTH_XGPON_100!$M36</calculatedColumnFormula>
    </tableColumn>
    <tableColumn id="7" name="FTTC_GPON_100" totalsRowFunction="sum" totalsRowDxfId="21">
      <calculatedColumnFormula>FTTC_GPON_100!$P24</calculatedColumnFormula>
    </tableColumn>
    <tableColumn id="8" name="FTTC_Hybridpon_25" totalsRowFunction="sum" dataDxfId="20" totalsRowDxfId="19">
      <calculatedColumnFormula>FTTC_Hybridpon_25!P21</calculatedColumnFormula>
    </tableColumn>
    <tableColumn id="9" name="FTTB_Hybridpon_50" totalsRowFunction="sum" dataDxfId="18" totalsRowDxfId="17">
      <calculatedColumnFormula>FTTB_Hybridpon_50!$P19</calculatedColumnFormula>
    </tableColumn>
    <tableColumn id="10" name="FTTH_Hybridpon_100" totalsRowFunction="sum" dataDxfId="16" totalsRowDxfId="15">
      <calculatedColumnFormula>FTTH_Hybridpon_100!$P19</calculatedColumnFormula>
    </tableColumn>
    <tableColumn id="11" name="FTTC_Hybridpon_100" totalsRowFunction="sum" totalsRowDxfId="14">
      <calculatedColumnFormula>FTTC_Hybridpon_100!P21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4" name="Table2225" displayName="Table2225" ref="D12:N18" totalsRowCount="1">
  <autoFilter ref="D12:N17"/>
  <tableColumns count="11">
    <tableColumn id="1" name="Component_business" totalsRowDxfId="13"/>
    <tableColumn id="2" name="FTTC_GPON_25" totalsRowFunction="custom" totalsRowDxfId="12">
      <calculatedColumnFormula>FTTC_GPON_25!$J26</calculatedColumnFormula>
      <totalsRowFormula>SUM(Table2225[FTTC_GPON_25])</totalsRowFormula>
    </tableColumn>
    <tableColumn id="3" name="FTTB_XGPON_50" totalsRowFunction="sum" totalsRowDxfId="11">
      <calculatedColumnFormula>FTTB_XGPON_50!$O26</calculatedColumnFormula>
    </tableColumn>
    <tableColumn id="4" name="FTTB_UDWDM_50" totalsRowFunction="sum" totalsRowDxfId="10">
      <calculatedColumnFormula>FTTB_DWDM_50!$O34</calculatedColumnFormula>
    </tableColumn>
    <tableColumn id="5" name="FTTH_UDWDM_100" totalsRowFunction="sum" totalsRowDxfId="9">
      <calculatedColumnFormula>FTTH_DWDM_100!$O21</calculatedColumnFormula>
    </tableColumn>
    <tableColumn id="6" name="FTTH_XGPON_100" totalsRowFunction="sum" totalsRowDxfId="8">
      <calculatedColumnFormula>FTTH_XGPON_100!$N36</calculatedColumnFormula>
    </tableColumn>
    <tableColumn id="7" name="FTTC_GPON_100" totalsRowFunction="sum" totalsRowDxfId="7">
      <calculatedColumnFormula>FTTC_GPON_100!$Q24</calculatedColumnFormula>
    </tableColumn>
    <tableColumn id="8" name="FTTC_Hybridpon_25" totalsRowFunction="sum" dataDxfId="6" totalsRowDxfId="5">
      <calculatedColumnFormula>FTTC_Hybridpon_25!P21</calculatedColumnFormula>
    </tableColumn>
    <tableColumn id="9" name="FTTB_Hybridpon_50" totalsRowFunction="sum" dataDxfId="4" totalsRowDxfId="3">
      <calculatedColumnFormula>FTTB_Hybridpon_50!$Q19</calculatedColumnFormula>
    </tableColumn>
    <tableColumn id="10" name="FTTH_Hybridpon_100" totalsRowFunction="sum" dataDxfId="2" totalsRowDxfId="1">
      <calculatedColumnFormula>FTTH_Hybridpon_100!$Q19</calculatedColumnFormula>
    </tableColumn>
    <tableColumn id="11" name="FTTC_Hybridpon_100" totalsRowFunction="sum" totalsRowDxfId="0">
      <calculatedColumnFormula>FTTC_Hybridpon_100!Q21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B11" totalsRowCount="1">
  <autoFilter ref="A1:AB10"/>
  <tableColumns count="28">
    <tableColumn id="1" name="Position of component"/>
    <tableColumn id="2" name="Component Name"/>
    <tableColumn id="3" name="Cost per Unit (OASE)"/>
    <tableColumn id="4" name="Quantity" dataDxfId="137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SLA CU per hour"/>
    <tableColumn id="25" name="Percentage of Business Users"/>
    <tableColumn id="26" name="Percentage of ITS and business users">
      <calculatedColumnFormula>0.07+2*0.00027</calculatedColumnFormula>
    </tableColumn>
    <tableColumn id="27" name="FM Penalty Business" totalsRowFunction="sum">
      <calculatedColumnFormula>Table3[[#This Row],[Percentage of Business Users]]*Table3[[#This Row],[SLA CU per hour]]*Table3[[#This Row],[Failures per year]]*Table3[[#This Row],[Total Time to Repair(h)]]</calculatedColumnFormula>
    </tableColumn>
    <tableColumn id="28" name="FM Penalty ITS" totalsRowFunction="sum">
      <calculatedColumnFormula>Table3[[#This Row],[Percentage of ITS and business users]]*Table3[[#This Row],[SLA CU per hour]]*Table3[[#This Row],[Failures per year]]*Table3[[#This Row],[Total Time to Repair(h)]]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AB11" totalsRowCount="1">
  <autoFilter ref="B1:AB10"/>
  <tableColumns count="27">
    <tableColumn id="1" name="Component Name" dataDxfId="136" totalsRowDxfId="135"/>
    <tableColumn id="2" name="Cost per Unit (OASE)" dataDxfId="134" totalsRowDxfId="133"/>
    <tableColumn id="3" name="Quantity" dataDxfId="132" totalsRowDxfId="131"/>
    <tableColumn id="4" name="Floor Space per component" totalsRowDxfId="130"/>
    <tableColumn id="5" name="Total Floor Space" totalsRowDxfId="129">
      <calculatedColumnFormula>E2*D2</calculatedColumnFormula>
    </tableColumn>
    <tableColumn id="6" name="Rent per sqm per year" totalsRowDxfId="128"/>
    <tableColumn id="7" name="Total Rent cost per year" totalsRowFunction="sum" totalsRowDxfId="127">
      <calculatedColumnFormula>G2*F2</calculatedColumnFormula>
    </tableColumn>
    <tableColumn id="8" name="Installation Time in hours" totalsRowDxfId="126"/>
    <tableColumn id="9" name="MTTR" totalsRowDxfId="125"/>
    <tableColumn id="10" name="FIT" totalsRowDxfId="124"/>
    <tableColumn id="11" name="Energy consumption in W" totalsRowDxfId="123"/>
    <tableColumn id="12" name="Yearly Energy Consumption in kWh" totalsRowDxfId="122">
      <calculatedColumnFormula>Table1[[#This Row],[Energy consumption in W]]*24*365/1000</calculatedColumnFormula>
    </tableColumn>
    <tableColumn id="13" name="CU/kWh" totalsRowDxfId="121">
      <calculatedColumnFormula>0.15/50</calculatedColumnFormula>
    </tableColumn>
    <tableColumn id="14" name="Energy Cost per year in CU" totalsRowFunction="sum" totalsRowDxfId="120">
      <calculatedColumnFormula>Table1[[#This Row],[Yearly Energy Consumption in kWh]]*Table1[[#This Row],[CU/kWh]]</calculatedColumnFormula>
    </tableColumn>
    <tableColumn id="15" name="Mean dist in km from CO" totalsRowDxfId="119"/>
    <tableColumn id="16" name="Avg Travel Speed" totalsRowDxfId="118"/>
    <tableColumn id="17" name="Failures per year" totalsRowDxfId="117">
      <calculatedColumnFormula>Table1[[#This Row],[Quantity]]*Table1[[#This Row],[FIT]]*24*365/1000000000</calculatedColumnFormula>
    </tableColumn>
    <tableColumn id="18" name="Twice Travel Time" totalsRowDxfId="116">
      <calculatedColumnFormula>2*Table1[[#This Row],[Mean dist in km from CO]]/Table1[[#This Row],[Avg Travel Speed]]</calculatedColumnFormula>
    </tableColumn>
    <tableColumn id="19" name="Total Time to Repair(h)" totalsRowDxfId="115">
      <calculatedColumnFormula>Table1[[#This Row],[MTTR]]+Table1[[#This Row],[Twice Travel Time]]</calculatedColumnFormula>
    </tableColumn>
    <tableColumn id="20" name="No. Of technicians" totalsRowDxfId="114"/>
    <tableColumn id="21" name="Cost per hour" totalsRowDxfId="113"/>
    <tableColumn id="22" name="FM Cost" totalsRowFunction="custom" totalsRowDxfId="112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  <tableColumn id="23" name="SLA CU per hour" totalsRowDxfId="111"/>
    <tableColumn id="24" name="Percentage of Business Users" totalsRowDxfId="110"/>
    <tableColumn id="25" name="Percentage of ITS and business users" totalsRowDxfId="109"/>
    <tableColumn id="26" name="FM Penalty Business" totalsRowFunction="sum" totalsRowDxfId="108">
      <calculatedColumnFormula>Table1[[#This Row],[Percentage of Business Users]]*Table1[[#This Row],[SLA CU per hour]]*Table1[[#This Row],[Failures per year]]*Table1[[#This Row],[Total Time to Repair(h)]]</calculatedColumnFormula>
    </tableColumn>
    <tableColumn id="27" name="FM Penalty ITS" totalsRowFunction="sum" totalsRowDxfId="107">
      <calculatedColumnFormula>Table1[[#This Row],[Percentage of ITS and business users]]*Table1[[#This Row],[SLA CU per hour]]*Table1[[#This Row],[Failures per year]]*Table1[[#This Row],[Total Time to Repair(h)]]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B11" totalsRowCount="1">
  <autoFilter ref="A1:AB10"/>
  <tableColumns count="28">
    <tableColumn id="1" name="Position of component"/>
    <tableColumn id="2" name="Component Name" dataDxfId="106"/>
    <tableColumn id="3" name="Cost per Unit (OASE)"/>
    <tableColumn id="4" name="Quantity" dataDxfId="105"/>
    <tableColumn id="5" name="Floor Space per component"/>
    <tableColumn id="6" name="Total Floor Space">
      <calculatedColumnFormula>Table4[[#This Row],[Floor Space per component]]*Table4[[#This Row],[Quantity]]</calculatedColumnFormula>
    </tableColumn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0.15/50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  <tableColumn id="9" name="SLA CU per hour"/>
    <tableColumn id="25" name="Percentage of Business Users"/>
    <tableColumn id="26" name="Percentage of ITS and business users"/>
    <tableColumn id="27" name="FM Penalty Business" totalsRowFunction="sum">
      <calculatedColumnFormula>Table4[[#This Row],[Percentage of Business Users]]*Table4[[#This Row],[SLA CU per hour]]*Table4[[#This Row],[Failures per year]]*Table4[[#This Row],[Total Time to Repair(h)]]</calculatedColumnFormula>
    </tableColumn>
    <tableColumn id="28" name="FM Penalty ITS" totalsRowFunction="sum">
      <calculatedColumnFormula>Table4[[#This Row],[Percentage of ITS and business users]]*Table4[[#This Row],[SLA CU per hour]]*Table4[[#This Row],[Failures per year]]*Table4[[#This Row],[Total Time to Repair(h)]]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B11" totalsRowCount="1">
  <autoFilter ref="A1:AB10"/>
  <tableColumns count="28">
    <tableColumn id="1" name="Position of component"/>
    <tableColumn id="2" name="Component Name" dataDxfId="104"/>
    <tableColumn id="3" name="Cost per Unit (OASE)"/>
    <tableColumn id="4" name="Quantity" dataDxfId="103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Table36[[#This Row],[Percentage of Business Users]]*Table36[[#This Row],[SLA CU per hour]]*Table36[[#This Row],[Failures per year]]*Table36[[#This Row],[Total Time to Repair(h)]]</calculatedColumnFormula>
    </tableColumn>
    <tableColumn id="28" name="FM Penalty ITS" totalsRowFunction="sum">
      <calculatedColumnFormula>Table36[[#This Row],[Percentage of ITS and business users]]*Table36[[#This Row],[SLA CU per hour]]*Table36[[#This Row],[Failures per year]]*Table36[[#This Row],[Total Time to Repair(h)]]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B11" totalsRowCount="1">
  <autoFilter ref="A1:AB10"/>
  <tableColumns count="28">
    <tableColumn id="1" name="Position of component"/>
    <tableColumn id="2" name="Component Name" dataDxfId="102" totalsRowDxfId="101"/>
    <tableColumn id="3" name="Cost per Unit (OASE)" dataDxfId="100"/>
    <tableColumn id="4" name="Quantity" dataDxfId="99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98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0.15/50</calculatedColumnFormula>
    </tableColumn>
    <tableColumn id="11" name="Energy Cost per year in CU" totalsRowFunction="custom" totalsRowDxfId="97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96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SLA CU per hour"/>
    <tableColumn id="21" name="Percentage of Business Users"/>
    <tableColumn id="22" name="Percentage of ITS and business users">
      <calculatedColumnFormula>0.07+2*0.00027</calculatedColumnFormula>
    </tableColumn>
    <tableColumn id="23" name="FM Penalty Business" totalsRowFunction="sum">
      <calculatedColumnFormula>Table27[[#This Row],[Percentage of Business Users]]*Table27[[#This Row],[SLA CU per hour]]*Table27[[#This Row],[Failures per year]]*Table27[[#This Row],[Total Time to Repair(h)]]</calculatedColumnFormula>
    </tableColumn>
    <tableColumn id="28" name="FM Penalty ITS" totalsRowFunction="sum">
      <calculatedColumnFormula>Table27[[#This Row],[Percentage of ITS and business users]]*Table27[[#This Row],[SLA CU per hour]]*Table27[[#This Row],[Failures per year]]*Table27[[#This Row],[Total Time to Repair(h)]]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R29" totalsRowCount="1">
  <autoFilter ref="O23:R28"/>
  <tableColumns count="4">
    <tableColumn id="1" name="Component"/>
    <tableColumn id="2" name="Residential" totalsRowFunction="custom">
      <calculatedColumnFormula>P36/$M$31</calculatedColumnFormula>
      <totalsRowFormula>SUM(Table14[Residential])</totalsRowFormula>
    </tableColumn>
    <tableColumn id="3" name="Business" totalsRowFunction="sum">
      <calculatedColumnFormula>Q36/$M$31</calculatedColumnFormula>
    </tableColumn>
    <tableColumn id="4" name="Business ITS" totalsRowFunction="sum">
      <calculatedColumnFormula>R36/$M$31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AB11" totalsRowCount="1">
  <autoFilter ref="A1:AB10"/>
  <tableColumns count="28">
    <tableColumn id="1" name="Position of component" dataDxfId="95" totalsRowDxfId="94"/>
    <tableColumn id="2" name="Component Name" dataDxfId="93" totalsRowDxfId="92"/>
    <tableColumn id="3" name="Cost per Unit (OASE)" dataDxfId="91" totalsRowDxfId="90"/>
    <tableColumn id="4" name="Quantity" dataDxfId="89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0.15/50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  <tableColumn id="24" name="SLA CU per hour"/>
    <tableColumn id="25" name="Percentage of Business Users"/>
    <tableColumn id="26" name="Percentage of ITS and business users"/>
    <tableColumn id="27" name="FM Penalty Business" totalsRowFunction="sum">
      <calculatedColumnFormula>Table9[[#This Row],[Percentage of Business Users]]*Table9[[#This Row],[SLA CU per hour]]*Table9[[#This Row],[Failures per year]]*Table9[[#This Row],[Total Time to Repair(h)]]</calculatedColumnFormula>
    </tableColumn>
    <tableColumn id="28" name="FM Penalty ITS" totalsRowFunction="sum">
      <calculatedColumnFormula>Table9[[#This Row],[Percentage of ITS and business users]]*Table9[[#This Row],[SLA CU per hour]]*Table9[[#This Row],[Failures per year]]*Table9[[#This Row],[Total Time to Repair(h)]]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e14161718" displayName="Table14161718" ref="O20:Q26" totalsRowCount="1">
  <autoFilter ref="O20:Q25"/>
  <tableColumns count="3">
    <tableColumn id="1" name="Component"/>
    <tableColumn id="2" name="Cost" totalsRowFunction="custom">
      <calculatedColumnFormula>P34/$M$26</calculatedColumnFormula>
      <totalsRowFormula>SUM(Table14161718[Cost])</totalsRowFormula>
    </tableColumn>
    <tableColumn id="3" name="Cost ITS" totalsRowFunction="sum">
      <calculatedColumnFormula>Q34/$M$26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workbookViewId="0">
      <selection activeCell="F31" sqref="F3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53</v>
      </c>
      <c r="B3" s="1" t="s">
        <v>55</v>
      </c>
      <c r="C3" s="1" t="s">
        <v>57</v>
      </c>
      <c r="D3" s="1" t="s">
        <v>56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54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H1" workbookViewId="0">
      <selection activeCell="M21" sqref="M21"/>
    </sheetView>
  </sheetViews>
  <sheetFormatPr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9.14062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9.14062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18">
        <v>16</v>
      </c>
      <c r="D2" s="23">
        <f>8*2</f>
        <v>16</v>
      </c>
      <c r="E2" s="8">
        <v>0.5</v>
      </c>
      <c r="F2" s="8">
        <f>E2*D2</f>
        <v>8</v>
      </c>
      <c r="G2" s="8">
        <v>10.6</v>
      </c>
      <c r="H2" s="8">
        <f>Table108[[#This Row],[Total Floor Space]]*Table108[[#This Row],[Rent per sqm per year]]</f>
        <v>84.8</v>
      </c>
      <c r="I2" s="8">
        <f>(0.5+1/6*6)*Table108[[#This Row],[Quantity]]</f>
        <v>24</v>
      </c>
      <c r="J2" s="8">
        <v>6</v>
      </c>
      <c r="K2" s="8">
        <v>256</v>
      </c>
      <c r="L2" s="8">
        <f>0.5*10*6*Table108[[#This Row],[Quantity]]</f>
        <v>480</v>
      </c>
      <c r="M2" s="8">
        <f>Table108[[#This Row],[Energy consumption in W]]*24*365/1000</f>
        <v>4204.8</v>
      </c>
      <c r="N2" s="8">
        <f>0.15/50</f>
        <v>3.0000000000000001E-3</v>
      </c>
      <c r="O2" s="8">
        <f>Table108[[#This Row],[Yearly Energy Consumption in kWh]]*Table108[[#This Row],[CU/kWh]]</f>
        <v>12.614400000000002</v>
      </c>
      <c r="P2" s="8">
        <v>0</v>
      </c>
      <c r="Q2" s="8">
        <v>20</v>
      </c>
      <c r="R2" s="8">
        <f>Table108[[#This Row],[FIT]]*Table108[[#This Row],[Quantity]]*24*365/1000000000</f>
        <v>3.5880960000000003E-2</v>
      </c>
      <c r="S2" s="8">
        <f>2*Table108[[#This Row],[Mean dist in km from CO]]/Table108[[#This Row],[Avg Travel Speed]]</f>
        <v>0</v>
      </c>
      <c r="T2" s="8">
        <f>Table108[[#This Row],[MTTR]]+Table108[[#This Row],[Twice Travel Time]]</f>
        <v>6</v>
      </c>
      <c r="U2" s="8">
        <v>1</v>
      </c>
      <c r="V2" s="8">
        <v>5</v>
      </c>
      <c r="W2" s="8">
        <f>Table108[[#This Row],[Failures per year]]*Table108[[#This Row],[Total Time to Repair(h)]]*Table108[[#This Row],[No. Of technicians]]*Table108[[#This Row],[Cost per hour]]</f>
        <v>1.0764288000000002</v>
      </c>
      <c r="X2" s="8">
        <v>100</v>
      </c>
      <c r="Y2" s="8">
        <v>7.0000000000000007E-2</v>
      </c>
      <c r="Z2" s="8">
        <v>7.0540000000000005E-2</v>
      </c>
      <c r="AA2" s="8">
        <f>Table108[[#This Row],[Percentage of Business Users]]*Table108[[#This Row],[SLA CU per hour]]*Table108[[#This Row],[Failures per year]]*Table108[[#This Row],[Total Time to Repair(h)]]</f>
        <v>1.5070003200000004</v>
      </c>
      <c r="AB2" s="8">
        <f>Table108[[#This Row],[Percentage of ITS and business users]]*Table108[[#This Row],[SLA CU per hour]]*Table108[[#This Row],[Failures per year]]*Table108[[#This Row],[Total Time to Repair(h)]]</f>
        <v>1.5186257510400003</v>
      </c>
    </row>
    <row r="3" spans="1:28" x14ac:dyDescent="0.25">
      <c r="A3" s="19" t="s">
        <v>3</v>
      </c>
      <c r="B3" s="20" t="s">
        <v>71</v>
      </c>
      <c r="C3" s="21">
        <v>17</v>
      </c>
      <c r="D3" s="23">
        <f>13*3*2</f>
        <v>78</v>
      </c>
      <c r="E3" s="8">
        <v>5</v>
      </c>
      <c r="F3" s="8">
        <f t="shared" ref="F3:F10" si="0">E3*D3</f>
        <v>390</v>
      </c>
      <c r="G3" s="8">
        <v>10.6</v>
      </c>
      <c r="H3" s="8">
        <f>Table108[[#This Row],[Total Floor Space]]*Table108[[#This Row],[Rent per sqm per year]]</f>
        <v>4134</v>
      </c>
      <c r="I3" s="8">
        <f>1/6*Table108[[#This Row],[Quantity]]</f>
        <v>13</v>
      </c>
      <c r="J3" s="8">
        <v>6</v>
      </c>
      <c r="K3" s="8">
        <v>50</v>
      </c>
      <c r="L3" s="8">
        <f>100*Table108[[#This Row],[Quantity]]</f>
        <v>7800</v>
      </c>
      <c r="M3" s="8">
        <f>Table108[[#This Row],[Energy consumption in W]]*24*365/1000</f>
        <v>68328</v>
      </c>
      <c r="N3" s="8">
        <f t="shared" ref="N3:N8" si="1">0.15/50</f>
        <v>3.0000000000000001E-3</v>
      </c>
      <c r="O3" s="8">
        <f>Table108[[#This Row],[Yearly Energy Consumption in kWh]]*Table108[[#This Row],[CU/kWh]]</f>
        <v>204.98400000000001</v>
      </c>
      <c r="P3" s="8">
        <v>0</v>
      </c>
      <c r="Q3" s="8">
        <v>20</v>
      </c>
      <c r="R3" s="8">
        <f>Table108[[#This Row],[FIT]]*Table108[[#This Row],[Quantity]]*24*365/1000000000</f>
        <v>3.4164E-2</v>
      </c>
      <c r="S3" s="8">
        <f>2*Table108[[#This Row],[Mean dist in km from CO]]/Table108[[#This Row],[Avg Travel Speed]]</f>
        <v>0</v>
      </c>
      <c r="T3" s="8">
        <f>Table108[[#This Row],[MTTR]]+Table108[[#This Row],[Twice Travel Time]]</f>
        <v>6</v>
      </c>
      <c r="U3" s="8">
        <v>1</v>
      </c>
      <c r="V3" s="8">
        <v>5</v>
      </c>
      <c r="W3" s="8">
        <f>Table108[[#This Row],[Failures per year]]*Table108[[#This Row],[Total Time to Repair(h)]]*Table108[[#This Row],[No. Of technicians]]*Table108[[#This Row],[Cost per hour]]</f>
        <v>1.0249200000000001</v>
      </c>
      <c r="X3" s="8">
        <v>100</v>
      </c>
      <c r="Y3" s="8">
        <v>7.0000000000000007E-2</v>
      </c>
      <c r="Z3" s="8">
        <v>7.0540000000000005E-2</v>
      </c>
      <c r="AA3" s="8">
        <f>Table108[[#This Row],[Percentage of Business Users]]*Table108[[#This Row],[SLA CU per hour]]*Table108[[#This Row],[Failures per year]]*Table108[[#This Row],[Total Time to Repair(h)]]</f>
        <v>1.4348880000000002</v>
      </c>
      <c r="AB3" s="8">
        <f>Table108[[#This Row],[Percentage of ITS and business users]]*Table108[[#This Row],[SLA CU per hour]]*Table108[[#This Row],[Failures per year]]*Table108[[#This Row],[Total Time to Repair(h)]]</f>
        <v>1.4459571360000001</v>
      </c>
    </row>
    <row r="4" spans="1:28" x14ac:dyDescent="0.25">
      <c r="A4" s="16" t="s">
        <v>3</v>
      </c>
      <c r="B4" s="17" t="s">
        <v>72</v>
      </c>
      <c r="C4" s="18">
        <v>63</v>
      </c>
      <c r="D4" s="23">
        <f>13*3*2</f>
        <v>78</v>
      </c>
      <c r="E4" s="8">
        <v>0.5</v>
      </c>
      <c r="F4" s="8">
        <f t="shared" si="0"/>
        <v>39</v>
      </c>
      <c r="G4" s="8">
        <v>10.6</v>
      </c>
      <c r="H4" s="8">
        <f>Table108[[#This Row],[Total Floor Space]]*Table108[[#This Row],[Rent per sqm per year]]</f>
        <v>413.4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Table108[[#This Row],[Energy consumption in W]]*24*365/1000</f>
        <v>5256</v>
      </c>
      <c r="N4" s="8">
        <f t="shared" si="1"/>
        <v>3.0000000000000001E-3</v>
      </c>
      <c r="O4" s="8">
        <f>Table108[[#This Row],[Yearly Energy Consumption in kWh]]*Table108[[#This Row],[CU/kWh]]</f>
        <v>15.768000000000001</v>
      </c>
      <c r="P4" s="8">
        <v>0</v>
      </c>
      <c r="Q4" s="8">
        <v>20</v>
      </c>
      <c r="R4" s="8">
        <f>Table108[[#This Row],[FIT]]*Table108[[#This Row],[Quantity]]*24*365/1000000000</f>
        <v>0</v>
      </c>
      <c r="S4" s="8">
        <f>2*Table108[[#This Row],[Mean dist in km from CO]]/Table108[[#This Row],[Avg Travel Speed]]</f>
        <v>0</v>
      </c>
      <c r="T4" s="8">
        <f>Table108[[#This Row],[MTTR]]+Table108[[#This Row],[Twice Travel Time]]</f>
        <v>0</v>
      </c>
      <c r="U4" s="8">
        <v>1</v>
      </c>
      <c r="V4" s="8">
        <v>5</v>
      </c>
      <c r="W4" s="8">
        <f>Table108[[#This Row],[Failures per year]]*Table108[[#This Row],[Total Time to Repair(h)]]*Table108[[#This Row],[No. Of technicians]]*Table108[[#This Row],[Cost per hour]]</f>
        <v>0</v>
      </c>
      <c r="X4" s="8">
        <v>100</v>
      </c>
      <c r="Y4" s="8">
        <v>7.0000000000000007E-2</v>
      </c>
      <c r="Z4" s="8">
        <v>7.0540000000000005E-2</v>
      </c>
      <c r="AA4" s="8">
        <f>Table108[[#This Row],[Percentage of Business Users]]*Table108[[#This Row],[SLA CU per hour]]*Table108[[#This Row],[Failures per year]]*Table108[[#This Row],[Total Time to Repair(h)]]</f>
        <v>0</v>
      </c>
      <c r="AB4" s="8">
        <f>Table108[[#This Row],[Percentage of ITS and business users]]*Table108[[#This Row],[SLA CU per hour]]*Table108[[#This Row],[Failures per year]]*Table108[[#This Row],[Total Time to Repair(h)]]</f>
        <v>0</v>
      </c>
    </row>
    <row r="5" spans="1:28" x14ac:dyDescent="0.25">
      <c r="A5" s="19" t="s">
        <v>3</v>
      </c>
      <c r="B5" s="20" t="s">
        <v>73</v>
      </c>
      <c r="C5" s="21">
        <v>2.2999999999999998</v>
      </c>
      <c r="D5" s="23">
        <f>13*3*2</f>
        <v>78</v>
      </c>
      <c r="E5" s="8">
        <v>0</v>
      </c>
      <c r="F5" s="8">
        <f t="shared" si="0"/>
        <v>0</v>
      </c>
      <c r="G5" s="8">
        <v>10.6</v>
      </c>
      <c r="H5" s="8">
        <f>Table108[[#This Row],[Total Floor Space]]*Table108[[#This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Table108[[#This Row],[Energy consumption in W]]*24*365/1000</f>
        <v>0</v>
      </c>
      <c r="N5" s="8">
        <f t="shared" si="1"/>
        <v>3.0000000000000001E-3</v>
      </c>
      <c r="O5" s="8">
        <f>Table108[[#This Row],[Yearly Energy Consumption in kWh]]*Table108[[#This Row],[CU/kWh]]</f>
        <v>0</v>
      </c>
      <c r="P5" s="8">
        <v>0</v>
      </c>
      <c r="Q5" s="8">
        <v>20</v>
      </c>
      <c r="R5" s="8">
        <f>Table108[[#This Row],[FIT]]*Table108[[#This Row],[Quantity]]*24*365/1000000000</f>
        <v>0</v>
      </c>
      <c r="S5" s="8">
        <f>2*Table108[[#This Row],[Mean dist in km from CO]]/Table108[[#This Row],[Avg Travel Speed]]</f>
        <v>0</v>
      </c>
      <c r="T5" s="8">
        <f>Table108[[#This Row],[MTTR]]+Table108[[#This Row],[Twice Travel Time]]</f>
        <v>0</v>
      </c>
      <c r="U5" s="8">
        <v>1</v>
      </c>
      <c r="V5" s="8">
        <v>5</v>
      </c>
      <c r="W5" s="8">
        <f>Table108[[#This Row],[Failures per year]]*Table108[[#This Row],[Total Time to Repair(h)]]*Table108[[#This Row],[No. Of technicians]]*Table108[[#This Row],[Cost per hour]]</f>
        <v>0</v>
      </c>
      <c r="X5" s="8">
        <v>100</v>
      </c>
      <c r="Y5" s="8">
        <v>7.0000000000000007E-2</v>
      </c>
      <c r="Z5" s="8">
        <v>7.0540000000000005E-2</v>
      </c>
      <c r="AA5" s="8">
        <f>Table108[[#This Row],[Percentage of Business Users]]*Table108[[#This Row],[SLA CU per hour]]*Table108[[#This Row],[Failures per year]]*Table108[[#This Row],[Total Time to Repair(h)]]</f>
        <v>0</v>
      </c>
      <c r="AB5" s="8">
        <f>Table108[[#This Row],[Percentage of ITS and business users]]*Table108[[#This Row],[SLA CU per hour]]*Table108[[#This Row],[Failures per year]]*Table108[[#This Row],[Total Time to Repair(h)]]</f>
        <v>0</v>
      </c>
    </row>
    <row r="6" spans="1:28" x14ac:dyDescent="0.25">
      <c r="A6" s="16" t="s">
        <v>3</v>
      </c>
      <c r="B6" s="17" t="s">
        <v>74</v>
      </c>
      <c r="C6" s="18">
        <v>2.2222222222222223E-2</v>
      </c>
      <c r="D6" s="23">
        <f>12*2*2</f>
        <v>48</v>
      </c>
      <c r="E6" s="8">
        <v>0</v>
      </c>
      <c r="F6" s="8">
        <f t="shared" si="0"/>
        <v>0</v>
      </c>
      <c r="G6" s="8">
        <v>10.6</v>
      </c>
      <c r="H6" s="8">
        <f>Table108[[#This Row],[Total Floor Space]]*Table108[[#This Row],[Rent per sqm per year]]</f>
        <v>0</v>
      </c>
      <c r="I6" s="8">
        <f>1/6*Table108[[#This Row],[Quantity]]</f>
        <v>8</v>
      </c>
      <c r="J6" s="8">
        <v>6</v>
      </c>
      <c r="K6" s="8">
        <v>50</v>
      </c>
      <c r="L6" s="8">
        <v>0</v>
      </c>
      <c r="M6" s="8">
        <f>Table108[[#This Row],[Energy consumption in W]]*24*365/1000</f>
        <v>0</v>
      </c>
      <c r="N6" s="8">
        <f t="shared" si="1"/>
        <v>3.0000000000000001E-3</v>
      </c>
      <c r="O6" s="8">
        <f>Table108[[#This Row],[Yearly Energy Consumption in kWh]]*Table108[[#This Row],[CU/kWh]]</f>
        <v>0</v>
      </c>
      <c r="P6" s="8">
        <v>1</v>
      </c>
      <c r="Q6" s="8">
        <v>20</v>
      </c>
      <c r="R6" s="8">
        <f>Table108[[#This Row],[FIT]]*Table108[[#This Row],[Quantity]]*24*365/1000000000</f>
        <v>2.1024000000000001E-2</v>
      </c>
      <c r="S6" s="8">
        <f>2*Table108[[#This Row],[Mean dist in km from CO]]/Table108[[#This Row],[Avg Travel Speed]]</f>
        <v>0.1</v>
      </c>
      <c r="T6" s="8">
        <f>Table108[[#This Row],[MTTR]]+Table108[[#This Row],[Twice Travel Time]]</f>
        <v>6.1</v>
      </c>
      <c r="U6" s="8">
        <v>1</v>
      </c>
      <c r="V6" s="8">
        <v>5</v>
      </c>
      <c r="W6" s="8">
        <f>Table108[[#This Row],[Failures per year]]*Table108[[#This Row],[Total Time to Repair(h)]]*Table108[[#This Row],[No. Of technicians]]*Table108[[#This Row],[Cost per hour]]</f>
        <v>0.64123200000000002</v>
      </c>
      <c r="X6" s="8">
        <v>100</v>
      </c>
      <c r="Y6" s="8">
        <v>7.0000000000000007E-2</v>
      </c>
      <c r="Z6" s="8">
        <v>7.0540000000000005E-2</v>
      </c>
      <c r="AA6" s="8">
        <f>Table108[[#This Row],[Percentage of Business Users]]*Table108[[#This Row],[SLA CU per hour]]*Table108[[#This Row],[Failures per year]]*Table108[[#This Row],[Total Time to Repair(h)]]</f>
        <v>0.8977248000000001</v>
      </c>
      <c r="AB6" s="8">
        <f>Table108[[#This Row],[Percentage of ITS and business users]]*Table108[[#This Row],[SLA CU per hour]]*Table108[[#This Row],[Failures per year]]*Table108[[#This Row],[Total Time to Repair(h)]]</f>
        <v>0.90465010559999992</v>
      </c>
    </row>
    <row r="7" spans="1:28" x14ac:dyDescent="0.25">
      <c r="A7" s="19" t="s">
        <v>3</v>
      </c>
      <c r="B7" s="20" t="s">
        <v>75</v>
      </c>
      <c r="C7" s="21">
        <v>400</v>
      </c>
      <c r="D7" s="23">
        <v>1</v>
      </c>
      <c r="E7" s="8">
        <v>40</v>
      </c>
      <c r="F7" s="8">
        <f t="shared" si="0"/>
        <v>40</v>
      </c>
      <c r="G7" s="8">
        <v>10.6</v>
      </c>
      <c r="H7" s="8">
        <f>Table108[[#This Row],[Total Floor Space]]*Table108[[#This Row],[Rent per sqm per year]]</f>
        <v>424</v>
      </c>
      <c r="I7" s="8">
        <f>0.5*Table108[[#This Row],[Quantity]]</f>
        <v>0.5</v>
      </c>
      <c r="J7" s="8">
        <v>6</v>
      </c>
      <c r="K7" s="8">
        <v>50</v>
      </c>
      <c r="L7" s="8">
        <v>0</v>
      </c>
      <c r="M7" s="8">
        <f>Table108[[#This Row],[Energy consumption in W]]*24*365/1000</f>
        <v>0</v>
      </c>
      <c r="N7" s="8">
        <f t="shared" si="1"/>
        <v>3.0000000000000001E-3</v>
      </c>
      <c r="O7" s="8">
        <f>Table108[[#This Row],[Yearly Energy Consumption in kWh]]*Table108[[#This Row],[CU/kWh]]</f>
        <v>0</v>
      </c>
      <c r="P7" s="8">
        <v>2</v>
      </c>
      <c r="Q7" s="8">
        <v>20</v>
      </c>
      <c r="R7" s="8">
        <f>Table108[[#This Row],[FIT]]*Table108[[#This Row],[Quantity]]*24*365/1000000000</f>
        <v>4.3800000000000002E-4</v>
      </c>
      <c r="S7" s="8">
        <f>2*Table108[[#This Row],[Mean dist in km from CO]]/Table108[[#This Row],[Avg Travel Speed]]</f>
        <v>0.2</v>
      </c>
      <c r="T7" s="8">
        <f>Table108[[#This Row],[MTTR]]+Table108[[#This Row],[Twice Travel Time]]</f>
        <v>6.2</v>
      </c>
      <c r="U7" s="8">
        <v>1</v>
      </c>
      <c r="V7" s="8">
        <v>5</v>
      </c>
      <c r="W7" s="8">
        <f>Table108[[#This Row],[Failures per year]]*Table108[[#This Row],[Total Time to Repair(h)]]*Table108[[#This Row],[No. Of technicians]]*Table108[[#This Row],[Cost per hour]]</f>
        <v>1.3578000000000002E-2</v>
      </c>
      <c r="X7" s="8">
        <v>100</v>
      </c>
      <c r="Y7" s="8">
        <v>7.0000000000000007E-2</v>
      </c>
      <c r="Z7" s="8">
        <v>7.0540000000000005E-2</v>
      </c>
      <c r="AA7" s="8">
        <f>Table108[[#This Row],[Percentage of Business Users]]*Table108[[#This Row],[SLA CU per hour]]*Table108[[#This Row],[Failures per year]]*Table108[[#This Row],[Total Time to Repair(h)]]</f>
        <v>1.9009200000000004E-2</v>
      </c>
      <c r="AB7" s="8">
        <f>Table108[[#This Row],[Percentage of ITS and business users]]*Table108[[#This Row],[SLA CU per hour]]*Table108[[#This Row],[Failures per year]]*Table108[[#This Row],[Total Time to Repair(h)]]</f>
        <v>1.9155842400000005E-2</v>
      </c>
    </row>
    <row r="8" spans="1:28" x14ac:dyDescent="0.25">
      <c r="A8" s="16" t="s">
        <v>8</v>
      </c>
      <c r="B8" s="17" t="s">
        <v>76</v>
      </c>
      <c r="C8" s="18">
        <v>24</v>
      </c>
      <c r="D8" s="31">
        <f>13*3*2</f>
        <v>78</v>
      </c>
      <c r="E8" s="8">
        <v>0</v>
      </c>
      <c r="F8" s="8">
        <f t="shared" si="0"/>
        <v>0</v>
      </c>
      <c r="G8" s="8">
        <v>4</v>
      </c>
      <c r="H8" s="8">
        <f>Table108[[#This Row],[Total Floor Space]]*Table108[[#This Row],[Rent per sqm per year]]</f>
        <v>0</v>
      </c>
      <c r="I8" s="8">
        <f>0.5*Table108[[#This Row],[Quantity]]</f>
        <v>39</v>
      </c>
      <c r="J8" s="8">
        <v>6</v>
      </c>
      <c r="K8" s="8">
        <v>256</v>
      </c>
      <c r="L8" s="8">
        <f>5.5*Table108[[#This Row],[Quantity]]</f>
        <v>429</v>
      </c>
      <c r="M8" s="8">
        <f>Table108[[#This Row],[Energy consumption in W]]*24*365/1000</f>
        <v>3758.04</v>
      </c>
      <c r="N8" s="8">
        <f t="shared" si="1"/>
        <v>3.0000000000000001E-3</v>
      </c>
      <c r="O8" s="8">
        <f>Table108[[#This Row],[Yearly Energy Consumption in kWh]]*Table108[[#This Row],[CU/kWh]]</f>
        <v>11.27412</v>
      </c>
      <c r="P8" s="8">
        <v>4</v>
      </c>
      <c r="Q8" s="8">
        <v>20</v>
      </c>
      <c r="R8" s="8">
        <f>Table108[[#This Row],[FIT]]*Table108[[#This Row],[Quantity]]*24*365/1000000000</f>
        <v>0.17491967999999999</v>
      </c>
      <c r="S8" s="8">
        <f>2*Table108[[#This Row],[Mean dist in km from CO]]/Table108[[#This Row],[Avg Travel Speed]]</f>
        <v>0.4</v>
      </c>
      <c r="T8" s="8">
        <f>Table108[[#This Row],[MTTR]]+Table108[[#This Row],[Twice Travel Time]]</f>
        <v>6.4</v>
      </c>
      <c r="U8" s="8">
        <v>1</v>
      </c>
      <c r="V8" s="8">
        <v>5</v>
      </c>
      <c r="W8" s="8">
        <f>Table108[[#This Row],[Failures per year]]*Table108[[#This Row],[Total Time to Repair(h)]]*Table108[[#This Row],[No. Of technicians]]*Table108[[#This Row],[Cost per hour]]</f>
        <v>5.5974297599999998</v>
      </c>
      <c r="X8" s="8">
        <v>100</v>
      </c>
      <c r="Y8" s="8">
        <v>7.0000000000000007E-2</v>
      </c>
      <c r="Z8" s="8">
        <v>7.0540000000000005E-2</v>
      </c>
      <c r="AA8" s="8">
        <f>Table108[[#This Row],[Percentage of Business Users]]*Table108[[#This Row],[SLA CU per hour]]*Table108[[#This Row],[Failures per year]]*Table108[[#This Row],[Total Time to Repair(h)]]</f>
        <v>7.8364016640000003</v>
      </c>
      <c r="AB8" s="8">
        <f>Table108[[#This Row],[Percentage of ITS and business users]]*Table108[[#This Row],[SLA CU per hour]]*Table108[[#This Row],[Failures per year]]*Table108[[#This Row],[Total Time to Repair(h)]]</f>
        <v>7.8968539054080003</v>
      </c>
    </row>
    <row r="9" spans="1:28" x14ac:dyDescent="0.25">
      <c r="A9" s="19" t="s">
        <v>13</v>
      </c>
      <c r="B9" s="20" t="s">
        <v>81</v>
      </c>
      <c r="C9" s="21">
        <v>5.3</v>
      </c>
      <c r="D9" s="31">
        <f>1113*4</f>
        <v>4452</v>
      </c>
      <c r="E9" s="8">
        <v>0.5</v>
      </c>
      <c r="F9" s="8">
        <f t="shared" si="0"/>
        <v>2226</v>
      </c>
      <c r="G9" s="8">
        <v>0</v>
      </c>
      <c r="H9" s="8">
        <f>Table108[[#This Row],[Total Floor Space]]*Table108[[#This Row],[Rent per sqm per year]]</f>
        <v>0</v>
      </c>
      <c r="I9" s="8">
        <f>(0.5+1/6*6)*Table108[[#This Row],[Quantity]]</f>
        <v>6678</v>
      </c>
      <c r="J9" s="8">
        <v>24</v>
      </c>
      <c r="K9" s="8">
        <v>256</v>
      </c>
      <c r="L9" s="8">
        <f>50*Table108[[#This Row],[Quantity]]</f>
        <v>222600</v>
      </c>
      <c r="M9" s="8">
        <f>Table108[[#This Row],[Energy consumption in W]]*24*365/1000</f>
        <v>1949976</v>
      </c>
      <c r="N9" s="8">
        <v>0</v>
      </c>
      <c r="O9" s="8">
        <f>Table108[[#This Row],[Yearly Energy Consumption in kWh]]*Table108[[#This Row],[CU/kWh]]</f>
        <v>0</v>
      </c>
      <c r="P9" s="8">
        <v>4</v>
      </c>
      <c r="Q9" s="8">
        <v>20</v>
      </c>
      <c r="R9" s="8">
        <f>Table108[[#This Row],[FIT]]*Table108[[#This Row],[Quantity]]*24*365/1000000000</f>
        <v>9.9838771200000007</v>
      </c>
      <c r="S9" s="8">
        <f>2*Table108[[#This Row],[Mean dist in km from CO]]/Table108[[#This Row],[Avg Travel Speed]]</f>
        <v>0.4</v>
      </c>
      <c r="T9" s="8">
        <f>Table108[[#This Row],[MTTR]]+Table108[[#This Row],[Twice Travel Time]]</f>
        <v>24.4</v>
      </c>
      <c r="U9" s="8">
        <v>1</v>
      </c>
      <c r="V9" s="8">
        <v>5</v>
      </c>
      <c r="W9" s="8">
        <f>Table108[[#This Row],[Failures per year]]*Table108[[#This Row],[Total Time to Repair(h)]]*Table108[[#This Row],[No. Of technicians]]*Table108[[#This Row],[Cost per hour]]</f>
        <v>1218.0330086400002</v>
      </c>
      <c r="X9" s="8">
        <v>100</v>
      </c>
      <c r="Y9" s="8">
        <v>7.0000000000000007E-2</v>
      </c>
      <c r="Z9" s="8">
        <v>7.0540000000000005E-2</v>
      </c>
      <c r="AA9" s="8">
        <f>Table108[[#This Row],[Percentage of Business Users]]*Table108[[#This Row],[SLA CU per hour]]*Table108[[#This Row],[Failures per year]]*Table108[[#This Row],[Total Time to Repair(h)]]</f>
        <v>1705.2462120960004</v>
      </c>
      <c r="AB9" s="8">
        <f>Table108[[#This Row],[Percentage of ITS and business users]]*Table108[[#This Row],[SLA CU per hour]]*Table108[[#This Row],[Failures per year]]*Table108[[#This Row],[Total Time to Repair(h)]]</f>
        <v>1718.400968589312</v>
      </c>
    </row>
    <row r="10" spans="1:28" x14ac:dyDescent="0.25">
      <c r="A10" s="29" t="s">
        <v>10</v>
      </c>
      <c r="B10" s="30" t="s">
        <v>113</v>
      </c>
      <c r="C10" s="31">
        <v>1.8</v>
      </c>
      <c r="D10" s="31">
        <f>1113*4</f>
        <v>4452</v>
      </c>
      <c r="E10" s="22">
        <v>0.5</v>
      </c>
      <c r="F10" s="8">
        <f t="shared" si="0"/>
        <v>2226</v>
      </c>
      <c r="G10" s="8">
        <v>0</v>
      </c>
      <c r="H10" s="8">
        <f>Table108[[#This Row],[Total Floor Space]]*Table108[[#This Row],[Rent per sqm per year]]</f>
        <v>0</v>
      </c>
      <c r="I10" s="8">
        <f>(0.5+1/6*6)*Table108[[#This Row],[Quantity]]</f>
        <v>6678</v>
      </c>
      <c r="J10" s="8">
        <v>24</v>
      </c>
      <c r="K10" s="8">
        <v>50</v>
      </c>
      <c r="L10" s="8">
        <v>0</v>
      </c>
      <c r="M10" s="8">
        <f>Table108[[#This Row],[Energy consumption in W]]*24*365/1000</f>
        <v>0</v>
      </c>
      <c r="N10" s="8">
        <v>0</v>
      </c>
      <c r="O10" s="8">
        <f>Table108[[#This Row],[Yearly Energy Consumption in kWh]]*Table108[[#This Row],[CU/kWh]]</f>
        <v>0</v>
      </c>
      <c r="P10" s="8">
        <v>4</v>
      </c>
      <c r="Q10" s="8">
        <v>20</v>
      </c>
      <c r="R10" s="8">
        <f>Table108[[#This Row],[FIT]]*Table108[[#This Row],[Quantity]]*24*365/1000000000</f>
        <v>1.9499759999999999</v>
      </c>
      <c r="S10" s="8">
        <f>2*Table108[[#This Row],[Mean dist in km from CO]]/Table108[[#This Row],[Avg Travel Speed]]</f>
        <v>0.4</v>
      </c>
      <c r="T10" s="8">
        <f>Table108[[#This Row],[MTTR]]+Table108[[#This Row],[Twice Travel Time]]</f>
        <v>24.4</v>
      </c>
      <c r="U10" s="8">
        <v>1</v>
      </c>
      <c r="V10" s="8">
        <v>5</v>
      </c>
      <c r="W10" s="8">
        <f>Table108[[#This Row],[Failures per year]]*Table108[[#This Row],[Total Time to Repair(h)]]*Table108[[#This Row],[No. Of technicians]]*Table108[[#This Row],[Cost per hour]]</f>
        <v>237.89707199999998</v>
      </c>
      <c r="X10" s="8">
        <v>100</v>
      </c>
      <c r="Y10" s="8">
        <v>7.0000000000000007E-2</v>
      </c>
      <c r="Z10" s="8">
        <v>7.0540000000000005E-2</v>
      </c>
      <c r="AA10" s="8">
        <f>Table108[[#This Row],[Percentage of Business Users]]*Table108[[#This Row],[SLA CU per hour]]*Table108[[#This Row],[Failures per year]]*Table108[[#This Row],[Total Time to Repair(h)]]</f>
        <v>333.05590080000002</v>
      </c>
      <c r="AB10" s="8">
        <f>Table108[[#This Row],[Percentage of ITS and business users]]*Table108[[#This Row],[SLA CU per hour]]*Table108[[#This Row],[Failures per year]]*Table108[[#This Row],[Total Time to Repair(h)]]</f>
        <v>335.62518917760002</v>
      </c>
    </row>
    <row r="11" spans="1:28" x14ac:dyDescent="0.25">
      <c r="F11" s="22"/>
      <c r="G11" s="22"/>
      <c r="H11" s="22">
        <f>SUM(Table108[Total Rent cost per year])</f>
        <v>5056.2</v>
      </c>
      <c r="I11" s="22"/>
      <c r="J11" s="22"/>
      <c r="K11" s="22"/>
      <c r="L11" s="22"/>
      <c r="M11" s="22"/>
      <c r="N11" s="22"/>
      <c r="O11" s="22">
        <f>SUBTOTAL(109,Table108[Energy Cost per year in CU])</f>
        <v>244.64052000000001</v>
      </c>
      <c r="P11" s="22"/>
      <c r="Q11" s="22"/>
      <c r="R11" s="22"/>
      <c r="S11" s="22"/>
      <c r="T11" s="22"/>
      <c r="U11" s="22"/>
      <c r="V11" s="22"/>
      <c r="W11" s="22">
        <f>SUBTOTAL(109,Table108[FM Cost])</f>
        <v>1464.2836692000001</v>
      </c>
      <c r="X11" s="22"/>
      <c r="Y11" s="22"/>
      <c r="Z11" s="22"/>
      <c r="AA11" s="22">
        <f>SUBTOTAL(109,Table108[FM Penalty Business])</f>
        <v>2049.9971368800007</v>
      </c>
      <c r="AB11" s="22">
        <f>SUBTOTAL(109,Table108[FM Penalty ITS])</f>
        <v>2065.8114005073598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s="8" t="s">
        <v>69</v>
      </c>
    </row>
    <row r="16" spans="1:28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5.1848255272459074</v>
      </c>
      <c r="M16" s="8">
        <f>Table108[[#Totals],[Total Rent cost per year]]+Table108[[#Totals],[Energy Cost per year in CU]]+Table108[[#Totals],[FM Cost]]+J19</f>
        <v>7133.4095747165111</v>
      </c>
    </row>
    <row r="17" spans="1:17" x14ac:dyDescent="0.2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5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140.48257524428078</v>
      </c>
    </row>
    <row r="18" spans="1:17" x14ac:dyDescent="0.2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5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222.61798474498445</v>
      </c>
      <c r="O18" s="8" t="s">
        <v>88</v>
      </c>
      <c r="P18" s="8" t="s">
        <v>66</v>
      </c>
      <c r="Q18" s="8" t="s">
        <v>119</v>
      </c>
    </row>
    <row r="19" spans="1:17" x14ac:dyDescent="0.25">
      <c r="J19" s="8">
        <f>SUM(J16:J18)</f>
        <v>368.28538551651116</v>
      </c>
      <c r="O19" s="8" t="s">
        <v>83</v>
      </c>
      <c r="P19" s="8">
        <f>P31/$M$21</f>
        <v>0.57372063996368994</v>
      </c>
      <c r="Q19" s="8">
        <f>Q31/$M$21</f>
        <v>0.57372063996368994</v>
      </c>
    </row>
    <row r="20" spans="1:17" x14ac:dyDescent="0.25">
      <c r="M20" s="8" t="s">
        <v>117</v>
      </c>
      <c r="O20" s="8" t="s">
        <v>84</v>
      </c>
      <c r="P20" s="8">
        <f t="shared" ref="P20:Q23" si="6">P32/$M$21</f>
        <v>2.7759051401338931E-2</v>
      </c>
      <c r="Q20" s="8">
        <f t="shared" si="6"/>
        <v>2.7759051401338931E-2</v>
      </c>
    </row>
    <row r="21" spans="1:17" x14ac:dyDescent="0.25">
      <c r="M21" s="8">
        <v>8813</v>
      </c>
      <c r="O21" s="8" t="s">
        <v>85</v>
      </c>
      <c r="P21" s="8">
        <f t="shared" si="6"/>
        <v>0.16615042201293545</v>
      </c>
      <c r="Q21" s="8">
        <f t="shared" si="6"/>
        <v>0.27619389379596859</v>
      </c>
    </row>
    <row r="22" spans="1:17" x14ac:dyDescent="0.25">
      <c r="O22" s="8" t="s">
        <v>86</v>
      </c>
      <c r="P22" s="8">
        <f t="shared" si="6"/>
        <v>3.8381505668898225E-2</v>
      </c>
      <c r="Q22" s="8">
        <f t="shared" si="6"/>
        <v>4.3883679258049875E-2</v>
      </c>
    </row>
    <row r="23" spans="1:17" x14ac:dyDescent="0.25">
      <c r="O23" s="8" t="s">
        <v>87</v>
      </c>
      <c r="P23" s="8">
        <f t="shared" si="6"/>
        <v>5.3734107936457512E-2</v>
      </c>
      <c r="Q23" s="8">
        <f t="shared" si="6"/>
        <v>6.1437150961269824E-2</v>
      </c>
    </row>
    <row r="24" spans="1:17" x14ac:dyDescent="0.25">
      <c r="P24" s="8">
        <f>SUM(Table14161718199[Cost])</f>
        <v>0.85974572698332008</v>
      </c>
      <c r="Q24" s="8">
        <f>SUBTOTAL(109,Table14161718199[Cost ITS])</f>
        <v>0.98299441538031718</v>
      </c>
    </row>
    <row r="30" spans="1:17" x14ac:dyDescent="0.25">
      <c r="O30" s="40" t="s">
        <v>88</v>
      </c>
      <c r="P30" s="41" t="s">
        <v>66</v>
      </c>
      <c r="Q30" s="8" t="s">
        <v>119</v>
      </c>
    </row>
    <row r="31" spans="1:17" x14ac:dyDescent="0.25">
      <c r="O31" s="32" t="s">
        <v>83</v>
      </c>
      <c r="P31" s="12">
        <f>Table108[[#Totals],[Total Rent cost per year]]</f>
        <v>5056.2</v>
      </c>
      <c r="Q31" s="12">
        <f>Table108[[#Totals],[Total Rent cost per year]]</f>
        <v>5056.2</v>
      </c>
    </row>
    <row r="32" spans="1:17" x14ac:dyDescent="0.25">
      <c r="O32" s="34" t="s">
        <v>84</v>
      </c>
      <c r="P32" s="13">
        <f>Table108[[#Totals],[Energy Cost per year in CU]]</f>
        <v>244.64052000000001</v>
      </c>
      <c r="Q32" s="13">
        <f>Table108[[#Totals],[Energy Cost per year in CU]]</f>
        <v>244.64052000000001</v>
      </c>
    </row>
    <row r="33" spans="15:17" x14ac:dyDescent="0.25">
      <c r="O33" s="32" t="s">
        <v>85</v>
      </c>
      <c r="P33" s="12">
        <f>Table108[[#Totals],[FM Cost]]</f>
        <v>1464.2836692000001</v>
      </c>
      <c r="Q33" s="8">
        <f>Table108[[#Totals],[FM Penalty ITS]]+$J$19</f>
        <v>2434.0967860238711</v>
      </c>
    </row>
    <row r="34" spans="15:17" x14ac:dyDescent="0.25">
      <c r="O34" s="34" t="s">
        <v>86</v>
      </c>
      <c r="P34" s="13">
        <f>0.05*SUM(P31:P33)</f>
        <v>338.25620946000004</v>
      </c>
      <c r="Q34" s="13">
        <f>0.05*SUM(Q31:Q33)</f>
        <v>386.74686530119357</v>
      </c>
    </row>
    <row r="35" spans="15:17" x14ac:dyDescent="0.25">
      <c r="O35" s="32" t="s">
        <v>87</v>
      </c>
      <c r="P35" s="12">
        <f>0.07*SUM(P31:P33)</f>
        <v>473.55869324400004</v>
      </c>
      <c r="Q35" s="12">
        <f>0.07*SUM(Q31:Q33)</f>
        <v>541.44561142167095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F1" workbookViewId="0">
      <selection activeCell="M25" sqref="M25"/>
    </sheetView>
  </sheetViews>
  <sheetFormatPr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9.14062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9.14062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24" t="s">
        <v>3</v>
      </c>
      <c r="B2" s="24" t="s">
        <v>70</v>
      </c>
      <c r="C2" s="23">
        <v>16</v>
      </c>
      <c r="D2" s="23">
        <f>8*4</f>
        <v>32</v>
      </c>
      <c r="E2" s="8">
        <v>5</v>
      </c>
      <c r="F2" s="8">
        <f>Table912[[#This Row],[Floor Space per component]]*Table912[[#This Row],[Quantity]]</f>
        <v>160</v>
      </c>
      <c r="G2" s="8">
        <v>10.6</v>
      </c>
      <c r="H2" s="8">
        <f>Table912[[#This Row],[Total Floor Space]]*Table912[[#This Row],[Rent per sqm per year]]</f>
        <v>1696</v>
      </c>
      <c r="I2" s="8">
        <f>(0.5+1/6*8)*Table912[[#This Row],[Quantity]]</f>
        <v>58.666666666666664</v>
      </c>
      <c r="J2" s="8">
        <v>6</v>
      </c>
      <c r="K2" s="8">
        <v>256</v>
      </c>
      <c r="L2" s="8">
        <f>0.5*8*2.5*Table912[[#This Row],[Quantity]]</f>
        <v>320</v>
      </c>
      <c r="M2" s="8">
        <f>Table912[[#This Row],[Energy consumption in W]]*24*365/1000</f>
        <v>2803.2</v>
      </c>
      <c r="N2" s="8">
        <f>0.15/50</f>
        <v>3.0000000000000001E-3</v>
      </c>
      <c r="O2" s="8">
        <f>Table912[[#This Row],[Yearly Energy Consumption in kWh]]*Table912[[#This Row],[CU/kWh]]</f>
        <v>8.4095999999999993</v>
      </c>
      <c r="P2" s="8">
        <v>0</v>
      </c>
      <c r="Q2" s="8">
        <v>20</v>
      </c>
      <c r="R2" s="8">
        <f>Table912[[#This Row],[FIT]]*Table912[[#This Row],[Quantity]]*24*365/1000000000</f>
        <v>7.1761920000000007E-2</v>
      </c>
      <c r="S2" s="8">
        <f>2*Table912[[#This Row],[Mean dist in km from CO]]/Table912[[#This Row],[Avg Travel Speed]]</f>
        <v>0</v>
      </c>
      <c r="T2" s="8">
        <f>Table912[[#This Row],[MTTR]]+Table912[[#This Row],[Twice Travel Time]]</f>
        <v>6</v>
      </c>
      <c r="U2" s="8">
        <v>1</v>
      </c>
      <c r="V2" s="8">
        <v>5</v>
      </c>
      <c r="W2" s="8">
        <f>Table912[[#This Row],[Failures per year]]*Table912[[#This Row],[Total Time to Repair(h)]]*Table912[[#This Row],[No. Of technicians]]*Table912[[#This Row],[Cost per hour]]</f>
        <v>2.1528576000000004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Table912[[#This Row],[Percentage of Business Users]]*Table912[[#This Row],[SLA CU per hour]]*Table912[[#This Row],[Failures per year]]*Table912[[#This Row],[Total Time to Repair(h)]]</f>
        <v>3.0140006400000008</v>
      </c>
      <c r="AB2" s="8">
        <f>Table912[[#This Row],[Percentage of ITS and business users]]*Table912[[#This Row],[SLA CU per hour]]*Table912[[#This Row],[Failures per year]]*Table912[[#This Row],[Total Time to Repair(h)]]</f>
        <v>3.0372515020800006</v>
      </c>
    </row>
    <row r="3" spans="1:28" x14ac:dyDescent="0.25">
      <c r="A3" s="24" t="s">
        <v>3</v>
      </c>
      <c r="B3" s="24" t="s">
        <v>71</v>
      </c>
      <c r="C3" s="23">
        <v>8.8000000000000007</v>
      </c>
      <c r="D3" s="23">
        <f>13*4</f>
        <v>52</v>
      </c>
      <c r="E3" s="8">
        <v>1</v>
      </c>
      <c r="F3" s="8">
        <f>Table912[[#This Row],[Floor Space per component]]*Table912[[#This Row],[Quantity]]</f>
        <v>52</v>
      </c>
      <c r="G3" s="8">
        <v>10.6</v>
      </c>
      <c r="H3" s="8">
        <f>Table912[[#This Row],[Total Floor Space]]*Table912[[#This Row],[Rent per sqm per year]]</f>
        <v>551.19999999999993</v>
      </c>
      <c r="I3" s="5">
        <f>1/6*Table912[[#This Row],[Quantity]]</f>
        <v>8.6666666666666661</v>
      </c>
      <c r="J3" s="8">
        <v>6</v>
      </c>
      <c r="K3" s="8">
        <v>50</v>
      </c>
      <c r="L3" s="8">
        <f>100*Table912[[#This Row],[Quantity]]</f>
        <v>5200</v>
      </c>
      <c r="M3" s="8">
        <f>Table912[[#This Row],[Energy consumption in W]]*24*365/1000</f>
        <v>45552</v>
      </c>
      <c r="N3" s="8">
        <f t="shared" ref="N3:N8" si="0">0.15/50</f>
        <v>3.0000000000000001E-3</v>
      </c>
      <c r="O3" s="8">
        <f>Table912[[#This Row],[Yearly Energy Consumption in kWh]]*Table912[[#This Row],[CU/kWh]]</f>
        <v>136.65600000000001</v>
      </c>
      <c r="P3" s="8">
        <v>0</v>
      </c>
      <c r="Q3" s="8">
        <v>20</v>
      </c>
      <c r="R3" s="8">
        <f>Table912[[#This Row],[FIT]]*Table912[[#This Row],[Quantity]]*24*365/1000000000</f>
        <v>2.2776000000000001E-2</v>
      </c>
      <c r="S3" s="8">
        <f>2*Table912[[#This Row],[Mean dist in km from CO]]/Table912[[#This Row],[Avg Travel Speed]]</f>
        <v>0</v>
      </c>
      <c r="T3" s="8">
        <f>Table912[[#This Row],[MTTR]]+Table912[[#This Row],[Twice Travel Time]]</f>
        <v>6</v>
      </c>
      <c r="U3" s="8">
        <v>1</v>
      </c>
      <c r="V3" s="8">
        <v>5</v>
      </c>
      <c r="W3" s="8">
        <f>Table912[[#This Row],[Failures per year]]*Table912[[#This Row],[Total Time to Repair(h)]]*Table912[[#This Row],[No. Of technicians]]*Table912[[#This Row],[Cost per hour]]</f>
        <v>0.68328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Table912[[#This Row],[Percentage of Business Users]]*Table912[[#This Row],[SLA CU per hour]]*Table912[[#This Row],[Failures per year]]*Table912[[#This Row],[Total Time to Repair(h)]]</f>
        <v>0.95659200000000011</v>
      </c>
      <c r="AB3" s="8">
        <f>Table912[[#This Row],[Percentage of ITS and business users]]*Table912[[#This Row],[SLA CU per hour]]*Table912[[#This Row],[Failures per year]]*Table912[[#This Row],[Total Time to Repair(h)]]</f>
        <v>0.96397142400000013</v>
      </c>
    </row>
    <row r="4" spans="1:28" x14ac:dyDescent="0.25">
      <c r="A4" s="24" t="s">
        <v>3</v>
      </c>
      <c r="B4" s="24" t="s">
        <v>72</v>
      </c>
      <c r="C4" s="23">
        <v>63</v>
      </c>
      <c r="D4" s="23">
        <f>13*4</f>
        <v>52</v>
      </c>
      <c r="E4" s="8">
        <v>0</v>
      </c>
      <c r="F4" s="8">
        <f>Table912[[#This Row],[Floor Space per component]]*Table912[[#This Row],[Quantity]]</f>
        <v>0</v>
      </c>
      <c r="G4" s="8">
        <v>10.6</v>
      </c>
      <c r="H4" s="8">
        <f>Table912[[#This Row],[Total Floor Space]]*Table912[[#This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Table912[[#This Row],[Energy consumption in W]]*24*365/1000</f>
        <v>5256</v>
      </c>
      <c r="N4" s="8">
        <f t="shared" si="0"/>
        <v>3.0000000000000001E-3</v>
      </c>
      <c r="O4" s="8">
        <f>Table912[[#This Row],[Yearly Energy Consumption in kWh]]*Table912[[#This Row],[CU/kWh]]</f>
        <v>15.768000000000001</v>
      </c>
      <c r="P4" s="8">
        <v>0</v>
      </c>
      <c r="Q4" s="8">
        <v>20</v>
      </c>
      <c r="R4" s="8">
        <f>Table912[[#This Row],[FIT]]*Table912[[#This Row],[Quantity]]*24*365/1000000000</f>
        <v>0</v>
      </c>
      <c r="S4" s="8">
        <f>2*Table912[[#This Row],[Mean dist in km from CO]]/Table912[[#This Row],[Avg Travel Speed]]</f>
        <v>0</v>
      </c>
      <c r="T4" s="8">
        <f>Table912[[#This Row],[MTTR]]+Table912[[#This Row],[Twice Travel Time]]</f>
        <v>0</v>
      </c>
      <c r="U4" s="8">
        <v>1</v>
      </c>
      <c r="V4" s="8">
        <v>5</v>
      </c>
      <c r="W4" s="8">
        <f>Table912[[#This Row],[Failures per year]]*Table912[[#This Row],[Total Time to Repair(h)]]*Table912[[#This Row],[No. Of technicians]]*Table912[[#This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Table912[[#This Row],[Percentage of Business Users]]*Table912[[#This Row],[SLA CU per hour]]*Table912[[#This Row],[Failures per year]]*Table912[[#This Row],[Total Time to Repair(h)]]</f>
        <v>0</v>
      </c>
      <c r="AB4" s="8">
        <f>Table912[[#This Row],[Percentage of ITS and business users]]*Table912[[#This Row],[SLA CU per hour]]*Table912[[#This Row],[Failures per year]]*Table912[[#This Row],[Total Time to Repair(h)]]</f>
        <v>0</v>
      </c>
    </row>
    <row r="5" spans="1:28" x14ac:dyDescent="0.25">
      <c r="A5" s="24" t="s">
        <v>3</v>
      </c>
      <c r="B5" s="24" t="s">
        <v>73</v>
      </c>
      <c r="C5" s="23">
        <v>2.2999999999999998</v>
      </c>
      <c r="D5" s="23">
        <f>13*4</f>
        <v>52</v>
      </c>
      <c r="E5" s="8">
        <v>1</v>
      </c>
      <c r="F5" s="8">
        <f>Table912[[#This Row],[Floor Space per component]]*Table912[[#This Row],[Quantity]]</f>
        <v>52</v>
      </c>
      <c r="G5" s="8">
        <v>10.6</v>
      </c>
      <c r="H5" s="8">
        <f>Table912[[#This Row],[Total Floor Space]]*Table912[[#This Row],[Rent per sqm per year]]</f>
        <v>551.19999999999993</v>
      </c>
      <c r="I5" s="8">
        <f>24*Table912[[#This Row],[Quantity]]</f>
        <v>1248</v>
      </c>
      <c r="J5" s="8">
        <v>0</v>
      </c>
      <c r="K5" s="8">
        <v>0</v>
      </c>
      <c r="L5" s="8">
        <v>0</v>
      </c>
      <c r="M5" s="8">
        <f>Table912[[#This Row],[Energy consumption in W]]*24*365/1000</f>
        <v>0</v>
      </c>
      <c r="N5" s="8">
        <f t="shared" si="0"/>
        <v>3.0000000000000001E-3</v>
      </c>
      <c r="O5" s="8">
        <f>Table912[[#This Row],[Yearly Energy Consumption in kWh]]*Table912[[#This Row],[CU/kWh]]</f>
        <v>0</v>
      </c>
      <c r="P5" s="8">
        <v>0</v>
      </c>
      <c r="Q5" s="8">
        <v>20</v>
      </c>
      <c r="R5" s="8">
        <f>Table912[[#This Row],[FIT]]*Table912[[#This Row],[Quantity]]*24*365/1000000000</f>
        <v>0</v>
      </c>
      <c r="S5" s="8">
        <f>2*Table912[[#This Row],[Mean dist in km from CO]]/Table912[[#This Row],[Avg Travel Speed]]</f>
        <v>0</v>
      </c>
      <c r="T5" s="8">
        <f>Table912[[#This Row],[MTTR]]+Table912[[#This Row],[Twice Travel Time]]</f>
        <v>0</v>
      </c>
      <c r="U5" s="8">
        <v>1</v>
      </c>
      <c r="V5" s="8">
        <v>5</v>
      </c>
      <c r="W5" s="8">
        <f>Table912[[#This Row],[Failures per year]]*Table912[[#This Row],[Total Time to Repair(h)]]*Table912[[#This Row],[No. Of technicians]]*Table912[[#This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Table912[[#This Row],[Percentage of Business Users]]*Table912[[#This Row],[SLA CU per hour]]*Table912[[#This Row],[Failures per year]]*Table912[[#This Row],[Total Time to Repair(h)]]</f>
        <v>0</v>
      </c>
      <c r="AB5" s="8">
        <f>Table912[[#This Row],[Percentage of ITS and business users]]*Table912[[#This Row],[SLA CU per hour]]*Table912[[#This Row],[Failures per year]]*Table912[[#This Row],[Total Time to Repair(h)]]</f>
        <v>0</v>
      </c>
    </row>
    <row r="6" spans="1:28" x14ac:dyDescent="0.25">
      <c r="A6" s="24" t="s">
        <v>3</v>
      </c>
      <c r="B6" s="24" t="s">
        <v>74</v>
      </c>
      <c r="C6" s="23">
        <f>0.1/4.5</f>
        <v>2.2222222222222223E-2</v>
      </c>
      <c r="D6" s="23">
        <f>4*4</f>
        <v>16</v>
      </c>
      <c r="E6" s="8">
        <v>0</v>
      </c>
      <c r="F6" s="8">
        <f>Table912[[#This Row],[Floor Space per component]]*Table912[[#This Row],[Quantity]]</f>
        <v>0</v>
      </c>
      <c r="G6" s="8">
        <v>10.6</v>
      </c>
      <c r="H6" s="8">
        <f>Table912[[#This Row],[Total Floor Space]]*Table912[[#This Row],[Rent per sqm per year]]</f>
        <v>0</v>
      </c>
      <c r="I6" s="8">
        <f>1/6*Table912[[#This Row],[Quantity]]</f>
        <v>2.6666666666666665</v>
      </c>
      <c r="J6" s="8">
        <v>6</v>
      </c>
      <c r="K6" s="8">
        <v>50</v>
      </c>
      <c r="L6" s="8">
        <v>0</v>
      </c>
      <c r="M6" s="8">
        <f>Table912[[#This Row],[Energy consumption in W]]*24*365/1000</f>
        <v>0</v>
      </c>
      <c r="N6" s="8">
        <f t="shared" si="0"/>
        <v>3.0000000000000001E-3</v>
      </c>
      <c r="O6" s="8">
        <f>Table912[[#This Row],[Yearly Energy Consumption in kWh]]*Table912[[#This Row],[CU/kWh]]</f>
        <v>0</v>
      </c>
      <c r="P6" s="8">
        <v>1</v>
      </c>
      <c r="Q6" s="8">
        <v>20</v>
      </c>
      <c r="R6" s="8">
        <f>Table912[[#This Row],[FIT]]*Table912[[#This Row],[Quantity]]*24*365/1000000000</f>
        <v>7.0080000000000003E-3</v>
      </c>
      <c r="S6" s="8">
        <f>2*Table912[[#This Row],[Mean dist in km from CO]]/Table912[[#This Row],[Avg Travel Speed]]</f>
        <v>0.1</v>
      </c>
      <c r="T6" s="8">
        <f>Table912[[#This Row],[MTTR]]+Table912[[#This Row],[Twice Travel Time]]</f>
        <v>6.1</v>
      </c>
      <c r="U6" s="8">
        <v>1</v>
      </c>
      <c r="V6" s="8">
        <v>5</v>
      </c>
      <c r="W6" s="8">
        <f>Table912[[#This Row],[Failures per year]]*Table912[[#This Row],[Total Time to Repair(h)]]*Table912[[#This Row],[No. Of technicians]]*Table912[[#This Row],[Cost per hour]]</f>
        <v>0.21374399999999999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Table912[[#This Row],[Percentage of Business Users]]*Table912[[#This Row],[SLA CU per hour]]*Table912[[#This Row],[Failures per year]]*Table912[[#This Row],[Total Time to Repair(h)]]</f>
        <v>0.29924160000000005</v>
      </c>
      <c r="AB6" s="8">
        <f>Table912[[#This Row],[Percentage of ITS and business users]]*Table912[[#This Row],[SLA CU per hour]]*Table912[[#This Row],[Failures per year]]*Table912[[#This Row],[Total Time to Repair(h)]]</f>
        <v>0.30155003520000001</v>
      </c>
    </row>
    <row r="7" spans="1:28" x14ac:dyDescent="0.25">
      <c r="A7" s="24" t="s">
        <v>3</v>
      </c>
      <c r="B7" s="24" t="s">
        <v>75</v>
      </c>
      <c r="C7" s="23">
        <v>400</v>
      </c>
      <c r="D7" s="23">
        <v>1</v>
      </c>
      <c r="E7" s="8">
        <v>1</v>
      </c>
      <c r="F7" s="8">
        <f>Table912[[#This Row],[Floor Space per component]]*Table912[[#This Row],[Quantity]]</f>
        <v>1</v>
      </c>
      <c r="G7" s="8">
        <v>10.6</v>
      </c>
      <c r="H7" s="8">
        <f>Table912[[#This Row],[Total Floor Space]]*Table912[[#This Row],[Rent per sqm per year]]</f>
        <v>10.6</v>
      </c>
      <c r="I7" s="8">
        <f>(0.5+1/6*4)*Table912[[#This Row],[Quantity]]</f>
        <v>1.1666666666666665</v>
      </c>
      <c r="J7" s="8">
        <v>24</v>
      </c>
      <c r="K7" s="8">
        <v>5000</v>
      </c>
      <c r="L7" s="8">
        <f>50*Table912[[#This Row],[Quantity]]</f>
        <v>50</v>
      </c>
      <c r="M7" s="8">
        <f>Table912[[#This Row],[Energy consumption in W]]*24*365/1000</f>
        <v>438</v>
      </c>
      <c r="N7" s="8">
        <f t="shared" si="0"/>
        <v>3.0000000000000001E-3</v>
      </c>
      <c r="O7" s="8">
        <f>Table912[[#This Row],[Yearly Energy Consumption in kWh]]*Table912[[#This Row],[CU/kWh]]</f>
        <v>1.3140000000000001</v>
      </c>
      <c r="P7" s="8">
        <v>1.5</v>
      </c>
      <c r="Q7" s="8">
        <v>20</v>
      </c>
      <c r="R7" s="8">
        <f>Table912[[#This Row],[FIT]]*Table912[[#This Row],[Quantity]]*24*365/1000000000</f>
        <v>4.3799999999999999E-2</v>
      </c>
      <c r="S7" s="8">
        <f>2*Table912[[#This Row],[Mean dist in km from CO]]/Table912[[#This Row],[Avg Travel Speed]]</f>
        <v>0.15</v>
      </c>
      <c r="T7" s="8">
        <f>Table912[[#This Row],[MTTR]]+Table912[[#This Row],[Twice Travel Time]]</f>
        <v>24.15</v>
      </c>
      <c r="U7" s="8">
        <v>1</v>
      </c>
      <c r="V7" s="8">
        <v>5</v>
      </c>
      <c r="W7" s="8">
        <f>Table912[[#This Row],[Failures per year]]*Table912[[#This Row],[Total Time to Repair(h)]]*Table912[[#This Row],[No. Of technicians]]*Table912[[#This Row],[Cost per hour]]</f>
        <v>5.2888499999999992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Table912[[#This Row],[Percentage of Business Users]]*Table912[[#This Row],[SLA CU per hour]]*Table912[[#This Row],[Failures per year]]*Table912[[#This Row],[Total Time to Repair(h)]]</f>
        <v>7.4043900000000002</v>
      </c>
      <c r="AB7" s="8">
        <f>Table912[[#This Row],[Percentage of ITS and business users]]*Table912[[#This Row],[SLA CU per hour]]*Table912[[#This Row],[Failures per year]]*Table912[[#This Row],[Total Time to Repair(h)]]</f>
        <v>7.4615095799999995</v>
      </c>
    </row>
    <row r="8" spans="1:28" x14ac:dyDescent="0.25">
      <c r="A8" s="30" t="s">
        <v>8</v>
      </c>
      <c r="B8" s="30" t="s">
        <v>76</v>
      </c>
      <c r="C8" s="31">
        <f>80*0.3</f>
        <v>24</v>
      </c>
      <c r="D8" s="31">
        <f>13*4</f>
        <v>52</v>
      </c>
      <c r="E8" s="8">
        <v>0</v>
      </c>
      <c r="F8" s="8">
        <f>Table912[[#This Row],[Floor Space per component]]*Table912[[#This Row],[Quantity]]</f>
        <v>0</v>
      </c>
      <c r="G8" s="8">
        <v>10.6</v>
      </c>
      <c r="H8" s="8">
        <f>Table912[[#This Row],[Total Floor Space]]*Table912[[#This Row],[Rent per sqm per year]]</f>
        <v>0</v>
      </c>
      <c r="I8" s="8">
        <f>(0.5)*Table912[[#This Row],[Quantity]]</f>
        <v>26</v>
      </c>
      <c r="J8" s="8">
        <v>6</v>
      </c>
      <c r="K8" s="8">
        <v>256</v>
      </c>
      <c r="L8" s="8">
        <f>5.5*Table912[[#This Row],[Quantity]]</f>
        <v>286</v>
      </c>
      <c r="M8" s="8">
        <f>Table912[[#This Row],[Energy consumption in W]]*24*365/1000</f>
        <v>2505.36</v>
      </c>
      <c r="N8" s="8">
        <f t="shared" si="0"/>
        <v>3.0000000000000001E-3</v>
      </c>
      <c r="O8" s="8">
        <f>Table912[[#This Row],[Yearly Energy Consumption in kWh]]*Table912[[#This Row],[CU/kWh]]</f>
        <v>7.5160800000000005</v>
      </c>
      <c r="P8" s="8">
        <v>1.5</v>
      </c>
      <c r="Q8" s="8">
        <v>20</v>
      </c>
      <c r="R8" s="8">
        <f>Table912[[#This Row],[FIT]]*Table912[[#This Row],[Quantity]]*24*365/1000000000</f>
        <v>0.11661312</v>
      </c>
      <c r="S8" s="8">
        <f>2*Table912[[#This Row],[Mean dist in km from CO]]/Table912[[#This Row],[Avg Travel Speed]]</f>
        <v>0.15</v>
      </c>
      <c r="T8" s="8">
        <f>Table912[[#This Row],[MTTR]]+Table912[[#This Row],[Twice Travel Time]]</f>
        <v>6.15</v>
      </c>
      <c r="U8" s="8">
        <v>1</v>
      </c>
      <c r="V8" s="8">
        <v>5</v>
      </c>
      <c r="W8" s="8">
        <f>Table912[[#This Row],[Failures per year]]*Table912[[#This Row],[Total Time to Repair(h)]]*Table912[[#This Row],[No. Of technicians]]*Table912[[#This Row],[Cost per hour]]</f>
        <v>3.5858534400000002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Table912[[#This Row],[Percentage of Business Users]]*Table912[[#This Row],[SLA CU per hour]]*Table912[[#This Row],[Failures per year]]*Table912[[#This Row],[Total Time to Repair(h)]]</f>
        <v>5.0201948160000009</v>
      </c>
      <c r="AB8" s="8">
        <f>Table912[[#This Row],[Percentage of ITS and business users]]*Table912[[#This Row],[SLA CU per hour]]*Table912[[#This Row],[Failures per year]]*Table912[[#This Row],[Total Time to Repair(h)]]</f>
        <v>5.0589220331520011</v>
      </c>
    </row>
    <row r="9" spans="1:28" x14ac:dyDescent="0.25">
      <c r="A9" s="30" t="s">
        <v>10</v>
      </c>
      <c r="B9" s="30" t="s">
        <v>81</v>
      </c>
      <c r="C9" s="31">
        <v>3.1</v>
      </c>
      <c r="D9" s="31">
        <f>1113*4</f>
        <v>4452</v>
      </c>
      <c r="E9" s="8">
        <v>0.25</v>
      </c>
      <c r="F9" s="8">
        <f>Table912[[#This Row],[Floor Space per component]]*Table912[[#This Row],[Quantity]]</f>
        <v>1113</v>
      </c>
      <c r="G9" s="8">
        <v>4</v>
      </c>
      <c r="H9" s="8">
        <f>Table912[[#This Row],[Total Floor Space]]*Table912[[#This Row],[Rent per sqm per year]]</f>
        <v>4452</v>
      </c>
      <c r="I9" s="8">
        <f>(0.5+1/6*16)*Table912[[#This Row],[Quantity]]</f>
        <v>14098</v>
      </c>
      <c r="J9" s="8">
        <v>24</v>
      </c>
      <c r="K9" s="8">
        <v>512</v>
      </c>
      <c r="L9" s="8">
        <f>50*Table912[[#This Row],[Quantity]]</f>
        <v>222600</v>
      </c>
      <c r="M9" s="8">
        <f>Table912[[#This Row],[Energy consumption in W]]*24*365/1000</f>
        <v>1949976</v>
      </c>
      <c r="N9" s="8">
        <v>0</v>
      </c>
      <c r="O9" s="8">
        <f>Table912[[#This Row],[Yearly Energy Consumption in kWh]]*Table912[[#This Row],[CU/kWh]]</f>
        <v>0</v>
      </c>
      <c r="P9" s="8">
        <v>2</v>
      </c>
      <c r="Q9" s="8">
        <v>20</v>
      </c>
      <c r="R9" s="8">
        <f>Table912[[#This Row],[FIT]]*Table912[[#This Row],[Quantity]]*24*365/1000000000</f>
        <v>19.967754240000001</v>
      </c>
      <c r="S9" s="8">
        <f>2*Table912[[#This Row],[Mean dist in km from CO]]/Table912[[#This Row],[Avg Travel Speed]]</f>
        <v>0.2</v>
      </c>
      <c r="T9" s="8">
        <f>Table912[[#This Row],[MTTR]]+Table912[[#This Row],[Twice Travel Time]]</f>
        <v>24.2</v>
      </c>
      <c r="U9" s="8">
        <v>1</v>
      </c>
      <c r="V9" s="8">
        <v>5</v>
      </c>
      <c r="W9" s="8">
        <f>Table912[[#This Row],[Failures per year]]*Table912[[#This Row],[Total Time to Repair(h)]]*Table912[[#This Row],[No. Of technicians]]*Table912[[#This Row],[Cost per hour]]</f>
        <v>2416.0982630400003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Table912[[#This Row],[Percentage of Business Users]]*Table912[[#This Row],[SLA CU per hour]]*Table912[[#This Row],[Failures per year]]*Table912[[#This Row],[Total Time to Repair(h)]]</f>
        <v>3382.5375682560007</v>
      </c>
      <c r="AB9" s="8">
        <f>Table912[[#This Row],[Percentage of ITS and business users]]*Table912[[#This Row],[SLA CU per hour]]*Table912[[#This Row],[Failures per year]]*Table912[[#This Row],[Total Time to Repair(h)]]</f>
        <v>3408.6314294968324</v>
      </c>
    </row>
    <row r="10" spans="1:28" x14ac:dyDescent="0.25">
      <c r="A10" s="30" t="s">
        <v>10</v>
      </c>
      <c r="B10" s="30" t="s">
        <v>112</v>
      </c>
      <c r="C10" s="31">
        <v>12</v>
      </c>
      <c r="D10" s="31">
        <f>1113*4</f>
        <v>4452</v>
      </c>
      <c r="E10" s="8">
        <v>0</v>
      </c>
      <c r="F10" s="8">
        <f>Table912[[#This Row],[Floor Space per component]]*Table912[[#This Row],[Quantity]]</f>
        <v>0</v>
      </c>
      <c r="G10" s="8">
        <v>4</v>
      </c>
      <c r="H10" s="8">
        <f>Table912[[#This Row],[Total Floor Space]]*Table912[[#This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Table912[[#This Row],[Energy consumption in W]]*24*365/1000</f>
        <v>0</v>
      </c>
      <c r="N10" s="8">
        <v>0</v>
      </c>
      <c r="O10" s="8">
        <f>Table912[[#This Row],[Yearly Energy Consumption in kWh]]*Table912[[#This Row],[CU/kWh]]</f>
        <v>0</v>
      </c>
      <c r="P10" s="8">
        <v>2</v>
      </c>
      <c r="Q10" s="8">
        <v>20</v>
      </c>
      <c r="R10" s="8">
        <f>Table912[[#This Row],[FIT]]*Table912[[#This Row],[Quantity]]*24*365/1000000000</f>
        <v>0</v>
      </c>
      <c r="S10" s="8">
        <f>2*Table912[[#This Row],[Mean dist in km from CO]]/Table912[[#This Row],[Avg Travel Speed]]</f>
        <v>0.2</v>
      </c>
      <c r="T10" s="8">
        <f>Table912[[#This Row],[MTTR]]+Table912[[#This Row],[Twice Travel Time]]</f>
        <v>0.2</v>
      </c>
      <c r="U10" s="8">
        <v>1</v>
      </c>
      <c r="V10" s="8">
        <v>5</v>
      </c>
      <c r="W10" s="8">
        <f>Table912[[#This Row],[Failures per year]]*Table912[[#This Row],[Total Time to Repair(h)]]*Table912[[#This Row],[No. Of technicians]]*Table912[[#This Row],[Cost per hour]]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Table912[[#This Row],[Percentage of Business Users]]*Table912[[#This Row],[SLA CU per hour]]*Table912[[#This Row],[Failures per year]]*Table912[[#This Row],[Total Time to Repair(h)]]</f>
        <v>0</v>
      </c>
      <c r="AB10" s="8">
        <f>Table912[[#This Row],[Percentage of ITS and business users]]*Table912[[#This Row],[SLA CU per hour]]*Table912[[#This Row],[Failures per year]]*Table912[[#This Row],[Total Time to Repair(h)]]</f>
        <v>0</v>
      </c>
    </row>
    <row r="11" spans="1:28" x14ac:dyDescent="0.25">
      <c r="A11" s="30"/>
      <c r="B11" s="30"/>
      <c r="C11" s="31"/>
      <c r="H11" s="8">
        <f>SUM(Table912[Total Rent cost per year])</f>
        <v>7261</v>
      </c>
      <c r="O11" s="8">
        <f>SUBTOTAL(109,Table912[Energy Cost per year in CU])</f>
        <v>169.66368</v>
      </c>
      <c r="W11" s="8">
        <f>SUBTOTAL(109,Table912[FM Cost])</f>
        <v>2428.0228480800001</v>
      </c>
      <c r="AA11" s="8">
        <f>SUBTOTAL(109,Table912[FM Penalty Business])</f>
        <v>3399.2319873120005</v>
      </c>
      <c r="AB11" s="8">
        <f>SUBTOTAL(109,Table912[FM Penalty ITS])</f>
        <v>3425.4546340712645</v>
      </c>
    </row>
    <row r="15" spans="1:28" x14ac:dyDescent="0.25">
      <c r="P15" s="8" t="s">
        <v>69</v>
      </c>
    </row>
    <row r="16" spans="1:28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 s="8">
        <f>Table912[[#Totals],[Total Rent cost per year]]+Table912[[#Totals],[Energy Cost per year in CU]]+Table912[[#Totals],[FM Cost]]+J20</f>
        <v>10457.81426683435</v>
      </c>
    </row>
    <row r="17" spans="1:17" x14ac:dyDescent="0.25">
      <c r="A17" s="8" t="s">
        <v>41</v>
      </c>
      <c r="B17" s="8">
        <f>B29/1000</f>
        <v>3.93963654675147</v>
      </c>
      <c r="C17" s="8">
        <f>570*B17</f>
        <v>2245.5928316483378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1.7977686250268323</v>
      </c>
    </row>
    <row r="18" spans="1:17" x14ac:dyDescent="0.25">
      <c r="A18" s="8" t="s">
        <v>42</v>
      </c>
      <c r="B18" s="8">
        <f>C29/1000</f>
        <v>161.60294779310701</v>
      </c>
      <c r="C18" s="8">
        <f t="shared" ref="C18:C19" si="2">570*B18</f>
        <v>92113.680242070986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73.897352528343234</v>
      </c>
    </row>
    <row r="19" spans="1:17" x14ac:dyDescent="0.25">
      <c r="A19" s="8" t="s">
        <v>62</v>
      </c>
      <c r="B19" s="8">
        <f>D29/1000</f>
        <v>1139.9422692917599</v>
      </c>
      <c r="C19" s="8">
        <f t="shared" si="2"/>
        <v>649767.09349630319</v>
      </c>
      <c r="D19" s="8">
        <v>24</v>
      </c>
      <c r="E19" s="8">
        <v>1</v>
      </c>
      <c r="F19" s="8">
        <v>3.8</v>
      </c>
      <c r="G19" s="8">
        <v>4</v>
      </c>
      <c r="H19" s="8">
        <f t="shared" si="3"/>
        <v>0.2</v>
      </c>
      <c r="I19" s="8">
        <f t="shared" si="4"/>
        <v>24.2</v>
      </c>
      <c r="J19" s="8">
        <f t="shared" si="5"/>
        <v>523.43261760097948</v>
      </c>
    </row>
    <row r="20" spans="1:17" x14ac:dyDescent="0.25">
      <c r="J20" s="8">
        <f>SUM(J17:J19)</f>
        <v>599.12773875434959</v>
      </c>
      <c r="O20" s="8" t="s">
        <v>88</v>
      </c>
      <c r="P20" s="8" t="s">
        <v>66</v>
      </c>
      <c r="Q20" s="8" t="s">
        <v>119</v>
      </c>
    </row>
    <row r="21" spans="1:17" x14ac:dyDescent="0.25">
      <c r="O21" s="8" t="s">
        <v>83</v>
      </c>
      <c r="P21" s="8">
        <f>P33/$M$25</f>
        <v>0.82389651650970153</v>
      </c>
      <c r="Q21" s="8">
        <f>Q33/$M$25</f>
        <v>0.82389651650970153</v>
      </c>
    </row>
    <row r="22" spans="1:17" x14ac:dyDescent="0.25">
      <c r="O22" s="8" t="s">
        <v>84</v>
      </c>
      <c r="P22" s="8">
        <f t="shared" ref="P22:Q25" si="6">P34/$M$25</f>
        <v>1.9251523885169635E-2</v>
      </c>
      <c r="Q22" s="8">
        <f t="shared" si="6"/>
        <v>1.9251523885169635E-2</v>
      </c>
    </row>
    <row r="23" spans="1:17" x14ac:dyDescent="0.25">
      <c r="O23" s="8" t="s">
        <v>85</v>
      </c>
      <c r="P23" s="8">
        <f t="shared" si="6"/>
        <v>0.27550469171451264</v>
      </c>
      <c r="Q23" s="8">
        <f t="shared" si="6"/>
        <v>0.45368883763376261</v>
      </c>
    </row>
    <row r="24" spans="1:17" x14ac:dyDescent="0.25">
      <c r="M24" s="8" t="s">
        <v>117</v>
      </c>
      <c r="O24" s="8" t="s">
        <v>86</v>
      </c>
      <c r="P24" s="8">
        <f t="shared" si="6"/>
        <v>5.593263660546919E-2</v>
      </c>
      <c r="Q24" s="8">
        <f t="shared" si="6"/>
        <v>6.4841843901431703E-2</v>
      </c>
    </row>
    <row r="25" spans="1:17" x14ac:dyDescent="0.25">
      <c r="M25" s="8">
        <v>8813</v>
      </c>
      <c r="O25" s="8" t="s">
        <v>87</v>
      </c>
      <c r="P25" s="8">
        <f t="shared" si="6"/>
        <v>7.8305691247656864E-2</v>
      </c>
      <c r="Q25" s="8">
        <f t="shared" si="6"/>
        <v>9.0778581462004376E-2</v>
      </c>
    </row>
    <row r="26" spans="1:17" x14ac:dyDescent="0.25">
      <c r="P26" s="8">
        <f>SUM(Table1416171814[Cost])</f>
        <v>1.2528910599625098</v>
      </c>
      <c r="Q26" s="8">
        <f>SUBTOTAL(109,Table1416171814[Cost ITS])</f>
        <v>1.4524573033920698</v>
      </c>
    </row>
    <row r="29" spans="1:17" x14ac:dyDescent="0.25">
      <c r="B29" s="9">
        <v>3939.6365467514702</v>
      </c>
      <c r="C29" s="9">
        <v>161602.94779310701</v>
      </c>
      <c r="D29" s="9">
        <v>1139942.2692917599</v>
      </c>
    </row>
    <row r="32" spans="1:17" x14ac:dyDescent="0.25">
      <c r="O32" s="40" t="s">
        <v>88</v>
      </c>
      <c r="P32" s="10" t="s">
        <v>66</v>
      </c>
      <c r="Q32" s="41" t="s">
        <v>119</v>
      </c>
    </row>
    <row r="33" spans="15:17" x14ac:dyDescent="0.25">
      <c r="O33" s="32" t="s">
        <v>83</v>
      </c>
      <c r="P33" s="33">
        <f>Table912[[#Totals],[Total Rent cost per year]]</f>
        <v>7261</v>
      </c>
      <c r="Q33" s="33">
        <f>Table912[[#Totals],[Total Rent cost per year]]</f>
        <v>7261</v>
      </c>
    </row>
    <row r="34" spans="15:17" x14ac:dyDescent="0.25">
      <c r="O34" s="34" t="s">
        <v>84</v>
      </c>
      <c r="P34" s="35">
        <f>Table912[[#Totals],[Energy Cost per year in CU]]</f>
        <v>169.66368</v>
      </c>
      <c r="Q34" s="35">
        <f>Table912[[#Totals],[Energy Cost per year in CU]]</f>
        <v>169.66368</v>
      </c>
    </row>
    <row r="35" spans="15:17" x14ac:dyDescent="0.25">
      <c r="O35" s="32" t="s">
        <v>85</v>
      </c>
      <c r="P35" s="33">
        <f>Table912[[#Totals],[FM Cost]]+J32</f>
        <v>2428.0228480800001</v>
      </c>
      <c r="Q35" s="12">
        <f>Table912[[#Totals],[FM Penalty Business]]+J20</f>
        <v>3998.35972606635</v>
      </c>
    </row>
    <row r="36" spans="15:17" x14ac:dyDescent="0.25">
      <c r="O36" s="34" t="s">
        <v>86</v>
      </c>
      <c r="P36" s="35">
        <f>0.05*SUM(P33:P35)</f>
        <v>492.93432640399999</v>
      </c>
      <c r="Q36" s="35">
        <f>0.05*SUM(Q33:Q35)</f>
        <v>571.45117030331755</v>
      </c>
    </row>
    <row r="37" spans="15:17" x14ac:dyDescent="0.25">
      <c r="O37" s="32" t="s">
        <v>87</v>
      </c>
      <c r="P37" s="33">
        <f>0.07*SUM(P33:P35)</f>
        <v>690.10805696559999</v>
      </c>
      <c r="Q37" s="33">
        <f>0.07*SUM(Q33:Q35)</f>
        <v>800.0316384246446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Q61"/>
  <sheetViews>
    <sheetView tabSelected="1" topLeftCell="A20" workbookViewId="0">
      <selection activeCell="J41" sqref="J41:J50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6" spans="4:17" x14ac:dyDescent="0.25">
      <c r="D6" s="32"/>
      <c r="E6" s="33"/>
      <c r="F6" s="33"/>
      <c r="G6" s="33"/>
      <c r="H6" s="33"/>
      <c r="I6" s="33"/>
      <c r="J6" s="33"/>
      <c r="K6" s="12"/>
      <c r="L6" s="12"/>
      <c r="M6" s="12"/>
      <c r="N6" s="33"/>
      <c r="O6" s="33"/>
      <c r="P6" s="33"/>
      <c r="Q6" s="12"/>
    </row>
    <row r="7" spans="4:17" x14ac:dyDescent="0.25">
      <c r="D7" s="34"/>
      <c r="E7" s="35"/>
      <c r="F7" s="35"/>
      <c r="G7" s="35"/>
      <c r="H7" s="35"/>
      <c r="I7" s="35"/>
      <c r="J7" s="35"/>
      <c r="K7" s="13"/>
      <c r="L7" s="13"/>
      <c r="M7" s="13"/>
      <c r="N7" s="35"/>
      <c r="O7" s="35"/>
      <c r="P7" s="35"/>
      <c r="Q7" s="13"/>
    </row>
    <row r="8" spans="4:17" x14ac:dyDescent="0.25">
      <c r="D8" s="32"/>
      <c r="E8" s="33"/>
      <c r="F8" s="33"/>
      <c r="G8" s="33"/>
      <c r="H8" s="33"/>
      <c r="I8" s="33"/>
      <c r="J8" s="33"/>
      <c r="K8" s="12"/>
      <c r="L8" s="12"/>
      <c r="M8" s="12"/>
      <c r="N8" s="33"/>
      <c r="O8" s="33"/>
      <c r="P8" s="33"/>
      <c r="Q8" s="12"/>
    </row>
    <row r="9" spans="4:17" x14ac:dyDescent="0.25">
      <c r="D9" s="34"/>
      <c r="E9" s="35"/>
      <c r="F9" s="35"/>
      <c r="G9" s="35"/>
      <c r="H9" s="35"/>
      <c r="I9" s="35"/>
      <c r="J9" s="35"/>
      <c r="K9" s="13"/>
      <c r="L9" s="13"/>
      <c r="M9" s="13"/>
      <c r="N9" s="35"/>
      <c r="O9" s="35"/>
      <c r="P9" s="35"/>
      <c r="Q9" s="13"/>
    </row>
    <row r="10" spans="4:17" x14ac:dyDescent="0.25">
      <c r="D10" s="32"/>
      <c r="E10" s="33"/>
      <c r="F10" s="33"/>
      <c r="G10" s="33"/>
      <c r="H10" s="33"/>
      <c r="I10" s="33"/>
      <c r="J10" s="33"/>
      <c r="K10" s="12"/>
      <c r="L10" s="12"/>
      <c r="M10" s="12"/>
      <c r="N10" s="33"/>
      <c r="O10" s="33"/>
      <c r="P10" s="33"/>
      <c r="Q10" s="12"/>
    </row>
    <row r="12" spans="4:17" x14ac:dyDescent="0.25">
      <c r="D12" s="8" t="s">
        <v>108</v>
      </c>
      <c r="E12" s="8" t="s">
        <v>89</v>
      </c>
      <c r="F12" s="8" t="s">
        <v>90</v>
      </c>
      <c r="G12" s="8" t="s">
        <v>114</v>
      </c>
      <c r="H12" s="8" t="s">
        <v>115</v>
      </c>
      <c r="I12" s="8" t="s">
        <v>91</v>
      </c>
      <c r="J12" s="8" t="s">
        <v>92</v>
      </c>
      <c r="K12" s="8" t="s">
        <v>93</v>
      </c>
      <c r="L12" s="8" t="s">
        <v>94</v>
      </c>
      <c r="M12" s="8" t="s">
        <v>95</v>
      </c>
      <c r="N12" s="8" t="s">
        <v>96</v>
      </c>
      <c r="Q12" s="8"/>
    </row>
    <row r="13" spans="4:17" x14ac:dyDescent="0.25">
      <c r="D13" s="8" t="s">
        <v>83</v>
      </c>
      <c r="E13" s="8">
        <f>FTTC_GPON_25!$J26</f>
        <v>0.48212867355043687</v>
      </c>
      <c r="F13" s="8">
        <f>FTTB_XGPON_50!$O26</f>
        <v>0.30249631226597073</v>
      </c>
      <c r="G13" s="8">
        <f>FTTB_DWDM_50!$O34</f>
        <v>0.79382730057869055</v>
      </c>
      <c r="H13" s="8">
        <f>FTTH_DWDM_100!$O21</f>
        <v>0.8611823442641553</v>
      </c>
      <c r="I13" s="8">
        <f>FTTH_XGPON_100!$N36</f>
        <v>0.58454555769885397</v>
      </c>
      <c r="J13" s="8">
        <f>FTTC_GPON_100!$Q24</f>
        <v>1.2432996709406559</v>
      </c>
      <c r="K13" s="12">
        <f>FTTC_Hybridpon_25!P21</f>
        <v>0.62393623056847836</v>
      </c>
      <c r="L13" s="8">
        <f>FTTB_Hybridpon_50!$Q19</f>
        <v>0.3153409735617837</v>
      </c>
      <c r="M13" s="39">
        <f>FTTH_Hybridpon_100!$Q19</f>
        <v>0.57372063996368994</v>
      </c>
      <c r="N13" s="8">
        <f>FTTC_Hybridpon_100!Q21</f>
        <v>0.82389651650970153</v>
      </c>
      <c r="Q13" s="8"/>
    </row>
    <row r="14" spans="4:17" x14ac:dyDescent="0.25">
      <c r="D14" s="8" t="s">
        <v>84</v>
      </c>
      <c r="E14" s="8">
        <f>FTTC_GPON_25!$J27</f>
        <v>0.13574334179053671</v>
      </c>
      <c r="F14" s="8">
        <f>FTTB_XGPON_50!$O27</f>
        <v>9.5154294791784874E-3</v>
      </c>
      <c r="G14" s="8">
        <f>FTTB_DWDM_50!$O35</f>
        <v>0.13587472688074437</v>
      </c>
      <c r="H14" s="8">
        <f>FTTH_DWDM_100!$O22</f>
        <v>0.14982313582208101</v>
      </c>
      <c r="I14" s="8">
        <f>FTTH_XGPON_100!$N37</f>
        <v>6.9992529218200386E-2</v>
      </c>
      <c r="J14" s="8">
        <f>FTTC_GPON_100!$Q25</f>
        <v>0.54271882718710995</v>
      </c>
      <c r="K14" s="12">
        <f>FTTC_Hybridpon_25!P22</f>
        <v>0.19025342335186657</v>
      </c>
      <c r="L14" s="8">
        <f>FTTB_Hybridpon_50!$Q20</f>
        <v>1.4774113241801884E-2</v>
      </c>
      <c r="M14" s="39">
        <f>FTTH_Hybridpon_100!$Q20</f>
        <v>2.7759051401338931E-2</v>
      </c>
      <c r="N14" s="8">
        <f>FTTC_Hybridpon_100!Q22</f>
        <v>1.9251523885169635E-2</v>
      </c>
      <c r="Q14" s="8"/>
    </row>
    <row r="15" spans="4:17" x14ac:dyDescent="0.25">
      <c r="D15" s="8" t="s">
        <v>85</v>
      </c>
      <c r="E15" s="8">
        <f>FTTC_GPON_25!$J28</f>
        <v>0.16002558334832362</v>
      </c>
      <c r="F15" s="8">
        <f>FTTB_XGPON_50!$O28</f>
        <v>0.19178218095091207</v>
      </c>
      <c r="G15" s="8">
        <f>FTTB_DWDM_50!$O36</f>
        <v>0.17915259295150013</v>
      </c>
      <c r="H15" s="8">
        <f>FTTH_DWDM_100!$O23</f>
        <v>0.17929014544857647</v>
      </c>
      <c r="I15" s="8">
        <f>FTTH_XGPON_100!$N38</f>
        <v>0.18392674811305887</v>
      </c>
      <c r="J15" s="8">
        <f>FTTC_GPON_100!$Q26</f>
        <v>0.13576598807385645</v>
      </c>
      <c r="K15" s="12">
        <f>FTTC_Hybridpon_25!P23</f>
        <v>0.13786416830591175</v>
      </c>
      <c r="L15" s="8">
        <f>FTTB_Hybridpon_50!$Q21</f>
        <v>0.15896681052592659</v>
      </c>
      <c r="M15" s="39">
        <f>FTTH_Hybridpon_100!$Q21</f>
        <v>0.27619389379596859</v>
      </c>
      <c r="N15" s="8">
        <f>FTTC_Hybridpon_100!Q23</f>
        <v>0.45368883763376261</v>
      </c>
      <c r="Q15" s="8"/>
    </row>
    <row r="16" spans="4:17" x14ac:dyDescent="0.25">
      <c r="D16" s="8" t="s">
        <v>86</v>
      </c>
      <c r="E16" s="8">
        <f>FTTC_GPON_25!$J29</f>
        <v>3.889487993446486E-2</v>
      </c>
      <c r="F16" s="8">
        <f>FTTB_XGPON_50!$O29</f>
        <v>2.5189696134803066E-2</v>
      </c>
      <c r="G16" s="8">
        <f>FTTB_DWDM_50!$O37</f>
        <v>5.5442731020546761E-2</v>
      </c>
      <c r="H16" s="8">
        <f>FTTH_DWDM_100!$O24</f>
        <v>5.951478127674064E-2</v>
      </c>
      <c r="I16" s="8">
        <f>FTTH_XGPON_100!$N39</f>
        <v>4.1923241751505663E-2</v>
      </c>
      <c r="J16" s="8">
        <f>FTTC_GPON_100!$Q27</f>
        <v>9.6089224310081114E-2</v>
      </c>
      <c r="K16" s="12">
        <f>FTTC_Hybridpon_25!P24</f>
        <v>4.7602691111312836E-2</v>
      </c>
      <c r="L16" s="8">
        <f>FTTB_Hybridpon_50!$Q22</f>
        <v>2.4454094866475609E-2</v>
      </c>
      <c r="M16" s="39">
        <f>FTTH_Hybridpon_100!$Q22</f>
        <v>4.3883679258049875E-2</v>
      </c>
      <c r="N16" s="8">
        <f>FTTC_Hybridpon_100!Q24</f>
        <v>6.4841843901431703E-2</v>
      </c>
      <c r="Q16" s="8"/>
    </row>
    <row r="17" spans="4:17" x14ac:dyDescent="0.25">
      <c r="D17" s="8" t="s">
        <v>87</v>
      </c>
      <c r="E17" s="8">
        <f>FTTC_GPON_25!$J30</f>
        <v>5.4452831908250801E-2</v>
      </c>
      <c r="F17" s="8">
        <f>FTTB_XGPON_50!$O30</f>
        <v>3.5265574588724292E-2</v>
      </c>
      <c r="G17" s="8">
        <f>FTTB_DWDM_50!$O38</f>
        <v>7.7619823428765458E-2</v>
      </c>
      <c r="H17" s="8">
        <f>FTTH_DWDM_100!$O25</f>
        <v>8.3320693787436909E-2</v>
      </c>
      <c r="I17" s="8">
        <f>FTTH_XGPON_100!$N40</f>
        <v>5.869253845210793E-2</v>
      </c>
      <c r="J17" s="8">
        <f>FTTC_GPON_100!$Q28</f>
        <v>0.13452491403411357</v>
      </c>
      <c r="K17" s="12">
        <f>FTTC_Hybridpon_25!P25</f>
        <v>6.6643767555837966E-2</v>
      </c>
      <c r="L17" s="8">
        <f>FTTB_Hybridpon_50!$Q23</f>
        <v>3.4235732813065856E-2</v>
      </c>
      <c r="M17" s="39">
        <f>FTTH_Hybridpon_100!$Q23</f>
        <v>6.1437150961269824E-2</v>
      </c>
      <c r="N17" s="8">
        <f>FTTC_Hybridpon_100!Q25</f>
        <v>9.0778581462004376E-2</v>
      </c>
      <c r="Q17" s="8"/>
    </row>
    <row r="18" spans="4:17" x14ac:dyDescent="0.25">
      <c r="D18" s="22"/>
      <c r="E18" s="22">
        <f>SUM(Table2225[FTTC_GPON_25])</f>
        <v>0.87124531053201282</v>
      </c>
      <c r="F18" s="22">
        <f>SUBTOTAL(109,Table2225[FTTB_XGPON_50])</f>
        <v>0.56424919341958857</v>
      </c>
      <c r="G18" s="22">
        <f>SUBTOTAL(109,Table2225[FTTB_UDWDM_50])</f>
        <v>1.2419171748602473</v>
      </c>
      <c r="H18" s="22">
        <f>SUBTOTAL(109,Table2225[FTTH_UDWDM_100])</f>
        <v>1.3331311005989903</v>
      </c>
      <c r="I18" s="22">
        <f>SUBTOTAL(109,Table2225[FTTH_XGPON_100])</f>
        <v>0.93908061523372688</v>
      </c>
      <c r="J18" s="22">
        <f>SUBTOTAL(109,Table2225[FTTC_GPON_100])</f>
        <v>2.1523986245458171</v>
      </c>
      <c r="K18" s="26">
        <f>SUBTOTAL(109,Table2225[FTTC_Hybridpon_25])</f>
        <v>1.0663002808934074</v>
      </c>
      <c r="L18" s="22">
        <f>SUBTOTAL(109,Table2225[FTTB_Hybridpon_50])</f>
        <v>0.54777172500905369</v>
      </c>
      <c r="M18" s="22">
        <f>SUBTOTAL(109,Table2225[FTTH_Hybridpon_100])</f>
        <v>0.98299441538031718</v>
      </c>
      <c r="N18" s="22">
        <f>SUBTOTAL(109,Table2225[FTTC_Hybridpon_100])</f>
        <v>1.4524573033920698</v>
      </c>
      <c r="Q18" s="22"/>
    </row>
    <row r="27" spans="4:17" x14ac:dyDescent="0.25">
      <c r="D27" t="s">
        <v>88</v>
      </c>
      <c r="E27" t="s">
        <v>89</v>
      </c>
      <c r="F27" t="s">
        <v>90</v>
      </c>
      <c r="G27" t="s">
        <v>114</v>
      </c>
      <c r="H27" t="s">
        <v>115</v>
      </c>
      <c r="I27" t="s">
        <v>91</v>
      </c>
      <c r="J27" t="s">
        <v>92</v>
      </c>
      <c r="K27" t="s">
        <v>93</v>
      </c>
      <c r="L27" t="s">
        <v>94</v>
      </c>
      <c r="M27" t="s">
        <v>95</v>
      </c>
      <c r="N27" t="s">
        <v>96</v>
      </c>
    </row>
    <row r="28" spans="4:17" x14ac:dyDescent="0.25">
      <c r="D28" s="8" t="s">
        <v>83</v>
      </c>
      <c r="E28" s="8">
        <f>FTTC_GPON_25!$I26</f>
        <v>0.48212867355043687</v>
      </c>
      <c r="F28" s="8">
        <f>FTTB_XGPON_50!$N26</f>
        <v>0.30249631226597073</v>
      </c>
      <c r="G28" s="8">
        <f>FTTB_DWDM_50!$N34</f>
        <v>0.79382730057869055</v>
      </c>
      <c r="H28" s="8">
        <f>FTTH_DWDM_100!$N21</f>
        <v>0.8611823442641553</v>
      </c>
      <c r="I28" s="8">
        <f>FTTH_XGPON_100!$M36</f>
        <v>0.58454555769885397</v>
      </c>
      <c r="J28" s="8">
        <f>FTTC_GPON_100!$P24</f>
        <v>1.2432996709406559</v>
      </c>
      <c r="K28" s="12">
        <f>FTTC_Hybridpon_25!P21</f>
        <v>0.62393623056847836</v>
      </c>
      <c r="L28" s="8">
        <f>FTTB_Hybridpon_50!$P19</f>
        <v>0.3153409735617837</v>
      </c>
      <c r="M28" s="39">
        <f>FTTH_Hybridpon_100!$P19</f>
        <v>0.57372063996368994</v>
      </c>
      <c r="N28" s="8">
        <f>FTTC_Hybridpon_100!P21</f>
        <v>0.82389651650970153</v>
      </c>
      <c r="Q28" s="8"/>
    </row>
    <row r="29" spans="4:17" x14ac:dyDescent="0.25">
      <c r="D29" s="8" t="s">
        <v>84</v>
      </c>
      <c r="E29" s="8">
        <f>FTTC_GPON_25!$I27</f>
        <v>0.13574334179053671</v>
      </c>
      <c r="F29" s="8">
        <f>FTTB_XGPON_50!$N27</f>
        <v>9.5154294791784874E-3</v>
      </c>
      <c r="G29" s="8">
        <f>FTTB_DWDM_50!$N35</f>
        <v>0.13587472688074437</v>
      </c>
      <c r="H29" s="8">
        <f>FTTH_DWDM_100!$N22</f>
        <v>0.14982313582208101</v>
      </c>
      <c r="I29" s="8">
        <f>FTTH_XGPON_100!$M37</f>
        <v>6.9992529218200386E-2</v>
      </c>
      <c r="J29" s="8">
        <f>FTTC_GPON_100!$P25</f>
        <v>0.54271882718710995</v>
      </c>
      <c r="K29" s="12">
        <f>FTTC_Hybridpon_25!P22</f>
        <v>0.19025342335186657</v>
      </c>
      <c r="L29" s="8">
        <f>FTTB_Hybridpon_50!$P20</f>
        <v>1.4774113241801884E-2</v>
      </c>
      <c r="M29" s="38">
        <f>FTTH_Hybridpon_100!$P20</f>
        <v>2.7759051401338931E-2</v>
      </c>
      <c r="N29" s="8">
        <f>FTTC_Hybridpon_100!P22</f>
        <v>1.9251523885169635E-2</v>
      </c>
      <c r="Q29" s="8"/>
    </row>
    <row r="30" spans="4:17" x14ac:dyDescent="0.25">
      <c r="D30" s="8" t="s">
        <v>85</v>
      </c>
      <c r="E30" s="8">
        <f>FTTC_GPON_25!$I28</f>
        <v>6.8334862412389411E-2</v>
      </c>
      <c r="F30" s="8">
        <f>FTTB_XGPON_50!$N28</f>
        <v>8.5710618123271062E-2</v>
      </c>
      <c r="G30" s="8">
        <f>FTTB_DWDM_50!$N36</f>
        <v>7.1360731283331438E-2</v>
      </c>
      <c r="H30" s="8">
        <f>FTTH_DWDM_100!$N23</f>
        <v>7.1360731283331438E-2</v>
      </c>
      <c r="I30" s="8">
        <f>FTTH_XGPON_100!$M38</f>
        <v>7.24923050039714E-2</v>
      </c>
      <c r="J30" s="8">
        <f>FTTC_GPON_100!$P26</f>
        <v>5.811858422788925E-2</v>
      </c>
      <c r="K30" s="12">
        <f>FTTC_Hybridpon_25!P23</f>
        <v>0.13786416830591175</v>
      </c>
      <c r="L30" s="8">
        <f>FTTB_Hybridpon_50!$P21</f>
        <v>8.3057791399069561E-2</v>
      </c>
      <c r="M30" s="38">
        <f>FTTH_Hybridpon_100!$P21</f>
        <v>0.16615042201293545</v>
      </c>
      <c r="N30" s="8">
        <f>FTTC_Hybridpon_100!P23</f>
        <v>0.27550469171451264</v>
      </c>
      <c r="Q30" s="8"/>
    </row>
    <row r="31" spans="4:17" x14ac:dyDescent="0.25">
      <c r="D31" s="8" t="s">
        <v>86</v>
      </c>
      <c r="E31" s="8">
        <f>FTTC_GPON_25!$I29</f>
        <v>3.4310343887668147E-2</v>
      </c>
      <c r="F31" s="8">
        <f>FTTB_XGPON_50!$N29</f>
        <v>1.9886117993421017E-2</v>
      </c>
      <c r="G31" s="8">
        <f>FTTB_DWDM_50!$N37</f>
        <v>5.005313793713833E-2</v>
      </c>
      <c r="H31" s="8">
        <f>FTTH_DWDM_100!$N24</f>
        <v>5.4118310568478392E-2</v>
      </c>
      <c r="I31" s="8">
        <f>FTTH_XGPON_100!$M39</f>
        <v>3.6351519596051297E-2</v>
      </c>
      <c r="J31" s="8">
        <f>FTTC_GPON_100!$P27</f>
        <v>9.2206854117782761E-2</v>
      </c>
      <c r="K31" s="12">
        <f>FTTC_Hybridpon_25!P24</f>
        <v>4.7602691111312836E-2</v>
      </c>
      <c r="L31" s="8">
        <f>FTTB_Hybridpon_50!$P22</f>
        <v>2.0658643910132762E-2</v>
      </c>
      <c r="M31" s="38">
        <f>FTTH_Hybridpon_100!$P22</f>
        <v>3.8381505668898225E-2</v>
      </c>
      <c r="N31" s="8">
        <f>FTTC_Hybridpon_100!P24</f>
        <v>5.593263660546919E-2</v>
      </c>
      <c r="Q31" s="8"/>
    </row>
    <row r="32" spans="4:17" x14ac:dyDescent="0.25">
      <c r="D32" s="8" t="s">
        <v>87</v>
      </c>
      <c r="E32" s="8">
        <f>FTTC_GPON_25!$I30</f>
        <v>4.8034481442735408E-2</v>
      </c>
      <c r="F32" s="8">
        <f>FTTB_XGPON_50!$N30</f>
        <v>2.7840565190789424E-2</v>
      </c>
      <c r="G32" s="8">
        <f>FTTB_DWDM_50!$N38</f>
        <v>7.0074393111993663E-2</v>
      </c>
      <c r="H32" s="8">
        <f>FTTH_DWDM_100!$N25</f>
        <v>7.5765634795869757E-2</v>
      </c>
      <c r="I32" s="8">
        <f>FTTH_XGPON_100!$M40</f>
        <v>5.0892127434471808E-2</v>
      </c>
      <c r="J32" s="8">
        <f>FTTC_GPON_100!$P28</f>
        <v>0.12908959576489587</v>
      </c>
      <c r="K32" s="12">
        <f>FTTC_Hybridpon_25!P25</f>
        <v>6.6643767555837966E-2</v>
      </c>
      <c r="L32" s="8">
        <f>FTTB_Hybridpon_50!$P23</f>
        <v>2.8922101474185866E-2</v>
      </c>
      <c r="M32" s="26">
        <f>FTTH_Hybridpon_100!$P23</f>
        <v>5.3734107936457512E-2</v>
      </c>
      <c r="N32" s="8">
        <f>FTTC_Hybridpon_100!P25</f>
        <v>7.8305691247656864E-2</v>
      </c>
      <c r="Q32" s="8"/>
    </row>
    <row r="33" spans="4:17" x14ac:dyDescent="0.25">
      <c r="D33" s="22"/>
      <c r="E33" s="22">
        <f>SUM(Table22[FTTC_GPON_25])</f>
        <v>0.76855170308376652</v>
      </c>
      <c r="F33" s="22">
        <f>SUBTOTAL(109,Table22[FTTB_XGPON_50])</f>
        <v>0.44544904305263072</v>
      </c>
      <c r="G33" s="22">
        <f>SUBTOTAL(109,Table22[FTTB_UDWDM_50])</f>
        <v>1.1211902897918984</v>
      </c>
      <c r="H33" s="22">
        <f>SUBTOTAL(109,Table22[FTTH_UDWDM_100])</f>
        <v>1.2122501567339159</v>
      </c>
      <c r="I33" s="22">
        <f>SUBTOTAL(109,Table22[FTTH_XGPON_100])</f>
        <v>0.81427403895154893</v>
      </c>
      <c r="J33" s="22">
        <f>SUBTOTAL(109,Table22[FTTC_GPON_100])</f>
        <v>2.0654335322383339</v>
      </c>
      <c r="K33" s="26">
        <f>SUBTOTAL(109,Table22[FTTC_Hybridpon_25])</f>
        <v>1.0663002808934074</v>
      </c>
      <c r="L33" s="22">
        <f>SUBTOTAL(109,Table22[FTTB_Hybridpon_50])</f>
        <v>0.46275362358697381</v>
      </c>
      <c r="M33" s="22">
        <f>SUBTOTAL(109,Table22[FTTH_Hybridpon_100])</f>
        <v>0.85974572698332008</v>
      </c>
      <c r="N33" s="22">
        <f>SUBTOTAL(109,Table22[FTTC_Hybridpon_100])</f>
        <v>1.2528910599625098</v>
      </c>
      <c r="Q33" s="22"/>
    </row>
    <row r="40" spans="4:17" ht="15.75" thickBot="1" x14ac:dyDescent="0.3">
      <c r="J40" t="s">
        <v>109</v>
      </c>
      <c r="N40" t="s">
        <v>110</v>
      </c>
    </row>
    <row r="41" spans="4:17" ht="16.5" thickTop="1" thickBot="1" x14ac:dyDescent="0.3">
      <c r="J41" s="11">
        <f>SUM(Table22[FTTC_GPON_25])</f>
        <v>0.76855170308376652</v>
      </c>
      <c r="N41" s="11">
        <f>SUM(Table2225[FTTC_GPON_25])</f>
        <v>0.87124531053201282</v>
      </c>
    </row>
    <row r="42" spans="4:17" ht="16.5" thickTop="1" thickBot="1" x14ac:dyDescent="0.3">
      <c r="J42" s="11">
        <f>SUBTOTAL(109,Table22[FTTB_XGPON_50])</f>
        <v>0.44544904305263072</v>
      </c>
      <c r="N42" s="11">
        <f>SUBTOTAL(109,Table2225[FTTB_XGPON_50])</f>
        <v>0.56424919341958857</v>
      </c>
    </row>
    <row r="43" spans="4:17" ht="16.5" thickTop="1" thickBot="1" x14ac:dyDescent="0.3">
      <c r="J43" s="11">
        <f>SUBTOTAL(109,Table22[FTTB_UDWDM_50])</f>
        <v>1.1211902897918984</v>
      </c>
      <c r="N43" s="11">
        <f>SUBTOTAL(109,Table2225[FTTB_UDWDM_50])</f>
        <v>1.2419171748602473</v>
      </c>
    </row>
    <row r="44" spans="4:17" ht="16.5" thickTop="1" thickBot="1" x14ac:dyDescent="0.3">
      <c r="J44" s="11">
        <f>SUBTOTAL(109,Table22[FTTH_UDWDM_100])</f>
        <v>1.2122501567339159</v>
      </c>
      <c r="N44" s="11">
        <f>SUBTOTAL(109,Table2225[FTTH_UDWDM_100])</f>
        <v>1.3331311005989903</v>
      </c>
    </row>
    <row r="45" spans="4:17" ht="16.5" thickTop="1" thickBot="1" x14ac:dyDescent="0.3">
      <c r="J45" s="11">
        <f>SUBTOTAL(109,Table22[FTTH_XGPON_100])</f>
        <v>0.81427403895154893</v>
      </c>
      <c r="N45" s="11">
        <f>SUBTOTAL(109,Table2225[FTTH_XGPON_100])</f>
        <v>0.93908061523372688</v>
      </c>
    </row>
    <row r="46" spans="4:17" ht="15.75" thickTop="1" x14ac:dyDescent="0.25">
      <c r="J46" s="11">
        <f>SUBTOTAL(109,Table22[FTTC_GPON_100])</f>
        <v>2.0654335322383339</v>
      </c>
      <c r="N46" s="11">
        <f>SUBTOTAL(109,Table2225[FTTC_GPON_100])</f>
        <v>2.1523986245458171</v>
      </c>
    </row>
    <row r="47" spans="4:17" x14ac:dyDescent="0.25">
      <c r="J47" s="25">
        <f>SUBTOTAL(109,Table22[FTTC_Hybridpon_25])</f>
        <v>1.0663002808934074</v>
      </c>
      <c r="N47" s="25">
        <f>SUBTOTAL(109,Table2225[FTTC_Hybridpon_25])</f>
        <v>1.0663002808934074</v>
      </c>
    </row>
    <row r="48" spans="4:17" ht="15.75" thickBot="1" x14ac:dyDescent="0.3">
      <c r="J48" s="25">
        <f>SUBTOTAL(109,Table22[FTTB_Hybridpon_50])</f>
        <v>0.46275362358697381</v>
      </c>
      <c r="N48" s="25">
        <f>SUBTOTAL(109,Table2225[FTTB_Hybridpon_50])</f>
        <v>0.54777172500905369</v>
      </c>
    </row>
    <row r="49" spans="10:14" ht="16.5" thickTop="1" thickBot="1" x14ac:dyDescent="0.3">
      <c r="J49" s="25">
        <f>SUBTOTAL(109,Table22[FTTH_Hybridpon_100])</f>
        <v>0.85974572698332008</v>
      </c>
      <c r="M49" s="11"/>
      <c r="N49" s="25">
        <f>SUBTOTAL(109,Table2225[FTTH_Hybridpon_100])</f>
        <v>0.98299441538031718</v>
      </c>
    </row>
    <row r="50" spans="10:14" ht="16.5" thickTop="1" thickBot="1" x14ac:dyDescent="0.3">
      <c r="J50" s="11">
        <f>SUBTOTAL(109,Table22[FTTC_Hybridpon_100])</f>
        <v>1.2528910599625098</v>
      </c>
      <c r="M50" s="11"/>
      <c r="N50" s="11">
        <f>SUBTOTAL(109,Table2225[FTTC_Hybridpon_100])</f>
        <v>1.4524573033920698</v>
      </c>
    </row>
    <row r="51" spans="10:14" ht="16.5" thickTop="1" thickBot="1" x14ac:dyDescent="0.3">
      <c r="J51" s="11"/>
      <c r="M51" s="11"/>
      <c r="N51" s="11"/>
    </row>
    <row r="52" spans="10:14" ht="16.5" thickTop="1" thickBot="1" x14ac:dyDescent="0.3">
      <c r="J52" s="11"/>
      <c r="M52" s="11"/>
      <c r="N52" s="11"/>
    </row>
    <row r="53" spans="10:14" ht="16.5" thickTop="1" thickBot="1" x14ac:dyDescent="0.3">
      <c r="J53" s="14"/>
      <c r="M53" s="11"/>
      <c r="N53" s="14"/>
    </row>
    <row r="54" spans="10:14" ht="15.75" thickTop="1" x14ac:dyDescent="0.25">
      <c r="M54" s="11"/>
    </row>
    <row r="55" spans="10:14" x14ac:dyDescent="0.25">
      <c r="M55" s="25"/>
    </row>
    <row r="56" spans="10:14" x14ac:dyDescent="0.25">
      <c r="M56" s="25"/>
    </row>
    <row r="57" spans="10:14" ht="15.75" thickBot="1" x14ac:dyDescent="0.3">
      <c r="M57" s="25"/>
    </row>
    <row r="58" spans="10:14" ht="16.5" thickTop="1" thickBot="1" x14ac:dyDescent="0.3">
      <c r="M58" s="11"/>
    </row>
    <row r="59" spans="10:14" ht="16.5" thickTop="1" thickBot="1" x14ac:dyDescent="0.3">
      <c r="M59" s="11"/>
    </row>
    <row r="60" spans="10:14" ht="16.5" thickTop="1" thickBot="1" x14ac:dyDescent="0.3">
      <c r="M60" s="11"/>
    </row>
    <row r="61" spans="10:14" ht="15.75" thickTop="1" x14ac:dyDescent="0.25">
      <c r="M61" s="14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E26" sqref="E26"/>
    </sheetView>
  </sheetViews>
  <sheetFormatPr defaultRowHeight="15" x14ac:dyDescent="0.25"/>
  <cols>
    <col min="1" max="1" width="23.28515625" customWidth="1"/>
    <col min="2" max="3" width="21.28515625" customWidth="1"/>
    <col min="4" max="4" width="13" customWidth="1"/>
    <col min="5" max="5" width="21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4" max="24" width="18.5703125" customWidth="1"/>
    <col min="25" max="25" width="18.7109375" customWidth="1"/>
    <col min="26" max="26" width="14.42578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s="1" t="s">
        <v>34</v>
      </c>
      <c r="G1" s="1" t="s">
        <v>36</v>
      </c>
      <c r="H1" s="2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97</v>
      </c>
      <c r="Y1" t="s">
        <v>101</v>
      </c>
      <c r="Z1" t="s">
        <v>102</v>
      </c>
      <c r="AA1" t="s">
        <v>32</v>
      </c>
      <c r="AB1" t="s">
        <v>33</v>
      </c>
    </row>
    <row r="2" spans="1:28" x14ac:dyDescent="0.25">
      <c r="A2" s="24" t="s">
        <v>3</v>
      </c>
      <c r="B2" s="24" t="s">
        <v>4</v>
      </c>
      <c r="C2" s="23">
        <v>40</v>
      </c>
      <c r="D2" s="23">
        <v>13</v>
      </c>
      <c r="E2">
        <f>5</f>
        <v>5</v>
      </c>
      <c r="F2" s="1">
        <f>Table2[[#This Row],[Floor Space per component]]*Table2[[#This Row],[Quantity]]</f>
        <v>65</v>
      </c>
      <c r="G2" s="1">
        <f>530/50</f>
        <v>10.6</v>
      </c>
      <c r="H2" s="2">
        <f>Table2[[#This Row],[Rent per sqm per year]]*Table2[[#This Row],[Total Floor Space]]</f>
        <v>689</v>
      </c>
      <c r="I2">
        <v>7.1666666666666696</v>
      </c>
      <c r="J2">
        <v>2</v>
      </c>
      <c r="K2">
        <v>256</v>
      </c>
      <c r="L2">
        <f>10+Table2[[#This Row],[Quantity]]*2.5*0.5</f>
        <v>26.25</v>
      </c>
      <c r="M2">
        <f>Table2[[#This Row],[Energy consumption in W]]*24*365/1000</f>
        <v>229.95</v>
      </c>
      <c r="N2">
        <f>0.3048/50</f>
        <v>6.0960000000000007E-3</v>
      </c>
      <c r="O2" s="2">
        <f>Table2[[#This Row],[Yearly Energy Consumption in kWh]]*Table2[[#This Row],[CU/kWh]]</f>
        <v>1.4017752000000001</v>
      </c>
      <c r="P2">
        <v>0</v>
      </c>
      <c r="Q2">
        <v>20</v>
      </c>
      <c r="R2">
        <f>Table2[[#This Row],[Quantity]]*(Table2[[#This Row],[FIT]]*24*365)/1000000000</f>
        <v>2.915328E-2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v>5</v>
      </c>
      <c r="W2" s="2">
        <f>Table2[[#This Row],[Cost per hour]]*Table2[[#This Row],[Total Time to Repair(h)]]*Table2[[#This Row],[Failures per year]]</f>
        <v>0.29153279999999998</v>
      </c>
      <c r="X2">
        <v>100</v>
      </c>
      <c r="Y2">
        <v>7.0000000000000007E-2</v>
      </c>
      <c r="Z2">
        <f>0.07+2*0.00027</f>
        <v>7.0540000000000005E-2</v>
      </c>
      <c r="AA2">
        <f>Table2[[#This Row],[Percentage of Business Users]]*Table2[[#This Row],[SLA CU per hour]]*Table2[[#This Row],[Failures per year]]*Table2[[#This Row],[Total Time to Repair(h)]]</f>
        <v>0.40814592000000005</v>
      </c>
      <c r="AB2">
        <f>Table2[[#This Row],[Percentage of ITS and business users]]*Table2[[#This Row],[SLA CU per hour]]*Table2[[#This Row],[Failures per year]]*Table2[[#This Row],[Total Time to Repair(h)]]</f>
        <v>0.41129447424000004</v>
      </c>
    </row>
    <row r="3" spans="1:28" x14ac:dyDescent="0.25">
      <c r="A3" s="24" t="s">
        <v>3</v>
      </c>
      <c r="B3" s="24" t="s">
        <v>5</v>
      </c>
      <c r="C3" s="23">
        <v>4</v>
      </c>
      <c r="D3" s="23">
        <v>102</v>
      </c>
      <c r="E3">
        <v>0</v>
      </c>
      <c r="F3" s="1">
        <f>Table2[[#This Row],[Floor Space per component]]*Table2[[#This Row],[Quantity]]</f>
        <v>0</v>
      </c>
      <c r="G3" s="1">
        <v>10.6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50</v>
      </c>
      <c r="L3">
        <f>1.2*Table2[[#This Row],[Quantity]]</f>
        <v>122.39999999999999</v>
      </c>
      <c r="M3" s="1">
        <f>Table2[[#This Row],[Energy consumption in W]]*24*365/1000</f>
        <v>1072.2239999999999</v>
      </c>
      <c r="N3" s="8">
        <f t="shared" ref="N3:N9" si="0">0.15/50</f>
        <v>3.0000000000000001E-3</v>
      </c>
      <c r="O3" s="2">
        <f>Table2[[#This Row],[Yearly Energy Consumption in kWh]]*Table2[[#This Row],[CU/kWh]]</f>
        <v>3.216672</v>
      </c>
      <c r="P3">
        <v>0</v>
      </c>
      <c r="Q3">
        <v>20</v>
      </c>
      <c r="R3" s="8">
        <f>Table2[[#This Row],[Quantity]]*(Table2[[#This Row],[FIT]]*24*365)/1000000000</f>
        <v>4.4676E-2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8">
        <v>5</v>
      </c>
      <c r="W3" s="2">
        <f>Table2[[#This Row],[Cost per hour]]*Table2[[#This Row],[Total Time to Repair(h)]]*Table2[[#This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Table2[[#This Row],[Percentage of Business Users]]*Table2[[#This Row],[SLA CU per hour]]*Table2[[#This Row],[Failures per year]]*Table2[[#This Row],[Total Time to Repair(h)]]</f>
        <v>0</v>
      </c>
      <c r="AB3" s="8">
        <f>Table2[[#This Row],[Percentage of ITS and business users]]*Table2[[#This Row],[SLA CU per hour]]*Table2[[#This Row],[Failures per year]]*Table2[[#This Row],[Total Time to Repair(h)]]</f>
        <v>0</v>
      </c>
    </row>
    <row r="4" spans="1:28" x14ac:dyDescent="0.25">
      <c r="A4" s="24" t="s">
        <v>3</v>
      </c>
      <c r="B4" s="24" t="s">
        <v>6</v>
      </c>
      <c r="C4" s="23">
        <f>0.1/9</f>
        <v>1.1111111111111112E-2</v>
      </c>
      <c r="D4" s="23">
        <v>254</v>
      </c>
      <c r="E4">
        <v>0</v>
      </c>
      <c r="F4" s="1">
        <f>Table2[[#This Row],[Floor Space per component]]*Table2[[#This Row],[Quantity]]</f>
        <v>0</v>
      </c>
      <c r="G4" s="1">
        <v>10.6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25.400000000000002</v>
      </c>
      <c r="M4" s="1">
        <f>Table2[[#This Row],[Energy consumption in W]]*24*365/1000</f>
        <v>222.50399999999999</v>
      </c>
      <c r="N4" s="8">
        <f t="shared" si="0"/>
        <v>3.0000000000000001E-3</v>
      </c>
      <c r="O4" s="2">
        <f>Table2[[#This Row],[Yearly Energy Consumption in kWh]]*Table2[[#This Row],[CU/kWh]]</f>
        <v>0.66751199999999999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8">
        <v>5</v>
      </c>
      <c r="W4" s="2">
        <f>Table2[[#This Row],[Cost per hour]]*Table2[[#This Row],[Total Time to Repair(h)]]*Table2[[#This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Table2[[#This Row],[Percentage of Business Users]]*Table2[[#This Row],[SLA CU per hour]]*Table2[[#This Row],[Failures per year]]*Table2[[#This Row],[Total Time to Repair(h)]]</f>
        <v>0</v>
      </c>
      <c r="AB4" s="8">
        <f>Table2[[#This Row],[Percentage of ITS and business users]]*Table2[[#This Row],[SLA CU per hour]]*Table2[[#This Row],[Failures per year]]*Table2[[#This Row],[Total Time to Repair(h)]]</f>
        <v>0</v>
      </c>
    </row>
    <row r="5" spans="1:28" x14ac:dyDescent="0.25">
      <c r="A5" s="24" t="s">
        <v>3</v>
      </c>
      <c r="B5" s="24" t="s">
        <v>7</v>
      </c>
      <c r="C5" s="23">
        <v>200</v>
      </c>
      <c r="D5" s="23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8">
        <f t="shared" si="0"/>
        <v>3.0000000000000001E-3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8">
        <v>5</v>
      </c>
      <c r="W5" s="2">
        <f>Table2[[#This Row],[Cost per hour]]*Table2[[#This Row],[Total Time to Repair(h)]]*Table2[[#This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Table2[[#This Row],[Percentage of Business Users]]*Table2[[#This Row],[SLA CU per hour]]*Table2[[#This Row],[Failures per year]]*Table2[[#This Row],[Total Time to Repair(h)]]</f>
        <v>0</v>
      </c>
      <c r="AB5" s="8">
        <f>Table2[[#This Row],[Percentage of ITS and business users]]*Table2[[#This Row],[SLA CU per hour]]*Table2[[#This Row],[Failures per year]]*Table2[[#This Row],[Total Time to Repair(h)]]</f>
        <v>0</v>
      </c>
    </row>
    <row r="6" spans="1:28" x14ac:dyDescent="0.25">
      <c r="A6" s="24" t="s">
        <v>8</v>
      </c>
      <c r="B6" s="24" t="s">
        <v>9</v>
      </c>
      <c r="C6" s="23">
        <v>1.8</v>
      </c>
      <c r="D6" s="23">
        <v>102</v>
      </c>
      <c r="E6">
        <v>0</v>
      </c>
      <c r="F6" s="1">
        <f>Table2[[#This Row],[Floor Space per component]]*Table2[[#This Row],[Quantity]]</f>
        <v>0</v>
      </c>
      <c r="G6" s="1">
        <v>10.6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8">
        <f t="shared" si="0"/>
        <v>3.0000000000000001E-3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0.1072224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8">
        <v>5</v>
      </c>
      <c r="W6" s="2">
        <f>Table2[[#This Row],[Cost per hour]]*Table2[[#This Row],[Total Time to Repair(h)]]*Table2[[#This Row],[Failures per year]]</f>
        <v>3.2434775999999998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Table2[[#This Row],[Percentage of Business Users]]*Table2[[#This Row],[SLA CU per hour]]*Table2[[#This Row],[Failures per year]]*Table2[[#This Row],[Total Time to Repair(h)]]</f>
        <v>4.5408686400000002</v>
      </c>
      <c r="AB6" s="8">
        <f>Table2[[#This Row],[Percentage of ITS and business users]]*Table2[[#This Row],[SLA CU per hour]]*Table2[[#This Row],[Failures per year]]*Table2[[#This Row],[Total Time to Repair(h)]]</f>
        <v>4.57589819808</v>
      </c>
    </row>
    <row r="7" spans="1:28" x14ac:dyDescent="0.25">
      <c r="A7" s="24" t="s">
        <v>8</v>
      </c>
      <c r="B7" s="24" t="s">
        <v>5</v>
      </c>
      <c r="C7" s="23">
        <v>4</v>
      </c>
      <c r="D7" s="23">
        <v>102</v>
      </c>
      <c r="E7">
        <v>0</v>
      </c>
      <c r="F7" s="1">
        <f>Table2[[#This Row],[Floor Space per component]]*Table2[[#This Row],[Quantity]]</f>
        <v>0</v>
      </c>
      <c r="G7" s="1">
        <v>10.6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50</v>
      </c>
      <c r="L7">
        <f>1.2*Table2[[#This Row],[Quantity]]</f>
        <v>122.39999999999999</v>
      </c>
      <c r="M7" s="1">
        <f>Table2[[#This Row],[Energy consumption in W]]*24*365/1000</f>
        <v>1072.2239999999999</v>
      </c>
      <c r="N7" s="8">
        <f t="shared" si="0"/>
        <v>3.0000000000000001E-3</v>
      </c>
      <c r="O7" s="2">
        <f>Table2[[#This Row],[Yearly Energy Consumption in kWh]]*Table2[[#This Row],[CU/kWh]]</f>
        <v>3.216672</v>
      </c>
      <c r="P7">
        <v>1.5</v>
      </c>
      <c r="Q7">
        <v>20</v>
      </c>
      <c r="R7" s="8">
        <f>Table2[[#This Row],[Quantity]]*(Table2[[#This Row],[FIT]]*24*365)/1000000000</f>
        <v>4.4676E-2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8">
        <v>5</v>
      </c>
      <c r="W7" s="2">
        <f>Table2[[#This Row],[Cost per hour]]*Table2[[#This Row],[Total Time to Repair(h)]]*Table2[[#This Row],[Failures per year]]</f>
        <v>3.3507000000000002E-2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Table2[[#This Row],[Percentage of Business Users]]*Table2[[#This Row],[SLA CU per hour]]*Table2[[#This Row],[Failures per year]]*Table2[[#This Row],[Total Time to Repair(h)]]</f>
        <v>4.6909800000000008E-2</v>
      </c>
      <c r="AB7" s="8">
        <f>Table2[[#This Row],[Percentage of ITS and business users]]*Table2[[#This Row],[SLA CU per hour]]*Table2[[#This Row],[Failures per year]]*Table2[[#This Row],[Total Time to Repair(h)]]</f>
        <v>4.72716756E-2</v>
      </c>
    </row>
    <row r="8" spans="1:28" x14ac:dyDescent="0.25">
      <c r="A8" s="24" t="s">
        <v>10</v>
      </c>
      <c r="B8" s="24" t="s">
        <v>11</v>
      </c>
      <c r="C8" s="23">
        <v>1</v>
      </c>
      <c r="D8" s="23">
        <v>837</v>
      </c>
      <c r="E8">
        <v>0.5</v>
      </c>
      <c r="F8" s="1">
        <f>Table2[[#This Row],[Floor Space per component]]*Table2[[#This Row],[Quantity]]</f>
        <v>418.5</v>
      </c>
      <c r="G8" s="1">
        <v>4</v>
      </c>
      <c r="H8" s="2">
        <f>Table2[[#This Row],[Rent per sqm per year]]*Table2[[#This Row],[Total Floor Space]]</f>
        <v>1674</v>
      </c>
      <c r="I8">
        <v>2488</v>
      </c>
      <c r="J8">
        <v>6</v>
      </c>
      <c r="K8">
        <v>256</v>
      </c>
      <c r="L8">
        <f>4*Table2[[#This Row],[Quantity]]</f>
        <v>3348</v>
      </c>
      <c r="M8" s="1">
        <f>Table2[[#This Row],[Energy consumption in W]]*24*365/1000</f>
        <v>29328.48</v>
      </c>
      <c r="N8" s="8">
        <f t="shared" si="0"/>
        <v>3.0000000000000001E-3</v>
      </c>
      <c r="O8" s="2">
        <f>Table2[[#This Row],[Yearly Energy Consumption in kWh]]*Table2[[#This Row],[CU/kWh]]</f>
        <v>87.985439999999997</v>
      </c>
      <c r="P8">
        <v>1.5</v>
      </c>
      <c r="Q8">
        <v>20</v>
      </c>
      <c r="R8" s="8">
        <f>Table2[[#This Row],[Quantity]]*(Table2[[#This Row],[FIT]]*24*365)/1000000000</f>
        <v>1.87702272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8">
        <v>5</v>
      </c>
      <c r="W8" s="2">
        <f>Table2[[#This Row],[Cost per hour]]*Table2[[#This Row],[Total Time to Repair(h)]]*Table2[[#This Row],[Failures per year]]</f>
        <v>57.718448639999998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Table2[[#This Row],[Percentage of Business Users]]*Table2[[#This Row],[SLA CU per hour]]*Table2[[#This Row],[Failures per year]]*Table2[[#This Row],[Total Time to Repair(h)]]</f>
        <v>80.805828096000027</v>
      </c>
      <c r="AB8" s="8">
        <f>Table2[[#This Row],[Percentage of ITS and business users]]*Table2[[#This Row],[SLA CU per hour]]*Table2[[#This Row],[Failures per year]]*Table2[[#This Row],[Total Time to Repair(h)]]</f>
        <v>81.429187341312002</v>
      </c>
    </row>
    <row r="9" spans="1:28" x14ac:dyDescent="0.25">
      <c r="A9" s="24" t="s">
        <v>10</v>
      </c>
      <c r="B9" s="24" t="s">
        <v>12</v>
      </c>
      <c r="C9" s="23">
        <f>24</f>
        <v>24</v>
      </c>
      <c r="D9" s="23">
        <v>837</v>
      </c>
      <c r="E9">
        <v>0.5</v>
      </c>
      <c r="F9" s="1">
        <f>Table2[[#This Row],[Floor Space per component]]*Table2[[#This Row],[Quantity]]</f>
        <v>418.5</v>
      </c>
      <c r="G9" s="1">
        <v>4</v>
      </c>
      <c r="H9" s="2">
        <f>Table2[[#This Row],[Rent per sqm per year]]*Table2[[#This Row],[Total Floor Space]]</f>
        <v>1674</v>
      </c>
      <c r="I9">
        <v>207.83333333333331</v>
      </c>
      <c r="J9">
        <v>24</v>
      </c>
      <c r="K9">
        <v>512</v>
      </c>
      <c r="L9">
        <f>50*Table2[[#This Row],[Quantity]]</f>
        <v>41850</v>
      </c>
      <c r="M9" s="1">
        <f>Table2[[#This Row],[Energy consumption in W]]*24*365/1000</f>
        <v>366606</v>
      </c>
      <c r="N9" s="8">
        <f t="shared" si="0"/>
        <v>3.0000000000000001E-3</v>
      </c>
      <c r="O9" s="2">
        <f>Table2[[#This Row],[Yearly Energy Consumption in kWh]]*Table2[[#This Row],[CU/kWh]]</f>
        <v>1099.818</v>
      </c>
      <c r="P9">
        <v>1.5</v>
      </c>
      <c r="Q9">
        <v>20</v>
      </c>
      <c r="R9" s="8">
        <f>Table2[[#This Row],[Quantity]]*(Table2[[#This Row],[FIT]]*24*365)/1000000000</f>
        <v>3.7540454400000001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8">
        <v>5</v>
      </c>
      <c r="W9" s="2">
        <f>Table2[[#This Row],[Cost per hour]]*Table2[[#This Row],[Total Time to Repair(h)]]*Table2[[#This Row],[Failures per year]]</f>
        <v>453.30098687999998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Table2[[#This Row],[Percentage of Business Users]]*Table2[[#This Row],[SLA CU per hour]]*Table2[[#This Row],[Failures per year]]*Table2[[#This Row],[Total Time to Repair(h)]]</f>
        <v>634.62138163200007</v>
      </c>
      <c r="AB9" s="8">
        <f>Table2[[#This Row],[Percentage of ITS and business users]]*Table2[[#This Row],[SLA CU per hour]]*Table2[[#This Row],[Failures per year]]*Table2[[#This Row],[Total Time to Repair(h)]]</f>
        <v>639.51703229030397</v>
      </c>
    </row>
    <row r="10" spans="1:28" x14ac:dyDescent="0.25">
      <c r="A10" s="24" t="s">
        <v>13</v>
      </c>
      <c r="B10" s="24" t="s">
        <v>14</v>
      </c>
      <c r="C10" s="23">
        <v>0</v>
      </c>
      <c r="D10" s="23">
        <v>8900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ref="N10" si="2">0.3048/50</f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8">
        <v>5</v>
      </c>
      <c r="W10" s="2">
        <f>Table2[[#This Row],[Cost per hour]]*Table2[[#This Row],[Total Time to Repair(h)]]*Table2[[#This Row],[Failures per year]]</f>
        <v>0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Table2[[#This Row],[Percentage of Business Users]]*Table2[[#This Row],[SLA CU per hour]]*Table2[[#This Row],[Failures per year]]*Table2[[#This Row],[Total Time to Repair(h)]]</f>
        <v>0</v>
      </c>
      <c r="AB10" s="8">
        <f>Table2[[#This Row],[Percentage of ITS and business users]]*Table2[[#This Row],[SLA CU per hour]]*Table2[[#This Row],[Failures per year]]*Table2[[#This Row],[Total Time to Repair(h)]]</f>
        <v>0</v>
      </c>
    </row>
    <row r="11" spans="1:28" x14ac:dyDescent="0.25">
      <c r="H11" s="27">
        <f>SUM(Table2[Total Rent cost per year])</f>
        <v>4249</v>
      </c>
      <c r="O11" s="27">
        <f>SUM(Table2[Energy Cost per year in CU])</f>
        <v>1196.3060711999999</v>
      </c>
      <c r="W11" s="27">
        <f>SUM(Table2[FM Cost])+L20</f>
        <v>602.2351424403879</v>
      </c>
      <c r="AA11">
        <f>SUBTOTAL(109,Table2[FM Penalty Business])</f>
        <v>720.4231340880001</v>
      </c>
      <c r="AB11">
        <f>SUBTOTAL(109,Table2[FM Penalty ITS])</f>
        <v>725.98068397953602</v>
      </c>
    </row>
    <row r="14" spans="1:28" x14ac:dyDescent="0.25">
      <c r="A14" t="s">
        <v>39</v>
      </c>
      <c r="B14" t="s">
        <v>17</v>
      </c>
      <c r="C14" t="s">
        <v>16</v>
      </c>
      <c r="D14" t="s">
        <v>40</v>
      </c>
      <c r="E14" t="s">
        <v>30</v>
      </c>
      <c r="F14" s="1" t="s">
        <v>44</v>
      </c>
      <c r="G14" s="1" t="s">
        <v>45</v>
      </c>
      <c r="H14" s="1" t="s">
        <v>47</v>
      </c>
      <c r="I14" t="s">
        <v>46</v>
      </c>
      <c r="J14" t="s">
        <v>48</v>
      </c>
      <c r="K14" t="s">
        <v>49</v>
      </c>
      <c r="L14" t="s">
        <v>50</v>
      </c>
      <c r="M14" t="s">
        <v>97</v>
      </c>
      <c r="N14" t="s">
        <v>103</v>
      </c>
      <c r="O14" t="s">
        <v>104</v>
      </c>
      <c r="P14" t="s">
        <v>105</v>
      </c>
      <c r="Q14" t="s">
        <v>106</v>
      </c>
    </row>
    <row r="15" spans="1:28" x14ac:dyDescent="0.25">
      <c r="A15" t="s">
        <v>41</v>
      </c>
      <c r="B15">
        <f>570*B29/1000</f>
        <v>13420.272599445709</v>
      </c>
      <c r="C15">
        <v>24</v>
      </c>
      <c r="D15">
        <v>1</v>
      </c>
      <c r="E15">
        <v>5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14.166171350522902</v>
      </c>
      <c r="M15">
        <v>2</v>
      </c>
      <c r="N15">
        <v>7.0000000000000007E-2</v>
      </c>
      <c r="O15">
        <f>0.07+2*0.00027</f>
        <v>7.0540000000000005E-2</v>
      </c>
      <c r="P15">
        <f>N15*M15*J15*B15*24*365/1000000000</f>
        <v>0.39665279781464136</v>
      </c>
      <c r="Q15">
        <f>O15*M15*J15*B15*24*365/1000000000</f>
        <v>0.39971269082635419</v>
      </c>
    </row>
    <row r="16" spans="1:28" x14ac:dyDescent="0.25">
      <c r="A16" t="s">
        <v>42</v>
      </c>
      <c r="B16">
        <f>570*C29/1000</f>
        <v>23317.071158424002</v>
      </c>
      <c r="C16">
        <v>24</v>
      </c>
      <c r="D16">
        <v>1</v>
      </c>
      <c r="E16">
        <v>5</v>
      </c>
      <c r="F16" s="1">
        <v>2</v>
      </c>
      <c r="G16" s="1">
        <v>1</v>
      </c>
      <c r="H16" s="1">
        <f t="shared" ref="H16:H17" si="3">F16/20</f>
        <v>0.1</v>
      </c>
      <c r="I16" s="1">
        <f t="shared" ref="I16:I17" si="4">G16/20</f>
        <v>0.05</v>
      </c>
      <c r="J16" s="1">
        <f t="shared" ref="J16:J17" si="5">C16+2*H16</f>
        <v>24.2</v>
      </c>
      <c r="K16" s="1">
        <f t="shared" ref="K16:K17" si="6">C16+2*I16</f>
        <v>24.1</v>
      </c>
      <c r="L16" s="1">
        <f t="shared" ref="L16:L17" si="7">B16*24*365*J16*E16/1000000000</f>
        <v>24.715162745083102</v>
      </c>
      <c r="M16">
        <v>2</v>
      </c>
      <c r="N16" s="8">
        <v>7.0000000000000007E-2</v>
      </c>
      <c r="O16" s="8">
        <f t="shared" ref="O16:O17" si="8">0.07+2*0.00027</f>
        <v>7.0540000000000005E-2</v>
      </c>
      <c r="P16" s="8">
        <f t="shared" ref="P16:P17" si="9">N16*M16*J16*B16*24*365/1000000000</f>
        <v>0.692024556862327</v>
      </c>
      <c r="Q16" s="8">
        <f t="shared" ref="Q16:Q17" si="10">O16*M16*J16*B16*24*365/1000000000</f>
        <v>0.69736303201526484</v>
      </c>
    </row>
    <row r="17" spans="1:19" x14ac:dyDescent="0.25">
      <c r="A17" t="s">
        <v>43</v>
      </c>
      <c r="B17">
        <f>570*D29/1000</f>
        <v>45630.151419250979</v>
      </c>
      <c r="C17">
        <v>24</v>
      </c>
      <c r="D17">
        <v>1</v>
      </c>
      <c r="E17">
        <v>5</v>
      </c>
      <c r="F17" s="1">
        <v>4</v>
      </c>
      <c r="G17" s="1">
        <v>1.5</v>
      </c>
      <c r="H17" s="1">
        <f t="shared" si="3"/>
        <v>0.2</v>
      </c>
      <c r="I17" s="1">
        <f t="shared" si="4"/>
        <v>7.4999999999999997E-2</v>
      </c>
      <c r="J17" s="1">
        <f t="shared" si="5"/>
        <v>24.4</v>
      </c>
      <c r="K17" s="1">
        <f t="shared" si="6"/>
        <v>24.15</v>
      </c>
      <c r="L17" s="1">
        <f t="shared" si="7"/>
        <v>48.76585542478189</v>
      </c>
      <c r="M17">
        <v>2</v>
      </c>
      <c r="N17" s="8">
        <v>7.0000000000000007E-2</v>
      </c>
      <c r="O17" s="8">
        <f t="shared" si="8"/>
        <v>7.0540000000000005E-2</v>
      </c>
      <c r="P17" s="8">
        <f t="shared" si="9"/>
        <v>1.3654439518938932</v>
      </c>
      <c r="Q17" s="8">
        <f t="shared" si="10"/>
        <v>1.3759773766656462</v>
      </c>
    </row>
    <row r="20" spans="1:19" x14ac:dyDescent="0.25">
      <c r="K20" t="s">
        <v>51</v>
      </c>
      <c r="L20">
        <f>SUM(L15:L17)</f>
        <v>87.647189520387897</v>
      </c>
    </row>
    <row r="25" spans="1:19" x14ac:dyDescent="0.25">
      <c r="E25" t="s">
        <v>116</v>
      </c>
      <c r="H25" s="1" t="s">
        <v>82</v>
      </c>
      <c r="I25" t="s">
        <v>98</v>
      </c>
      <c r="J25" t="s">
        <v>99</v>
      </c>
      <c r="K25" t="s">
        <v>100</v>
      </c>
    </row>
    <row r="26" spans="1:19" x14ac:dyDescent="0.25">
      <c r="E26">
        <v>8813</v>
      </c>
      <c r="H26" s="1" t="s">
        <v>83</v>
      </c>
      <c r="I26">
        <f>I36/$E$26</f>
        <v>0.48212867355043687</v>
      </c>
      <c r="J26" s="8">
        <f t="shared" ref="J26:K26" si="11">J36/$E$26</f>
        <v>0.48212867355043687</v>
      </c>
      <c r="K26" s="8">
        <f t="shared" si="11"/>
        <v>0.48212867355043687</v>
      </c>
    </row>
    <row r="27" spans="1:19" x14ac:dyDescent="0.25">
      <c r="H27" s="1" t="s">
        <v>84</v>
      </c>
      <c r="I27" s="8">
        <f t="shared" ref="I27:K30" si="12">I37/$E$26</f>
        <v>0.13574334179053671</v>
      </c>
      <c r="J27" s="8">
        <f t="shared" si="12"/>
        <v>0.13574334179053671</v>
      </c>
      <c r="K27" s="8">
        <f t="shared" si="12"/>
        <v>0.13574334179053671</v>
      </c>
      <c r="Q27" t="s">
        <v>52</v>
      </c>
    </row>
    <row r="28" spans="1:19" x14ac:dyDescent="0.25">
      <c r="H28" s="1" t="s">
        <v>85</v>
      </c>
      <c r="I28" s="8">
        <f t="shared" si="12"/>
        <v>6.8334862412389411E-2</v>
      </c>
      <c r="J28" s="8">
        <f t="shared" si="12"/>
        <v>0.16002558334832362</v>
      </c>
      <c r="K28" s="8">
        <f t="shared" si="12"/>
        <v>0.16065619152845931</v>
      </c>
      <c r="Q28">
        <f>Table2[[#Totals],[Total Rent cost per year]]+Table2[[#Totals],[Energy Cost per year in CU]]+Table2[[#Totals],[FM Cost]]+L20</f>
        <v>6135.1884031607751</v>
      </c>
    </row>
    <row r="29" spans="1:19" x14ac:dyDescent="0.25">
      <c r="B29" s="9">
        <v>23544.337893764401</v>
      </c>
      <c r="C29" s="9">
        <v>40907.1423832</v>
      </c>
      <c r="D29" s="9">
        <v>80052.897226756104</v>
      </c>
      <c r="H29" s="1" t="s">
        <v>86</v>
      </c>
      <c r="I29" s="8">
        <f t="shared" si="12"/>
        <v>3.4310343887668147E-2</v>
      </c>
      <c r="J29" s="8">
        <f t="shared" si="12"/>
        <v>3.889487993446486E-2</v>
      </c>
      <c r="K29" s="8">
        <f t="shared" si="12"/>
        <v>3.8926410343471642E-2</v>
      </c>
      <c r="S29">
        <v>11727.88547395296</v>
      </c>
    </row>
    <row r="30" spans="1:19" x14ac:dyDescent="0.25">
      <c r="H30" s="1" t="s">
        <v>87</v>
      </c>
      <c r="I30" s="8">
        <f t="shared" si="12"/>
        <v>4.8034481442735408E-2</v>
      </c>
      <c r="J30" s="8">
        <f t="shared" si="12"/>
        <v>5.4452831908250801E-2</v>
      </c>
      <c r="K30" s="8">
        <f t="shared" si="12"/>
        <v>5.4496974480860307E-2</v>
      </c>
    </row>
    <row r="31" spans="1:19" x14ac:dyDescent="0.25">
      <c r="I31" s="28">
        <f>SUM(I26:I30)</f>
        <v>0.76855170308376652</v>
      </c>
      <c r="J31" s="28">
        <f>SUM(J26:J30)</f>
        <v>0.87124531053201282</v>
      </c>
      <c r="K31" s="28">
        <f>SUM(K26:K30)</f>
        <v>0.8719515916937649</v>
      </c>
    </row>
    <row r="35" spans="8:11" x14ac:dyDescent="0.25">
      <c r="H35" s="8" t="s">
        <v>82</v>
      </c>
      <c r="I35" s="8" t="s">
        <v>98</v>
      </c>
      <c r="J35" s="8" t="s">
        <v>99</v>
      </c>
      <c r="K35" s="8" t="s">
        <v>100</v>
      </c>
    </row>
    <row r="36" spans="8:11" x14ac:dyDescent="0.25">
      <c r="H36" s="8" t="s">
        <v>83</v>
      </c>
      <c r="I36" s="8">
        <f>Table2[[#Totals],[Total Rent cost per year]]</f>
        <v>4249</v>
      </c>
      <c r="J36" s="8">
        <f>Table2[[#Totals],[Total Rent cost per year]]</f>
        <v>4249</v>
      </c>
      <c r="K36" s="8">
        <f>Table2[[#Totals],[Total Rent cost per year]]</f>
        <v>4249</v>
      </c>
    </row>
    <row r="37" spans="8:11" x14ac:dyDescent="0.25">
      <c r="H37" s="8" t="s">
        <v>84</v>
      </c>
      <c r="I37" s="8">
        <f>Table2[[#Totals],[Energy Cost per year in CU]]</f>
        <v>1196.3060711999999</v>
      </c>
      <c r="J37" s="8">
        <f>Table2[[#Totals],[Energy Cost per year in CU]]</f>
        <v>1196.3060711999999</v>
      </c>
      <c r="K37" s="8">
        <f>Table2[[#Totals],[Energy Cost per year in CU]]</f>
        <v>1196.3060711999999</v>
      </c>
    </row>
    <row r="38" spans="8:11" x14ac:dyDescent="0.25">
      <c r="H38" s="8" t="s">
        <v>85</v>
      </c>
      <c r="I38" s="8">
        <f>Table2[[#Totals],[FM Cost]]+L30</f>
        <v>602.2351424403879</v>
      </c>
      <c r="J38" s="8">
        <f>Table2[[#Totals],[FM Cost]]+$L$20+P25+P26+P27+Table2[[#Totals],[FM Penalty Business]]</f>
        <v>1410.305466048776</v>
      </c>
      <c r="K38" s="8">
        <f>Table2[[#Totals],[FM Cost]]+$L$20+Table2[[#Totals],[FM Penalty ITS]]</f>
        <v>1415.8630159403119</v>
      </c>
    </row>
    <row r="39" spans="8:11" x14ac:dyDescent="0.25">
      <c r="H39" s="8" t="s">
        <v>86</v>
      </c>
      <c r="I39" s="8">
        <f>0.05*SUM(I36:I38)</f>
        <v>302.37706068201936</v>
      </c>
      <c r="J39" s="8">
        <f>0.05*SUM(J36:J38)</f>
        <v>342.78057686243881</v>
      </c>
      <c r="K39" s="8">
        <f>0.05*SUM(K36:K38)</f>
        <v>343.05845435701559</v>
      </c>
    </row>
    <row r="40" spans="8:11" x14ac:dyDescent="0.25">
      <c r="H40" s="8" t="s">
        <v>87</v>
      </c>
      <c r="I40" s="8">
        <f>0.07*SUM(I36:I38)</f>
        <v>423.32788495482714</v>
      </c>
      <c r="J40" s="8">
        <f>0.07*SUM(J36:J38)</f>
        <v>479.89280760741434</v>
      </c>
      <c r="K40" s="8">
        <f>0.07*SUM(K36:K38)</f>
        <v>480.28183609982187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F1" workbookViewId="0">
      <selection activeCell="J28" sqref="J28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4" customWidth="1"/>
    <col min="28" max="28" width="11.28515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t="s">
        <v>3</v>
      </c>
      <c r="B2" t="s">
        <v>58</v>
      </c>
      <c r="C2">
        <v>80</v>
      </c>
      <c r="D2" s="23">
        <v>15</v>
      </c>
      <c r="E2">
        <v>5</v>
      </c>
      <c r="F2">
        <f>Table3[[#This Row],[Floor Space per component]]*Table3[[#This Row],[Quantity]]</f>
        <v>75</v>
      </c>
      <c r="G2">
        <v>10.6</v>
      </c>
      <c r="H2">
        <f>Table3[[#This Row],[Rent per sqm per year]]*Table3[[#This Row],[Total Floor Space]]</f>
        <v>795</v>
      </c>
      <c r="I2">
        <f>0.5+(1/6)*Table3[[#This Row],[Quantity]]</f>
        <v>3</v>
      </c>
      <c r="J2">
        <v>2</v>
      </c>
      <c r="K2">
        <v>256</v>
      </c>
      <c r="L2">
        <f>100*Table3[[#This Row],[Quantity]]</f>
        <v>1500</v>
      </c>
      <c r="M2">
        <f>Table3[[#This Row],[Energy consumption in W]]*24*365/1000</f>
        <v>13140</v>
      </c>
      <c r="N2">
        <f>0.15/50</f>
        <v>3.0000000000000001E-3</v>
      </c>
      <c r="O2">
        <f>Table3[[#This Row],[Yearly Energy Consumption in kWh]]*Table3[[#This Row],[CU/kWh]]</f>
        <v>39.42</v>
      </c>
      <c r="P2">
        <v>0</v>
      </c>
      <c r="Q2">
        <v>20</v>
      </c>
      <c r="R2">
        <f>Table3[[#This Row],[Quantity]]*(Table3[[#This Row],[FIT]]*24*365)/1000000000</f>
        <v>3.3638399999999999E-2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v>5</v>
      </c>
      <c r="W2">
        <f>Table3[[#This Row],[Cost per hour]]*Table3[[#This Row],[Total Time to Repair(h)]]*Table3[[#This Row],[Failures per year]]</f>
        <v>0.33638400000000002</v>
      </c>
      <c r="X2">
        <v>100</v>
      </c>
      <c r="Y2">
        <v>7.0000000000000007E-2</v>
      </c>
      <c r="Z2">
        <f>0.07+2*0.00027</f>
        <v>7.0540000000000005E-2</v>
      </c>
      <c r="AA2">
        <f>Table3[[#This Row],[Percentage of Business Users]]*Table3[[#This Row],[SLA CU per hour]]*Table3[[#This Row],[Failures per year]]*Table3[[#This Row],[Total Time to Repair(h)]]</f>
        <v>0.47093760000000007</v>
      </c>
      <c r="AB2">
        <f>Table3[[#This Row],[Percentage of ITS and business users]]*Table3[[#This Row],[SLA CU per hour]]*Table3[[#This Row],[Failures per year]]*Table3[[#This Row],[Total Time to Repair(h)]]</f>
        <v>0.47457054720000003</v>
      </c>
    </row>
    <row r="3" spans="1:28" x14ac:dyDescent="0.25">
      <c r="A3" t="s">
        <v>3</v>
      </c>
      <c r="B3" t="s">
        <v>59</v>
      </c>
      <c r="C3">
        <v>12</v>
      </c>
      <c r="D3" s="23">
        <f>15*6</f>
        <v>90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405</v>
      </c>
      <c r="M3" s="6">
        <f>Table3[[#This Row],[Energy consumption in W]]*24*365/1000</f>
        <v>3547.8</v>
      </c>
      <c r="N3" s="8">
        <f t="shared" ref="N3:N10" si="0">0.15/50</f>
        <v>3.0000000000000001E-3</v>
      </c>
      <c r="O3" s="6">
        <f>Table3[[#This Row],[Yearly Energy Consumption in kWh]]*Table3[[#This Row],[CU/kWh]]</f>
        <v>10.643400000000002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8">
        <v>5</v>
      </c>
      <c r="W3" s="6">
        <f>Table3[[#This Row],[Cost per hour]]*Table3[[#This Row],[Total Time to Repair(h)]]*Table3[[#This Row],[Failures per year]]</f>
        <v>0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Table3[[#This Row],[Percentage of Business Users]]*Table3[[#This Row],[SLA CU per hour]]*Table3[[#This Row],[Failures per year]]*Table3[[#This Row],[Total Time to Repair(h)]]</f>
        <v>0</v>
      </c>
      <c r="AB3" s="8">
        <f>Table3[[#This Row],[Percentage of ITS and business users]]*Table3[[#This Row],[SLA CU per hour]]*Table3[[#This Row],[Failures per year]]*Table3[[#This Row],[Total Time to Repair(h)]]</f>
        <v>0</v>
      </c>
    </row>
    <row r="4" spans="1:28" x14ac:dyDescent="0.25">
      <c r="A4" t="s">
        <v>3</v>
      </c>
      <c r="B4" t="s">
        <v>6</v>
      </c>
      <c r="C4">
        <v>1.1111111111111112E-2</v>
      </c>
      <c r="D4" s="23">
        <v>880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880</v>
      </c>
      <c r="M4" s="6">
        <f>Table3[[#This Row],[Energy consumption in W]]*24*365/1000</f>
        <v>7708.8</v>
      </c>
      <c r="N4" s="8">
        <f t="shared" si="0"/>
        <v>3.0000000000000001E-3</v>
      </c>
      <c r="O4" s="6">
        <f>Table3[[#This Row],[Yearly Energy Consumption in kWh]]*Table3[[#This Row],[CU/kWh]]</f>
        <v>23.1264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8">
        <v>5</v>
      </c>
      <c r="W4" s="6">
        <f>Table3[[#This Row],[Cost per hour]]*Table3[[#This Row],[Total Time to Repair(h)]]*Table3[[#This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Table3[[#This Row],[Percentage of Business Users]]*Table3[[#This Row],[SLA CU per hour]]*Table3[[#This Row],[Failures per year]]*Table3[[#This Row],[Total Time to Repair(h)]]</f>
        <v>0</v>
      </c>
      <c r="AB4" s="8">
        <f>Table3[[#This Row],[Percentage of ITS and business users]]*Table3[[#This Row],[SLA CU per hour]]*Table3[[#This Row],[Failures per year]]*Table3[[#This Row],[Total Time to Repair(h)]]</f>
        <v>0</v>
      </c>
    </row>
    <row r="5" spans="1:28" x14ac:dyDescent="0.25">
      <c r="A5" t="s">
        <v>3</v>
      </c>
      <c r="B5" t="s">
        <v>7</v>
      </c>
      <c r="C5">
        <v>200</v>
      </c>
      <c r="D5" s="23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8">
        <f t="shared" si="0"/>
        <v>3.0000000000000001E-3</v>
      </c>
      <c r="O5" s="6">
        <f>Table3[[#This Row],[Yearly Energy Consumption in kWh]]*Table3[[#This Row],[CU/kWh]]</f>
        <v>2.6280000000000001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8">
        <v>5</v>
      </c>
      <c r="W5" s="6">
        <f>Table3[[#This Row],[Cost per hour]]*Table3[[#This Row],[Total Time to Repair(h)]]*Table3[[#This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Table3[[#This Row],[Percentage of Business Users]]*Table3[[#This Row],[SLA CU per hour]]*Table3[[#This Row],[Failures per year]]*Table3[[#This Row],[Total Time to Repair(h)]]</f>
        <v>0</v>
      </c>
      <c r="AB5" s="8">
        <f>Table3[[#This Row],[Percentage of ITS and business users]]*Table3[[#This Row],[SLA CU per hour]]*Table3[[#This Row],[Failures per year]]*Table3[[#This Row],[Total Time to Repair(h)]]</f>
        <v>0</v>
      </c>
    </row>
    <row r="6" spans="1:28" x14ac:dyDescent="0.25">
      <c r="A6" t="s">
        <v>8</v>
      </c>
      <c r="B6" t="s">
        <v>9</v>
      </c>
      <c r="C6">
        <v>1.8</v>
      </c>
      <c r="D6" s="23">
        <f>2*34</f>
        <v>68</v>
      </c>
      <c r="E6">
        <v>0.25</v>
      </c>
      <c r="F6" s="6">
        <f>Table3[[#This Row],[Floor Space per component]]*Table3[[#This Row],[Quantity]]</f>
        <v>17</v>
      </c>
      <c r="G6">
        <v>10.6</v>
      </c>
      <c r="H6" s="6">
        <f>Table3[[#This Row],[Rent per sqm per year]]*Table3[[#This Row],[Total Floor Space]]</f>
        <v>180.2</v>
      </c>
      <c r="I6">
        <f>1/6*(1+Table3[[#This Row],[Quantity]])</f>
        <v>11.5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8">
        <f t="shared" si="0"/>
        <v>3.0000000000000001E-3</v>
      </c>
      <c r="O6" s="6">
        <f>Table3[[#This Row],[Yearly Energy Consumption in kWh]]*Table3[[#This Row],[CU/kWh]]</f>
        <v>0</v>
      </c>
      <c r="P6">
        <v>2</v>
      </c>
      <c r="Q6" s="6">
        <v>20</v>
      </c>
      <c r="R6" s="8">
        <f>Table3[[#This Row],[Quantity]]*(Table3[[#This Row],[FIT]]*24*365)/1000000000</f>
        <v>2.9784000000000001E-2</v>
      </c>
      <c r="S6" s="6">
        <f>2*Table3[[#This Row],[Mean dist in km from CO]]/Table3[[#This Row],[Avg Travel Speed]]</f>
        <v>0.2</v>
      </c>
      <c r="T6" s="6">
        <f>Table3[[#This Row],[MTTR]]+Table3[[#This Row],[Twice Travel Time]]</f>
        <v>6.2</v>
      </c>
      <c r="U6" s="6">
        <v>1</v>
      </c>
      <c r="V6" s="8">
        <v>5</v>
      </c>
      <c r="W6" s="6">
        <f>Table3[[#This Row],[Cost per hour]]*Table3[[#This Row],[Total Time to Repair(h)]]*Table3[[#This Row],[Failures per year]]</f>
        <v>0.92330400000000001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Table3[[#This Row],[Percentage of Business Users]]*Table3[[#This Row],[SLA CU per hour]]*Table3[[#This Row],[Failures per year]]*Table3[[#This Row],[Total Time to Repair(h)]]</f>
        <v>1.2926256000000003</v>
      </c>
      <c r="AB6" s="8">
        <f>Table3[[#This Row],[Percentage of ITS and business users]]*Table3[[#This Row],[SLA CU per hour]]*Table3[[#This Row],[Failures per year]]*Table3[[#This Row],[Total Time to Repair(h)]]</f>
        <v>1.3025972832000001</v>
      </c>
    </row>
    <row r="7" spans="1:28" x14ac:dyDescent="0.25">
      <c r="A7" t="s">
        <v>8</v>
      </c>
      <c r="B7" t="s">
        <v>59</v>
      </c>
      <c r="C7">
        <v>12</v>
      </c>
      <c r="D7" s="23">
        <f>2*34</f>
        <v>68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306</v>
      </c>
      <c r="M7" s="6">
        <f>Table3[[#This Row],[Energy consumption in W]]*24*365/1000</f>
        <v>2680.56</v>
      </c>
      <c r="N7" s="8">
        <f t="shared" si="0"/>
        <v>3.0000000000000001E-3</v>
      </c>
      <c r="O7" s="6">
        <f>Table3[[#This Row],[Yearly Energy Consumption in kWh]]*Table3[[#This Row],[CU/kWh]]</f>
        <v>8.0416799999999995</v>
      </c>
      <c r="P7">
        <v>2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0.2</v>
      </c>
      <c r="T7" s="6">
        <f>Table3[[#This Row],[MTTR]]+Table3[[#This Row],[Twice Travel Time]]</f>
        <v>0.2</v>
      </c>
      <c r="U7" s="6">
        <v>1</v>
      </c>
      <c r="V7" s="8">
        <v>5</v>
      </c>
      <c r="W7" s="6">
        <f>Table3[[#This Row],[Cost per hour]]*Table3[[#This Row],[Total Time to Repair(h)]]*Table3[[#This Row],[Failures per year]]</f>
        <v>0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Table3[[#This Row],[Percentage of Business Users]]*Table3[[#This Row],[SLA CU per hour]]*Table3[[#This Row],[Failures per year]]*Table3[[#This Row],[Total Time to Repair(h)]]</f>
        <v>0</v>
      </c>
      <c r="AB7" s="8">
        <f>Table3[[#This Row],[Percentage of ITS and business users]]*Table3[[#This Row],[SLA CU per hour]]*Table3[[#This Row],[Failures per year]]*Table3[[#This Row],[Total Time to Repair(h)]]</f>
        <v>0</v>
      </c>
    </row>
    <row r="8" spans="1:28" x14ac:dyDescent="0.25">
      <c r="A8" t="s">
        <v>10</v>
      </c>
      <c r="B8" t="s">
        <v>111</v>
      </c>
      <c r="C8">
        <v>1.8</v>
      </c>
      <c r="D8" s="23">
        <f>2*279</f>
        <v>558</v>
      </c>
      <c r="E8">
        <v>0.25</v>
      </c>
      <c r="F8" s="6">
        <f>Table3[[#This Row],[Floor Space per component]]*Table3[[#This Row],[Quantity]]</f>
        <v>139.5</v>
      </c>
      <c r="G8">
        <v>10.6</v>
      </c>
      <c r="H8" s="6">
        <f>Table3[[#This Row],[Rent per sqm per year]]*Table3[[#This Row],[Total Floor Space]]</f>
        <v>1478.7</v>
      </c>
      <c r="I8" s="6">
        <f>1/6*(1+Table3[[#This Row],[Quantity]])</f>
        <v>93.166666666666657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8">
        <f t="shared" si="0"/>
        <v>3.0000000000000001E-3</v>
      </c>
      <c r="O8" s="6">
        <f>Table3[[#This Row],[Yearly Energy Consumption in kWh]]*Table3[[#This Row],[CU/kWh]]</f>
        <v>0</v>
      </c>
      <c r="P8">
        <v>4</v>
      </c>
      <c r="Q8" s="6">
        <v>20</v>
      </c>
      <c r="R8" s="8">
        <f>Table3[[#This Row],[Quantity]]*(Table3[[#This Row],[FIT]]*24*365)/1000000000</f>
        <v>0.24440400000000001</v>
      </c>
      <c r="S8" s="6">
        <f>2*Table3[[#This Row],[Mean dist in km from CO]]/Table3[[#This Row],[Avg Travel Speed]]</f>
        <v>0.4</v>
      </c>
      <c r="T8" s="6">
        <f>Table3[[#This Row],[MTTR]]+Table3[[#This Row],[Twice Travel Time]]</f>
        <v>6.4</v>
      </c>
      <c r="U8" s="6">
        <v>1</v>
      </c>
      <c r="V8" s="8">
        <v>5</v>
      </c>
      <c r="W8" s="6">
        <f>Table3[[#This Row],[Cost per hour]]*Table3[[#This Row],[Total Time to Repair(h)]]*Table3[[#This Row],[Failures per year]]</f>
        <v>7.8209280000000003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Table3[[#This Row],[Percentage of Business Users]]*Table3[[#This Row],[SLA CU per hour]]*Table3[[#This Row],[Failures per year]]*Table3[[#This Row],[Total Time to Repair(h)]]</f>
        <v>10.949299200000002</v>
      </c>
      <c r="AB8" s="8">
        <f>Table3[[#This Row],[Percentage of ITS and business users]]*Table3[[#This Row],[SLA CU per hour]]*Table3[[#This Row],[Failures per year]]*Table3[[#This Row],[Total Time to Repair(h)]]</f>
        <v>11.033765222400001</v>
      </c>
    </row>
    <row r="9" spans="1:28" x14ac:dyDescent="0.25">
      <c r="A9" t="s">
        <v>13</v>
      </c>
      <c r="B9" t="s">
        <v>60</v>
      </c>
      <c r="C9">
        <v>10</v>
      </c>
      <c r="D9" s="23">
        <v>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0</v>
      </c>
      <c r="J9">
        <v>24</v>
      </c>
      <c r="K9">
        <v>512</v>
      </c>
      <c r="L9">
        <f>50*Table3[[#This Row],[Quantity]]</f>
        <v>0</v>
      </c>
      <c r="M9" s="6">
        <f>Table3[[#This Row],[Energy consumption in W]]*24*365/1000</f>
        <v>0</v>
      </c>
      <c r="N9" s="8">
        <f t="shared" si="0"/>
        <v>3.0000000000000001E-3</v>
      </c>
      <c r="O9" s="6">
        <f>Table3[[#This Row],[Yearly Energy Consumption in kWh]]*Table3[[#This Row],[CU/kWh]]</f>
        <v>0</v>
      </c>
      <c r="P9">
        <v>6</v>
      </c>
      <c r="Q9" s="6">
        <v>20</v>
      </c>
      <c r="R9" s="8">
        <f>Table3[[#This Row],[Quantity]]*(Table3[[#This Row],[FIT]]*24*365)/1000000000</f>
        <v>0</v>
      </c>
      <c r="S9" s="6">
        <f>2*Table3[[#This Row],[Mean dist in km from CO]]/Table3[[#This Row],[Avg Travel Speed]]</f>
        <v>0.6</v>
      </c>
      <c r="T9" s="6">
        <f>Table3[[#This Row],[MTTR]]+Table3[[#This Row],[Twice Travel Time]]</f>
        <v>24.6</v>
      </c>
      <c r="U9" s="6">
        <v>1</v>
      </c>
      <c r="V9" s="8">
        <v>5</v>
      </c>
      <c r="W9" s="6">
        <f>Table3[[#This Row],[Cost per hour]]*Table3[[#This Row],[Total Time to Repair(h)]]*Table3[[#This Row],[Failures per year]]</f>
        <v>0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Table3[[#This Row],[Percentage of Business Users]]*Table3[[#This Row],[SLA CU per hour]]*Table3[[#This Row],[Failures per year]]*Table3[[#This Row],[Total Time to Repair(h)]]</f>
        <v>0</v>
      </c>
      <c r="AB9" s="8">
        <f>Table3[[#This Row],[Percentage of ITS and business users]]*Table3[[#This Row],[SLA CU per hour]]*Table3[[#This Row],[Failures per year]]*Table3[[#This Row],[Total Time to Repair(h)]]</f>
        <v>0</v>
      </c>
    </row>
    <row r="10" spans="1:28" x14ac:dyDescent="0.25">
      <c r="A10" t="s">
        <v>13</v>
      </c>
      <c r="B10" t="s">
        <v>61</v>
      </c>
      <c r="C10">
        <v>2.1</v>
      </c>
      <c r="D10" s="23">
        <v>8900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8900</v>
      </c>
      <c r="J10">
        <v>6</v>
      </c>
      <c r="K10">
        <v>256</v>
      </c>
      <c r="L10">
        <v>0</v>
      </c>
      <c r="M10" s="6">
        <f>Table3[[#This Row],[Energy consumption in W]]*24*365/1000</f>
        <v>0</v>
      </c>
      <c r="N10" s="8">
        <f t="shared" si="0"/>
        <v>3.0000000000000001E-3</v>
      </c>
      <c r="O10" s="6">
        <f>Table3[[#This Row],[Yearly Energy Consumption in kWh]]*Table3[[#This Row],[CU/kWh]]</f>
        <v>0</v>
      </c>
      <c r="P10">
        <v>6</v>
      </c>
      <c r="Q10" s="6">
        <v>20</v>
      </c>
      <c r="R10" s="8">
        <f>Table3[[#This Row],[Quantity]]*(Table3[[#This Row],[FIT]]*24*365)/1000000000</f>
        <v>19.958784000000001</v>
      </c>
      <c r="S10" s="6">
        <f>2*Table3[[#This Row],[Mean dist in km from CO]]/Table3[[#This Row],[Avg Travel Speed]]</f>
        <v>0.6</v>
      </c>
      <c r="T10" s="6">
        <f>Table3[[#This Row],[MTTR]]+Table3[[#This Row],[Twice Travel Time]]</f>
        <v>6.6</v>
      </c>
      <c r="U10" s="6">
        <v>1</v>
      </c>
      <c r="V10" s="8">
        <v>5</v>
      </c>
      <c r="W10" s="6">
        <f>Table3[[#This Row],[Cost per hour]]*Table3[[#This Row],[Total Time to Repair(h)]]*Table3[[#This Row],[Failures per year]]</f>
        <v>658.63987200000008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Table3[[#This Row],[Percentage of Business Users]]*Table3[[#This Row],[SLA CU per hour]]*Table3[[#This Row],[Failures per year]]*Table3[[#This Row],[Total Time to Repair(h)]]</f>
        <v>922.09582080000018</v>
      </c>
      <c r="AB10" s="8">
        <f>Table3[[#This Row],[Percentage of ITS and business users]]*Table3[[#This Row],[SLA CU per hour]]*Table3[[#This Row],[Failures per year]]*Table3[[#This Row],[Total Time to Repair(h)]]</f>
        <v>929.20913141760002</v>
      </c>
    </row>
    <row r="11" spans="1:28" x14ac:dyDescent="0.25">
      <c r="H11">
        <f>SUM(Table3[Total Rent cost per year])</f>
        <v>2665.9</v>
      </c>
      <c r="O11">
        <f>SUBTOTAL(109,Table3[Energy Cost per year in CU])</f>
        <v>83.859480000000005</v>
      </c>
      <c r="W11">
        <f>SUBTOTAL(109,Table3[FM Cost])</f>
        <v>667.72048800000005</v>
      </c>
      <c r="AA11">
        <f>SUBTOTAL(109,Table3[FM Penalty Business])</f>
        <v>934.80868320000013</v>
      </c>
      <c r="AB11">
        <f>SUBTOTAL(109,Table3[FM Penalty ITS])</f>
        <v>942.02006447040003</v>
      </c>
    </row>
    <row r="14" spans="1:28" x14ac:dyDescent="0.25">
      <c r="A14" t="s">
        <v>38</v>
      </c>
      <c r="B14" t="s">
        <v>63</v>
      </c>
      <c r="C14" t="s">
        <v>64</v>
      </c>
      <c r="D14" t="s">
        <v>17</v>
      </c>
      <c r="E14" t="s">
        <v>65</v>
      </c>
      <c r="F14" t="s">
        <v>26</v>
      </c>
      <c r="G14" t="s">
        <v>66</v>
      </c>
      <c r="H14" t="s">
        <v>67</v>
      </c>
      <c r="I14" t="s">
        <v>68</v>
      </c>
    </row>
    <row r="15" spans="1:28" x14ac:dyDescent="0.25">
      <c r="B15" s="7">
        <f>B32/1000</f>
        <v>23.5443378937644</v>
      </c>
      <c r="C15">
        <v>570</v>
      </c>
      <c r="E15">
        <v>20</v>
      </c>
    </row>
    <row r="16" spans="1:28" x14ac:dyDescent="0.25">
      <c r="B16" s="7">
        <f>C32/1000</f>
        <v>40.907142383199997</v>
      </c>
      <c r="C16">
        <v>570</v>
      </c>
      <c r="E16">
        <v>20</v>
      </c>
    </row>
    <row r="17" spans="1:16" x14ac:dyDescent="0.25">
      <c r="B17" s="7">
        <f>D32/1000</f>
        <v>80.052897226756102</v>
      </c>
      <c r="C17">
        <v>570</v>
      </c>
      <c r="E17">
        <v>20</v>
      </c>
      <c r="M17" t="s">
        <v>69</v>
      </c>
    </row>
    <row r="18" spans="1:16" x14ac:dyDescent="0.25">
      <c r="M18">
        <f>Table3[[#Totals],[Total Rent cost per year]]+Table3[[#Totals],[Energy Cost per year in CU]]+Table3[[#Totals],[FM Cost]]+I23</f>
        <v>3505.1271575203882</v>
      </c>
    </row>
    <row r="19" spans="1:16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97</v>
      </c>
      <c r="K19" s="8" t="s">
        <v>103</v>
      </c>
      <c r="L19" s="8" t="s">
        <v>104</v>
      </c>
      <c r="M19" s="8" t="s">
        <v>105</v>
      </c>
      <c r="N19" s="8" t="s">
        <v>106</v>
      </c>
    </row>
    <row r="20" spans="1:16" x14ac:dyDescent="0.25">
      <c r="A20" t="s">
        <v>41</v>
      </c>
      <c r="B20">
        <f>C15*B15</f>
        <v>13420.272599445709</v>
      </c>
      <c r="C20" s="15">
        <v>24</v>
      </c>
      <c r="D20">
        <v>1</v>
      </c>
      <c r="E20">
        <v>5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14.166171350522903</v>
      </c>
      <c r="J20" s="8">
        <v>10</v>
      </c>
      <c r="K20" s="8">
        <v>7.0000000000000007E-2</v>
      </c>
      <c r="L20" s="8">
        <v>7.0250000000000007E-2</v>
      </c>
      <c r="M20" s="8">
        <f>K20*J20*H20*B20*24*365/1000000000</f>
        <v>1.9832639890732062</v>
      </c>
      <c r="N20" s="8">
        <f>L20*J20*H20*B20*24*365/1000000000</f>
        <v>1.9903470747484679</v>
      </c>
    </row>
    <row r="21" spans="1:16" x14ac:dyDescent="0.25">
      <c r="A21" t="s">
        <v>42</v>
      </c>
      <c r="B21" s="8">
        <f>C16*B16</f>
        <v>23317.071158423998</v>
      </c>
      <c r="C21" s="15">
        <v>24</v>
      </c>
      <c r="D21">
        <v>1</v>
      </c>
      <c r="E21">
        <v>5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24.715162745083102</v>
      </c>
      <c r="J21" s="8">
        <v>10</v>
      </c>
      <c r="K21" s="8">
        <v>7.0000000000000007E-2</v>
      </c>
      <c r="L21" s="8">
        <v>7.0250000000000007E-2</v>
      </c>
      <c r="M21" s="8">
        <f t="shared" ref="M21:M22" si="4">K21*J21*H21*B21*24*365/1000000000</f>
        <v>3.4601227843116349</v>
      </c>
      <c r="N21" s="8">
        <f t="shared" ref="N21:N22" si="5">L21*J21*H21*B21*24*365/1000000000</f>
        <v>3.4724803656841763</v>
      </c>
    </row>
    <row r="22" spans="1:16" x14ac:dyDescent="0.25">
      <c r="A22" t="s">
        <v>62</v>
      </c>
      <c r="B22" s="8">
        <f>C17*B17</f>
        <v>45630.151419250979</v>
      </c>
      <c r="C22" s="15">
        <v>24</v>
      </c>
      <c r="D22">
        <v>2</v>
      </c>
      <c r="E22">
        <v>5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48.765855424781897</v>
      </c>
      <c r="J22" s="8">
        <v>10</v>
      </c>
      <c r="K22" s="8">
        <v>7.0000000000000007E-2</v>
      </c>
      <c r="L22" s="8">
        <v>7.0250000000000007E-2</v>
      </c>
      <c r="M22" s="8">
        <f t="shared" si="4"/>
        <v>6.8272197594694664</v>
      </c>
      <c r="N22" s="8">
        <f t="shared" si="5"/>
        <v>6.8516026871818587</v>
      </c>
    </row>
    <row r="23" spans="1:16" x14ac:dyDescent="0.25">
      <c r="I23">
        <f>SUM(I20:I22)</f>
        <v>87.647189520387911</v>
      </c>
    </row>
    <row r="25" spans="1:16" x14ac:dyDescent="0.25">
      <c r="M25" s="8" t="s">
        <v>82</v>
      </c>
      <c r="N25" s="8" t="s">
        <v>98</v>
      </c>
      <c r="O25" t="s">
        <v>99</v>
      </c>
      <c r="P25" t="s">
        <v>107</v>
      </c>
    </row>
    <row r="26" spans="1:16" x14ac:dyDescent="0.25">
      <c r="M26" s="8" t="s">
        <v>83</v>
      </c>
      <c r="N26" s="8">
        <f>N36/$J$28</f>
        <v>0.30249631226597073</v>
      </c>
      <c r="O26" s="8">
        <f t="shared" ref="O26:P26" si="6">O36/$J$28</f>
        <v>0.30249631226597073</v>
      </c>
      <c r="P26" s="8">
        <f t="shared" si="6"/>
        <v>0.30249631226597073</v>
      </c>
    </row>
    <row r="27" spans="1:16" x14ac:dyDescent="0.25">
      <c r="J27" t="s">
        <v>117</v>
      </c>
      <c r="M27" s="8" t="s">
        <v>84</v>
      </c>
      <c r="N27" s="8">
        <f t="shared" ref="N27:P30" si="7">N37/$J$28</f>
        <v>9.5154294791784874E-3</v>
      </c>
      <c r="O27" s="8">
        <f t="shared" si="7"/>
        <v>9.5154294791784874E-3</v>
      </c>
      <c r="P27" s="8">
        <f t="shared" si="7"/>
        <v>9.5154294791784874E-3</v>
      </c>
    </row>
    <row r="28" spans="1:16" x14ac:dyDescent="0.25">
      <c r="J28" s="8">
        <v>8813</v>
      </c>
      <c r="M28" s="8" t="s">
        <v>85</v>
      </c>
      <c r="N28" s="8">
        <f t="shared" si="7"/>
        <v>8.5710618123271062E-2</v>
      </c>
      <c r="O28" s="8">
        <f t="shared" si="7"/>
        <v>0.19178218095091207</v>
      </c>
      <c r="P28" s="8">
        <f t="shared" si="7"/>
        <v>0.19265415086792598</v>
      </c>
    </row>
    <row r="29" spans="1:16" x14ac:dyDescent="0.25">
      <c r="M29" s="8" t="s">
        <v>86</v>
      </c>
      <c r="N29" s="8">
        <f t="shared" si="7"/>
        <v>1.9886117993421017E-2</v>
      </c>
      <c r="O29" s="8">
        <f t="shared" si="7"/>
        <v>2.5189696134803066E-2</v>
      </c>
      <c r="P29" s="8">
        <f t="shared" si="7"/>
        <v>2.5233294630653762E-2</v>
      </c>
    </row>
    <row r="30" spans="1:16" x14ac:dyDescent="0.25">
      <c r="M30" s="8" t="s">
        <v>87</v>
      </c>
      <c r="N30" s="8">
        <f t="shared" si="7"/>
        <v>2.7840565190789424E-2</v>
      </c>
      <c r="O30" s="8">
        <f t="shared" si="7"/>
        <v>3.5265574588724292E-2</v>
      </c>
      <c r="P30" s="8">
        <f t="shared" si="7"/>
        <v>3.5326612482915264E-2</v>
      </c>
    </row>
    <row r="31" spans="1:16" x14ac:dyDescent="0.25">
      <c r="N31" s="28">
        <f>SUM(N26:N30)</f>
        <v>0.44544904305263072</v>
      </c>
      <c r="O31" s="28">
        <f>SUM(O26:O30)</f>
        <v>0.56424919341958857</v>
      </c>
      <c r="P31" s="28">
        <f>SUM(P26:P30)</f>
        <v>0.56522579972664411</v>
      </c>
    </row>
    <row r="32" spans="1:16" x14ac:dyDescent="0.25">
      <c r="B32" s="9">
        <v>23544.337893764401</v>
      </c>
      <c r="C32" s="9">
        <v>40907.1423832</v>
      </c>
      <c r="D32" s="9">
        <v>80052.897226756104</v>
      </c>
    </row>
    <row r="35" spans="13:16" x14ac:dyDescent="0.25">
      <c r="M35" s="8" t="s">
        <v>82</v>
      </c>
      <c r="N35" s="8" t="s">
        <v>98</v>
      </c>
      <c r="O35" s="8" t="s">
        <v>99</v>
      </c>
      <c r="P35" s="8" t="s">
        <v>107</v>
      </c>
    </row>
    <row r="36" spans="13:16" x14ac:dyDescent="0.25">
      <c r="M36" s="8" t="s">
        <v>83</v>
      </c>
      <c r="N36" s="8">
        <f>Table3[[#Totals],[Total Rent cost per year]]</f>
        <v>2665.9</v>
      </c>
      <c r="O36" s="8">
        <f>Table3[[#Totals],[Total Rent cost per year]]</f>
        <v>2665.9</v>
      </c>
      <c r="P36" s="8">
        <f>Table3[[#Totals],[Total Rent cost per year]]</f>
        <v>2665.9</v>
      </c>
    </row>
    <row r="37" spans="13:16" x14ac:dyDescent="0.25">
      <c r="M37" s="8" t="s">
        <v>84</v>
      </c>
      <c r="N37" s="8">
        <f>Table3[[#Totals],[Energy Cost per year in CU]]</f>
        <v>83.859480000000005</v>
      </c>
      <c r="O37" s="8">
        <f>Table3[[#Totals],[Energy Cost per year in CU]]</f>
        <v>83.859480000000005</v>
      </c>
      <c r="P37" s="8">
        <f>Table3[[#Totals],[Energy Cost per year in CU]]</f>
        <v>83.859480000000005</v>
      </c>
    </row>
    <row r="38" spans="13:16" x14ac:dyDescent="0.25">
      <c r="M38" s="8" t="s">
        <v>85</v>
      </c>
      <c r="N38" s="8">
        <f>Table3[[#Totals],[FM Cost]]+$I$23</f>
        <v>755.36767752038793</v>
      </c>
      <c r="O38" s="8">
        <f>Table3[[#Totals],[FM Cost]]+$I$23+Table3[[#Totals],[FM Penalty Business]]+SUM(M30:M32)</f>
        <v>1690.1763607203879</v>
      </c>
      <c r="P38" s="8">
        <f>Table3[[#Totals],[FM Cost]]+$I$23+Table3[[#Totals],[FM Penalty ITS]]+SUM(N30:N32)</f>
        <v>1697.8610315990315</v>
      </c>
    </row>
    <row r="39" spans="13:16" x14ac:dyDescent="0.25">
      <c r="M39" s="8" t="s">
        <v>86</v>
      </c>
      <c r="N39" s="8">
        <f>0.05*SUM(N36:N38)</f>
        <v>175.25635787601942</v>
      </c>
      <c r="O39" s="8">
        <f>0.05*SUM(O36:O38)</f>
        <v>221.99679203601943</v>
      </c>
      <c r="P39" s="8">
        <f>0.05*SUM(P36:P38)</f>
        <v>222.3810255799516</v>
      </c>
    </row>
    <row r="40" spans="13:16" x14ac:dyDescent="0.25">
      <c r="M40" s="8" t="s">
        <v>87</v>
      </c>
      <c r="N40" s="8">
        <f>0.07*SUM(N36:N38)</f>
        <v>245.35890102642719</v>
      </c>
      <c r="O40" s="8">
        <f>0.07*SUM(O36:O38)</f>
        <v>310.79550885042721</v>
      </c>
      <c r="P40" s="8">
        <f>0.07*SUM(P36:P38)</f>
        <v>311.33343581193225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workbookViewId="0">
      <selection activeCell="J35" sqref="J35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1" max="11" width="21.7109375" customWidth="1"/>
    <col min="12" max="12" width="24.42578125" customWidth="1"/>
    <col min="13" max="13" width="32.28515625" customWidth="1"/>
    <col min="14" max="14" width="17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  <col min="24" max="24" width="18.140625" customWidth="1"/>
    <col min="27" max="27" width="22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16" t="s">
        <v>70</v>
      </c>
      <c r="B2" s="17">
        <v>16</v>
      </c>
      <c r="C2" s="18">
        <v>16</v>
      </c>
      <c r="D2" s="23">
        <v>8</v>
      </c>
      <c r="E2">
        <v>0.5</v>
      </c>
      <c r="F2">
        <f>E2*D2</f>
        <v>4</v>
      </c>
      <c r="G2">
        <v>10.6</v>
      </c>
      <c r="H2">
        <f>G2*F2</f>
        <v>42.4</v>
      </c>
      <c r="I2">
        <v>0</v>
      </c>
      <c r="J2">
        <v>2</v>
      </c>
      <c r="K2">
        <v>256</v>
      </c>
      <c r="L2">
        <f>12*D2</f>
        <v>96</v>
      </c>
      <c r="M2">
        <f>Table1[[#This Row],[Energy consumption in W]]*24*365/1000</f>
        <v>840.96</v>
      </c>
      <c r="N2">
        <f>0.15/50</f>
        <v>3.0000000000000001E-3</v>
      </c>
      <c r="O2">
        <f>Table1[[#This Row],[Yearly Energy Consumption in kWh]]*Table1[[#This Row],[CU/kWh]]</f>
        <v>2.5228800000000002</v>
      </c>
      <c r="P2">
        <v>0</v>
      </c>
      <c r="Q2">
        <v>20</v>
      </c>
      <c r="R2">
        <f>Table1[[#This Row],[Quantity]]*Table1[[#This Row],[FIT]]*24*365/1000000000</f>
        <v>1.7940480000000002E-2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5</v>
      </c>
      <c r="W2">
        <f>Table1[[#This Row],[Cost per hour]]*Table1[[#This Row],[No. Of technicians]]*Table1[[#This Row],[Total Time to Repair(h)]]*Table1[[#This Row],[Failures per year]]</f>
        <v>0.17940480000000003</v>
      </c>
      <c r="X2">
        <v>100</v>
      </c>
      <c r="Y2">
        <v>7.0000000000000007E-2</v>
      </c>
      <c r="Z2">
        <v>7.0540000000000005E-2</v>
      </c>
      <c r="AA2">
        <f>Table1[[#This Row],[Percentage of Business Users]]*Table1[[#This Row],[SLA CU per hour]]*Table1[[#This Row],[Failures per year]]*Table1[[#This Row],[Total Time to Repair(h)]]</f>
        <v>0.25116672000000007</v>
      </c>
      <c r="AB2">
        <f>Table1[[#This Row],[Percentage of ITS and business users]]*Table1[[#This Row],[SLA CU per hour]]*Table1[[#This Row],[Failures per year]]*Table1[[#This Row],[Total Time to Repair(h)]]</f>
        <v>0.25310429184000005</v>
      </c>
    </row>
    <row r="3" spans="1:28" x14ac:dyDescent="0.25">
      <c r="A3" s="19" t="s">
        <v>71</v>
      </c>
      <c r="B3" s="20">
        <v>8.8000000000000007</v>
      </c>
      <c r="C3" s="21">
        <v>8.8000000000000007</v>
      </c>
      <c r="D3" s="23">
        <v>112</v>
      </c>
      <c r="E3">
        <v>5</v>
      </c>
      <c r="F3" s="8">
        <f t="shared" ref="F3:F10" si="0">E3*D3</f>
        <v>560</v>
      </c>
      <c r="G3" s="8">
        <v>10.6</v>
      </c>
      <c r="H3" s="8">
        <f t="shared" ref="H3:H10" si="1">G3*F3</f>
        <v>5936</v>
      </c>
      <c r="I3">
        <f>0.5+(1/6*D3)</f>
        <v>19.166666666666664</v>
      </c>
      <c r="J3">
        <v>2</v>
      </c>
      <c r="K3">
        <v>50</v>
      </c>
      <c r="L3">
        <f>5*D3</f>
        <v>560</v>
      </c>
      <c r="M3" s="8">
        <f>Table1[[#This Row],[Energy consumption in W]]*24*365/1000</f>
        <v>4905.6000000000004</v>
      </c>
      <c r="N3" s="8">
        <f t="shared" ref="N3:N10" si="2">0.15/50</f>
        <v>3.0000000000000001E-3</v>
      </c>
      <c r="O3" s="8">
        <f>Table1[[#This Row],[Yearly Energy Consumption in kWh]]*Table1[[#This Row],[CU/kWh]]</f>
        <v>14.716800000000001</v>
      </c>
      <c r="P3">
        <v>0</v>
      </c>
      <c r="Q3">
        <v>20</v>
      </c>
      <c r="R3" s="8">
        <f>Table1[[#This Row],[Quantity]]*Table1[[#This Row],[FIT]]*24*365/1000000000</f>
        <v>4.9056000000000002E-2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5</v>
      </c>
      <c r="W3" s="8">
        <f>Table1[[#This Row],[Cost per hour]]*Table1[[#This Row],[No. Of technicians]]*Table1[[#This Row],[Total Time to Repair(h)]]*Table1[[#This Row],[Failures per year]]</f>
        <v>0.49056</v>
      </c>
      <c r="X3" s="8">
        <v>100</v>
      </c>
      <c r="Y3" s="8">
        <v>7.0000000000000007E-2</v>
      </c>
      <c r="Z3" s="8">
        <v>7.0540000000000005E-2</v>
      </c>
      <c r="AA3" s="8">
        <f>Table1[[#This Row],[Percentage of Business Users]]*Table1[[#This Row],[SLA CU per hour]]*Table1[[#This Row],[Failures per year]]*Table1[[#This Row],[Total Time to Repair(h)]]</f>
        <v>0.68678400000000017</v>
      </c>
      <c r="AB3" s="8">
        <f>Table1[[#This Row],[Percentage of ITS and business users]]*Table1[[#This Row],[SLA CU per hour]]*Table1[[#This Row],[Failures per year]]*Table1[[#This Row],[Total Time to Repair(h)]]</f>
        <v>0.69208204800000006</v>
      </c>
    </row>
    <row r="4" spans="1:28" x14ac:dyDescent="0.25">
      <c r="A4" s="16" t="s">
        <v>72</v>
      </c>
      <c r="B4" s="17">
        <v>63</v>
      </c>
      <c r="C4" s="18">
        <v>63</v>
      </c>
      <c r="D4" s="23">
        <v>112</v>
      </c>
      <c r="E4">
        <v>0.5</v>
      </c>
      <c r="F4" s="8">
        <f t="shared" si="0"/>
        <v>56</v>
      </c>
      <c r="G4" s="8">
        <v>10.6</v>
      </c>
      <c r="H4" s="8">
        <f t="shared" si="1"/>
        <v>593.6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3.0000000000000001E-3</v>
      </c>
      <c r="O4" s="8">
        <f>Table1[[#This Row],[Yearly Energy Consumption in kWh]]*Table1[[#This Row],[CU/kWh]]</f>
        <v>79.47072</v>
      </c>
      <c r="P4">
        <v>0</v>
      </c>
      <c r="Q4">
        <v>20</v>
      </c>
      <c r="R4" s="8">
        <f>Table1[[#This Row],[Quantity]]*Table1[[#This Row],[FIT]]*24*365/1000000000</f>
        <v>4.9056000000000002E-2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5</v>
      </c>
      <c r="W4" s="8">
        <f>Table1[[#This Row],[Cost per hour]]*Table1[[#This Row],[No. Of technicians]]*Table1[[#This Row],[Total Time to Repair(h)]]*Table1[[#This Row],[Failures per year]]</f>
        <v>0.49056</v>
      </c>
      <c r="X4" s="8">
        <v>100</v>
      </c>
      <c r="Y4" s="8">
        <v>7.0000000000000007E-2</v>
      </c>
      <c r="Z4" s="8">
        <v>7.0540000000000005E-2</v>
      </c>
      <c r="AA4" s="8">
        <f>Table1[[#This Row],[Percentage of Business Users]]*Table1[[#This Row],[SLA CU per hour]]*Table1[[#This Row],[Failures per year]]*Table1[[#This Row],[Total Time to Repair(h)]]</f>
        <v>0.68678400000000017</v>
      </c>
      <c r="AB4" s="8">
        <f>Table1[[#This Row],[Percentage of ITS and business users]]*Table1[[#This Row],[SLA CU per hour]]*Table1[[#This Row],[Failures per year]]*Table1[[#This Row],[Total Time to Repair(h)]]</f>
        <v>0.69208204800000006</v>
      </c>
    </row>
    <row r="5" spans="1:28" x14ac:dyDescent="0.25">
      <c r="A5" s="19" t="s">
        <v>73</v>
      </c>
      <c r="B5" s="20">
        <v>2.2999999999999998</v>
      </c>
      <c r="C5" s="21">
        <v>2.2999999999999998</v>
      </c>
      <c r="D5" s="23">
        <v>112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3.0000000000000001E-3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4.9056000000000002E-2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5</v>
      </c>
      <c r="W5" s="8">
        <f>Table1[[#This Row],[Cost per hour]]*Table1[[#This Row],[No. Of technicians]]*Table1[[#This Row],[Total Time to Repair(h)]]*Table1[[#This Row],[Failures per year]]</f>
        <v>0.49056</v>
      </c>
      <c r="X5" s="8">
        <v>100</v>
      </c>
      <c r="Y5" s="8">
        <v>7.0000000000000007E-2</v>
      </c>
      <c r="Z5" s="8">
        <v>7.0540000000000005E-2</v>
      </c>
      <c r="AA5" s="8">
        <f>Table1[[#This Row],[Percentage of Business Users]]*Table1[[#This Row],[SLA CU per hour]]*Table1[[#This Row],[Failures per year]]*Table1[[#This Row],[Total Time to Repair(h)]]</f>
        <v>0.68678400000000017</v>
      </c>
      <c r="AB5" s="8">
        <f>Table1[[#This Row],[Percentage of ITS and business users]]*Table1[[#This Row],[SLA CU per hour]]*Table1[[#This Row],[Failures per year]]*Table1[[#This Row],[Total Time to Repair(h)]]</f>
        <v>0.69208204800000006</v>
      </c>
    </row>
    <row r="6" spans="1:28" x14ac:dyDescent="0.25">
      <c r="A6" s="16" t="s">
        <v>74</v>
      </c>
      <c r="B6" s="17">
        <v>2.2222222222222223E-2</v>
      </c>
      <c r="C6" s="18">
        <f>0.1/4.5</f>
        <v>2.2222222222222223E-2</v>
      </c>
      <c r="D6" s="23">
        <v>5.6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5.6</v>
      </c>
      <c r="M6" s="8">
        <f>Table1[[#This Row],[Energy consumption in W]]*24*365/1000</f>
        <v>49.05599999999999</v>
      </c>
      <c r="N6" s="8">
        <f t="shared" si="2"/>
        <v>3.0000000000000001E-3</v>
      </c>
      <c r="O6" s="8">
        <f>Table1[[#This Row],[Yearly Energy Consumption in kWh]]*Table1[[#This Row],[CU/kWh]]</f>
        <v>0.14716799999999997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5</v>
      </c>
      <c r="W6" s="8">
        <f>Table1[[#This Row],[Cost per hour]]*Table1[[#This Row],[No. Of technicians]]*Table1[[#This Row],[Total Time to Repair(h)]]*Table1[[#This Row],[Failures per year]]</f>
        <v>0</v>
      </c>
      <c r="X6" s="8">
        <v>100</v>
      </c>
      <c r="Y6" s="8">
        <v>7.0000000000000007E-2</v>
      </c>
      <c r="Z6" s="8">
        <v>7.0540000000000005E-2</v>
      </c>
      <c r="AA6" s="8">
        <f>Table1[[#This Row],[Percentage of Business Users]]*Table1[[#This Row],[SLA CU per hour]]*Table1[[#This Row],[Failures per year]]*Table1[[#This Row],[Total Time to Repair(h)]]</f>
        <v>0</v>
      </c>
      <c r="AB6" s="8">
        <f>Table1[[#This Row],[Percentage of ITS and business users]]*Table1[[#This Row],[SLA CU per hour]]*Table1[[#This Row],[Failures per year]]*Table1[[#This Row],[Total Time to Repair(h)]]</f>
        <v>0</v>
      </c>
    </row>
    <row r="7" spans="1:28" x14ac:dyDescent="0.25">
      <c r="A7" s="19" t="s">
        <v>75</v>
      </c>
      <c r="B7" s="20">
        <v>400</v>
      </c>
      <c r="C7" s="21">
        <v>400</v>
      </c>
      <c r="D7" s="23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3.0000000000000001E-3</v>
      </c>
      <c r="O7" s="8">
        <f>Table1[[#This Row],[Yearly Energy Consumption in kWh]]*Table1[[#This Row],[CU/kWh]]</f>
        <v>1.3140000000000001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5</v>
      </c>
      <c r="W7" s="8">
        <f>Table1[[#This Row],[Cost per hour]]*Table1[[#This Row],[No. Of technicians]]*Table1[[#This Row],[Total Time to Repair(h)]]*Table1[[#This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Table1[[#This Row],[Percentage of Business Users]]*Table1[[#This Row],[SLA CU per hour]]*Table1[[#This Row],[Failures per year]]*Table1[[#This Row],[Total Time to Repair(h)]]</f>
        <v>0</v>
      </c>
      <c r="AB7" s="8">
        <f>Table1[[#This Row],[Percentage of ITS and business users]]*Table1[[#This Row],[SLA CU per hour]]*Table1[[#This Row],[Failures per year]]*Table1[[#This Row],[Total Time to Repair(h)]]</f>
        <v>0</v>
      </c>
    </row>
    <row r="8" spans="1:28" x14ac:dyDescent="0.25">
      <c r="A8" s="16" t="s">
        <v>76</v>
      </c>
      <c r="B8" s="17">
        <v>24</v>
      </c>
      <c r="C8" s="18">
        <f>80*0.3</f>
        <v>24</v>
      </c>
      <c r="D8" s="23">
        <v>112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18.666666666666664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3.0000000000000001E-3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0.19622400000000001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5</v>
      </c>
      <c r="W8" s="8">
        <f>Table1[[#This Row],[Cost per hour]]*Table1[[#This Row],[No. Of technicians]]*Table1[[#This Row],[Total Time to Repair(h)]]*Table1[[#This Row],[Failures per year]]</f>
        <v>6.0338880000000001</v>
      </c>
      <c r="X8" s="8">
        <v>100</v>
      </c>
      <c r="Y8" s="8">
        <v>7.0000000000000007E-2</v>
      </c>
      <c r="Z8" s="8">
        <v>7.0540000000000005E-2</v>
      </c>
      <c r="AA8" s="8">
        <f>Table1[[#This Row],[Percentage of Business Users]]*Table1[[#This Row],[SLA CU per hour]]*Table1[[#This Row],[Failures per year]]*Table1[[#This Row],[Total Time to Repair(h)]]</f>
        <v>8.4474432000000022</v>
      </c>
      <c r="AB8" s="8">
        <f>Table1[[#This Row],[Percentage of ITS and business users]]*Table1[[#This Row],[SLA CU per hour]]*Table1[[#This Row],[Failures per year]]*Table1[[#This Row],[Total Time to Repair(h)]]</f>
        <v>8.512609190400001</v>
      </c>
    </row>
    <row r="9" spans="1:28" x14ac:dyDescent="0.25">
      <c r="A9" s="19" t="s">
        <v>60</v>
      </c>
      <c r="B9" s="20">
        <v>10</v>
      </c>
      <c r="C9" s="21">
        <v>10</v>
      </c>
      <c r="D9" s="23">
        <v>0</v>
      </c>
      <c r="E9">
        <v>1</v>
      </c>
      <c r="F9" s="8">
        <f t="shared" si="0"/>
        <v>0</v>
      </c>
      <c r="G9" s="8">
        <v>0</v>
      </c>
      <c r="H9" s="8">
        <f t="shared" si="1"/>
        <v>0</v>
      </c>
      <c r="I9">
        <f>D9*(0.5+(1/6*8))</f>
        <v>0</v>
      </c>
      <c r="J9">
        <v>24</v>
      </c>
      <c r="K9">
        <v>512</v>
      </c>
      <c r="L9">
        <f>50*D9</f>
        <v>0</v>
      </c>
      <c r="M9" s="8">
        <f>Table1[[#This Row],[Energy consumption in W]]*24*365/1000</f>
        <v>0</v>
      </c>
      <c r="N9" s="8">
        <f t="shared" si="2"/>
        <v>3.0000000000000001E-3</v>
      </c>
      <c r="O9" s="8">
        <f>Table1[[#This Row],[Yearly Energy Consumption in kWh]]*Table1[[#This Row],[CU/kWh]]</f>
        <v>0</v>
      </c>
      <c r="P9">
        <v>2.25</v>
      </c>
      <c r="Q9">
        <v>20</v>
      </c>
      <c r="R9" s="8">
        <f>Table1[[#This Row],[Quantity]]*Table1[[#This Row],[FIT]]*24*365/1000000000</f>
        <v>0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5</v>
      </c>
      <c r="W9" s="8">
        <f>Table1[[#This Row],[Cost per hour]]*Table1[[#This Row],[No. Of technicians]]*Table1[[#This Row],[Total Time to Repair(h)]]*Table1[[#This Row],[Failures per year]]</f>
        <v>0</v>
      </c>
      <c r="X9" s="8">
        <v>100</v>
      </c>
      <c r="Y9" s="8">
        <v>7.0000000000000007E-2</v>
      </c>
      <c r="Z9" s="8">
        <v>7.0540000000000005E-2</v>
      </c>
      <c r="AA9" s="8">
        <f>Table1[[#This Row],[Percentage of Business Users]]*Table1[[#This Row],[SLA CU per hour]]*Table1[[#This Row],[Failures per year]]*Table1[[#This Row],[Total Time to Repair(h)]]</f>
        <v>0</v>
      </c>
      <c r="AB9" s="8">
        <f>Table1[[#This Row],[Percentage of ITS and business users]]*Table1[[#This Row],[SLA CU per hour]]*Table1[[#This Row],[Failures per year]]*Table1[[#This Row],[Total Time to Repair(h)]]</f>
        <v>0</v>
      </c>
    </row>
    <row r="10" spans="1:28" x14ac:dyDescent="0.25">
      <c r="A10" s="16" t="s">
        <v>77</v>
      </c>
      <c r="B10" s="17">
        <v>1.86</v>
      </c>
      <c r="C10" s="18">
        <v>1.86</v>
      </c>
      <c r="D10" s="23">
        <v>8900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8900</v>
      </c>
      <c r="J10">
        <v>6</v>
      </c>
      <c r="K10">
        <v>256</v>
      </c>
      <c r="L10">
        <f>4.7*D10</f>
        <v>41830</v>
      </c>
      <c r="M10" s="8">
        <f>Table1[[#This Row],[Energy consumption in W]]*24*365/1000</f>
        <v>366430.8</v>
      </c>
      <c r="N10" s="8">
        <f t="shared" si="2"/>
        <v>3.0000000000000001E-3</v>
      </c>
      <c r="O10" s="8">
        <f>Table1[[#This Row],[Yearly Energy Consumption in kWh]]*Table1[[#This Row],[CU/kWh]]</f>
        <v>1099.2924</v>
      </c>
      <c r="P10">
        <v>2.25</v>
      </c>
      <c r="Q10">
        <v>20</v>
      </c>
      <c r="R10" s="8">
        <f>Table1[[#This Row],[Quantity]]*Table1[[#This Row],[FIT]]*24*365/1000000000</f>
        <v>19.958784000000001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5</v>
      </c>
      <c r="W10" s="8">
        <f>Table1[[#This Row],[Cost per hour]]*Table1[[#This Row],[No. Of technicians]]*Table1[[#This Row],[Total Time to Repair(h)]]*Table1[[#This Row],[Failures per year]]</f>
        <v>621.21715200000006</v>
      </c>
      <c r="X10" s="8">
        <v>100</v>
      </c>
      <c r="Y10" s="8">
        <v>7.0000000000000007E-2</v>
      </c>
      <c r="Z10" s="8">
        <v>7.0540000000000005E-2</v>
      </c>
      <c r="AA10" s="8">
        <f>Table1[[#This Row],[Percentage of Business Users]]*Table1[[#This Row],[SLA CU per hour]]*Table1[[#This Row],[Failures per year]]*Table1[[#This Row],[Total Time to Repair(h)]]</f>
        <v>869.7040128000001</v>
      </c>
      <c r="AB10" s="8">
        <f>Table1[[#This Row],[Percentage of ITS and business users]]*Table1[[#This Row],[SLA CU per hour]]*Table1[[#This Row],[Failures per year]]*Table1[[#This Row],[Total Time to Repair(h)]]</f>
        <v>876.41315804160001</v>
      </c>
    </row>
    <row r="11" spans="1:28" x14ac:dyDescent="0.25">
      <c r="B11" s="36"/>
      <c r="C11" s="37"/>
      <c r="D11" s="37"/>
      <c r="E11" s="22"/>
      <c r="F11" s="22"/>
      <c r="G11" s="22"/>
      <c r="H11" s="22">
        <f>SUBTOTAL(109,Table1[Total Rent cost per year])</f>
        <v>6996</v>
      </c>
      <c r="I11" s="22"/>
      <c r="J11" s="22"/>
      <c r="K11" s="22"/>
      <c r="L11" s="22"/>
      <c r="M11" s="22"/>
      <c r="N11" s="22"/>
      <c r="O11" s="22">
        <f>SUBTOTAL(109,Table1[Energy Cost per year in CU])</f>
        <v>1197.463968</v>
      </c>
      <c r="P11" s="22"/>
      <c r="Q11" s="22"/>
      <c r="R11" s="22"/>
      <c r="S11" s="22"/>
      <c r="T11" s="22"/>
      <c r="U11" s="22"/>
      <c r="V11" s="22"/>
      <c r="W11" s="22">
        <f>SUM(Table1[FM Cost])</f>
        <v>628.90212480000002</v>
      </c>
      <c r="X11" s="22"/>
      <c r="Y11" s="22"/>
      <c r="Z11" s="22"/>
      <c r="AA11" s="22">
        <f>SUBTOTAL(109,Table1[FM Penalty Business])</f>
        <v>880.46297472000015</v>
      </c>
      <c r="AB11" s="22">
        <f>SUBTOTAL(109,Table1[FM Penalty ITS])</f>
        <v>887.25511766784007</v>
      </c>
    </row>
    <row r="13" spans="1:28" x14ac:dyDescent="0.25">
      <c r="M13" t="s">
        <v>69</v>
      </c>
    </row>
    <row r="14" spans="1:28" x14ac:dyDescent="0.25">
      <c r="M14">
        <f>Table1[[#Totals],[Total Rent cost per year]]+Table1[[#Totals],[Energy Cost per year in CU]]+Table1[[#Totals],[FM Cost]]+J20</f>
        <v>8891.8727949615713</v>
      </c>
    </row>
    <row r="17" spans="1:15" x14ac:dyDescent="0.25">
      <c r="A17" s="8" t="s">
        <v>39</v>
      </c>
      <c r="B17" t="s">
        <v>63</v>
      </c>
      <c r="C17" s="8" t="s">
        <v>17</v>
      </c>
      <c r="D17" s="8" t="s">
        <v>16</v>
      </c>
      <c r="E17" s="8" t="s">
        <v>40</v>
      </c>
      <c r="F17" s="8" t="s">
        <v>30</v>
      </c>
      <c r="G17" s="8" t="s">
        <v>44</v>
      </c>
      <c r="H17" s="8" t="s">
        <v>47</v>
      </c>
      <c r="I17" s="8" t="s">
        <v>48</v>
      </c>
      <c r="J17" s="8" t="s">
        <v>50</v>
      </c>
      <c r="K17" s="8" t="s">
        <v>97</v>
      </c>
      <c r="L17" s="8" t="s">
        <v>103</v>
      </c>
      <c r="M17" s="8" t="s">
        <v>104</v>
      </c>
      <c r="N17" s="8" t="s">
        <v>105</v>
      </c>
      <c r="O17" s="8" t="s">
        <v>106</v>
      </c>
    </row>
    <row r="18" spans="1:15" x14ac:dyDescent="0.25">
      <c r="A18" t="s">
        <v>41</v>
      </c>
      <c r="B18" s="9">
        <f>B26/1000</f>
        <v>34.268107989845305</v>
      </c>
      <c r="C18">
        <f>570*B18</f>
        <v>19532.821554211823</v>
      </c>
      <c r="D18">
        <v>24</v>
      </c>
      <c r="E18">
        <v>1</v>
      </c>
      <c r="F18">
        <v>5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20.704009534602363</v>
      </c>
      <c r="K18" s="8">
        <v>100</v>
      </c>
      <c r="L18">
        <v>7.0000000000000007E-2</v>
      </c>
      <c r="M18">
        <v>7.0540000000000005E-2</v>
      </c>
      <c r="N18">
        <f>L18*K18*I18*C18*24*365/1000000000</f>
        <v>28.985613348443309</v>
      </c>
      <c r="O18">
        <f>M18*K18*I18*C18*24*365/1000000000</f>
        <v>29.209216651417016</v>
      </c>
    </row>
    <row r="19" spans="1:15" x14ac:dyDescent="0.25">
      <c r="A19" t="s">
        <v>62</v>
      </c>
      <c r="B19" s="9">
        <f>D26/1000</f>
        <v>80.113368323490306</v>
      </c>
      <c r="C19">
        <f>570*B19</f>
        <v>45664.619944389473</v>
      </c>
      <c r="D19">
        <v>24</v>
      </c>
      <c r="E19">
        <v>1</v>
      </c>
      <c r="F19">
        <v>5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48.802692626967911</v>
      </c>
      <c r="K19" s="8">
        <v>100</v>
      </c>
      <c r="L19" s="8">
        <v>7.0000000000000007E-2</v>
      </c>
      <c r="M19" s="8">
        <v>7.0540000000000005E-2</v>
      </c>
      <c r="N19" s="8">
        <f>L19*K19*I19*C19*24*365/1000000000</f>
        <v>68.323769677755095</v>
      </c>
      <c r="O19" s="8">
        <f>M19*K19*I19*C19*24*365/1000000000</f>
        <v>68.850838758126343</v>
      </c>
    </row>
    <row r="20" spans="1:15" x14ac:dyDescent="0.25">
      <c r="J20">
        <f>SUM(J18:J19)</f>
        <v>69.506702161570274</v>
      </c>
      <c r="K20" s="8"/>
      <c r="L20" s="8"/>
    </row>
    <row r="26" spans="1:15" x14ac:dyDescent="0.25">
      <c r="B26" s="9">
        <v>34268.107989845303</v>
      </c>
      <c r="C26" s="9">
        <v>0</v>
      </c>
      <c r="D26" s="9">
        <v>80113.3683234903</v>
      </c>
    </row>
    <row r="33" spans="10:16" x14ac:dyDescent="0.25">
      <c r="M33" s="8" t="s">
        <v>82</v>
      </c>
      <c r="N33" s="8" t="s">
        <v>98</v>
      </c>
      <c r="O33" t="s">
        <v>99</v>
      </c>
      <c r="P33" t="s">
        <v>107</v>
      </c>
    </row>
    <row r="34" spans="10:16" x14ac:dyDescent="0.25">
      <c r="J34" t="s">
        <v>118</v>
      </c>
      <c r="M34" s="8" t="s">
        <v>83</v>
      </c>
      <c r="N34" s="8">
        <f>N44/$J$35</f>
        <v>0.79382730057869055</v>
      </c>
      <c r="O34" s="8">
        <f t="shared" ref="O34:P34" si="3">O44/$J$35</f>
        <v>0.79382730057869055</v>
      </c>
      <c r="P34" s="8">
        <f t="shared" si="3"/>
        <v>0.79382730057869055</v>
      </c>
    </row>
    <row r="35" spans="10:16" x14ac:dyDescent="0.25">
      <c r="J35" s="8">
        <v>8813</v>
      </c>
      <c r="M35" s="8" t="s">
        <v>84</v>
      </c>
      <c r="N35" s="8">
        <f t="shared" ref="N35:P38" si="4">N45/$J$35</f>
        <v>0.13587472688074437</v>
      </c>
      <c r="O35" s="8">
        <f t="shared" si="4"/>
        <v>0.13587472688074437</v>
      </c>
      <c r="P35" s="8">
        <f t="shared" si="4"/>
        <v>0.13587472688074437</v>
      </c>
    </row>
    <row r="36" spans="10:16" x14ac:dyDescent="0.25">
      <c r="M36" s="8" t="s">
        <v>85</v>
      </c>
      <c r="N36" s="8">
        <f t="shared" si="4"/>
        <v>7.1360731283331438E-2</v>
      </c>
      <c r="O36" s="8">
        <f t="shared" si="4"/>
        <v>0.17915259295150013</v>
      </c>
      <c r="P36" s="8">
        <f t="shared" si="4"/>
        <v>0.17992328884936007</v>
      </c>
    </row>
    <row r="37" spans="10:16" x14ac:dyDescent="0.25">
      <c r="M37" s="8" t="s">
        <v>86</v>
      </c>
      <c r="N37" s="8">
        <f t="shared" si="4"/>
        <v>5.005313793713833E-2</v>
      </c>
      <c r="O37" s="8">
        <f t="shared" si="4"/>
        <v>5.5442731020546761E-2</v>
      </c>
      <c r="P37" s="8">
        <f t="shared" si="4"/>
        <v>5.5481265815439752E-2</v>
      </c>
    </row>
    <row r="38" spans="10:16" x14ac:dyDescent="0.25">
      <c r="M38" s="8" t="s">
        <v>87</v>
      </c>
      <c r="N38" s="8">
        <f t="shared" si="4"/>
        <v>7.0074393111993663E-2</v>
      </c>
      <c r="O38" s="8">
        <f t="shared" si="4"/>
        <v>7.7619823428765458E-2</v>
      </c>
      <c r="P38" s="8">
        <f t="shared" si="4"/>
        <v>7.7673772141615652E-2</v>
      </c>
    </row>
    <row r="39" spans="10:16" x14ac:dyDescent="0.25">
      <c r="M39" s="8"/>
      <c r="N39" s="28">
        <f>SUM(N34:N38)</f>
        <v>1.1211902897918984</v>
      </c>
      <c r="O39" s="28">
        <f>SUM(O34:O38)</f>
        <v>1.2419171748602473</v>
      </c>
      <c r="P39" s="28">
        <f>SUM(P34:P38)</f>
        <v>1.2427803542658504</v>
      </c>
    </row>
    <row r="43" spans="10:16" x14ac:dyDescent="0.25">
      <c r="M43" s="8" t="s">
        <v>82</v>
      </c>
      <c r="N43" s="8" t="s">
        <v>98</v>
      </c>
      <c r="O43" s="8" t="s">
        <v>99</v>
      </c>
      <c r="P43" s="8" t="s">
        <v>107</v>
      </c>
    </row>
    <row r="44" spans="10:16" x14ac:dyDescent="0.25">
      <c r="M44" s="8" t="s">
        <v>83</v>
      </c>
      <c r="N44" s="8">
        <f>Table1[[#Totals],[Total Rent cost per year]]</f>
        <v>6996</v>
      </c>
      <c r="O44" s="8">
        <f>Table1[[#Totals],[Total Rent cost per year]]</f>
        <v>6996</v>
      </c>
      <c r="P44" s="8">
        <f>Table1[[#Totals],[Total Rent cost per year]]</f>
        <v>6996</v>
      </c>
    </row>
    <row r="45" spans="10:16" x14ac:dyDescent="0.25">
      <c r="M45" s="8" t="s">
        <v>84</v>
      </c>
      <c r="N45" s="8">
        <f>Table1[[#Totals],[Energy Cost per year in CU]]</f>
        <v>1197.463968</v>
      </c>
      <c r="O45" s="8">
        <f>Table1[[#Totals],[Energy Cost per year in CU]]</f>
        <v>1197.463968</v>
      </c>
      <c r="P45" s="8">
        <f>Table1[[#Totals],[Energy Cost per year in CU]]</f>
        <v>1197.463968</v>
      </c>
    </row>
    <row r="46" spans="10:16" x14ac:dyDescent="0.25">
      <c r="M46" s="8" t="s">
        <v>85</v>
      </c>
      <c r="N46" s="8">
        <f>Table1[[#Totals],[FM Cost]]+J30</f>
        <v>628.90212480000002</v>
      </c>
      <c r="O46" s="8">
        <f>Table1[[#Totals],[FM Cost]]+$J$20+N28+N29+Table1[[#Totals],[FM Penalty Business]]</f>
        <v>1578.8718016815706</v>
      </c>
      <c r="P46" s="8">
        <f>Table1[[#Totals],[FM Cost]]+$J$20+O28+O29+Table1[[#Totals],[FM Penalty ITS]]</f>
        <v>1585.6639446294103</v>
      </c>
    </row>
    <row r="47" spans="10:16" x14ac:dyDescent="0.25">
      <c r="M47" s="8" t="s">
        <v>86</v>
      </c>
      <c r="N47" s="8">
        <f>0.05*SUM(N44:N46)</f>
        <v>441.11830464000008</v>
      </c>
      <c r="O47" s="8">
        <f>0.05*SUM(O44:O46)</f>
        <v>488.6167884840786</v>
      </c>
      <c r="P47" s="8">
        <f>0.05*SUM(P44:P46)</f>
        <v>488.95639563147051</v>
      </c>
    </row>
    <row r="48" spans="10:16" x14ac:dyDescent="0.25">
      <c r="M48" s="8" t="s">
        <v>87</v>
      </c>
      <c r="N48" s="8">
        <f>0.07*SUM(N44:N46)</f>
        <v>617.56562649600016</v>
      </c>
      <c r="O48" s="8">
        <f>0.07*SUM(O44:O46)</f>
        <v>684.06350387770999</v>
      </c>
      <c r="P48" s="8">
        <f>0.07*SUM(P44:P46)</f>
        <v>684.53895388405874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F1" workbookViewId="0">
      <selection activeCell="J24" sqref="J24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s="10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t="s">
        <v>3</v>
      </c>
      <c r="B2" s="24" t="s">
        <v>70</v>
      </c>
      <c r="C2">
        <v>16</v>
      </c>
      <c r="D2" s="23">
        <v>8</v>
      </c>
      <c r="E2">
        <v>0.5</v>
      </c>
      <c r="F2">
        <f>Table4[[#This Row],[Floor Space per component]]*Table4[[#This Row],[Quantity]]</f>
        <v>4</v>
      </c>
      <c r="G2">
        <v>10.6</v>
      </c>
      <c r="H2">
        <f>G2*F2</f>
        <v>42.4</v>
      </c>
      <c r="I2" s="8">
        <v>0</v>
      </c>
      <c r="J2" s="8">
        <v>2</v>
      </c>
      <c r="K2" s="8">
        <v>256</v>
      </c>
      <c r="L2" s="8">
        <f>12*E2</f>
        <v>6</v>
      </c>
      <c r="M2" s="8">
        <f>Table4[[#This Row],[Energy consumption in W]]*24*365/1000</f>
        <v>52.56</v>
      </c>
      <c r="N2" s="8">
        <f>0.15/50</f>
        <v>3.0000000000000001E-3</v>
      </c>
      <c r="O2" s="8">
        <f>Table4[[#This Row],[Yearly Energy Consumption in kWh]]*Table1[[#This Row],[CU/kWh]]</f>
        <v>0.15768000000000001</v>
      </c>
      <c r="P2" s="8">
        <v>0</v>
      </c>
      <c r="Q2" s="8">
        <v>20</v>
      </c>
      <c r="R2" s="8">
        <f>Table4[[#This Row],[Quantity]]*Table4[[#This Row],[FIT]]*24*365/1000000000</f>
        <v>1.7940480000000002E-2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5</v>
      </c>
      <c r="W2" s="8">
        <f>Table4[[#This Row],[Cost per hour]]*Table4[[#This Row],[No. Of technicians]]*Table4[[#This Row],[Total Time to Repair(h)]]*Table4[[#This Row],[Failures per year]]</f>
        <v>0.17940480000000003</v>
      </c>
      <c r="X2" s="8">
        <v>100</v>
      </c>
      <c r="Y2" s="8">
        <v>7.0000000000000007E-2</v>
      </c>
      <c r="Z2" s="8">
        <v>7.0540000000000005E-2</v>
      </c>
      <c r="AA2" s="8">
        <f>Table4[[#This Row],[Percentage of Business Users]]*Table4[[#This Row],[SLA CU per hour]]*Table4[[#This Row],[Failures per year]]*Table4[[#This Row],[Total Time to Repair(h)]]</f>
        <v>0.25116672000000007</v>
      </c>
      <c r="AB2" s="8">
        <f>Table4[[#This Row],[Percentage of ITS and business users]]*Table4[[#This Row],[SLA CU per hour]]*Table4[[#This Row],[Failures per year]]*Table4[[#This Row],[Total Time to Repair(h)]]</f>
        <v>0.25310429184000005</v>
      </c>
    </row>
    <row r="3" spans="1:28" x14ac:dyDescent="0.25">
      <c r="A3" t="s">
        <v>3</v>
      </c>
      <c r="B3" s="24" t="s">
        <v>71</v>
      </c>
      <c r="C3">
        <v>17</v>
      </c>
      <c r="D3" s="23">
        <v>112</v>
      </c>
      <c r="E3">
        <v>5</v>
      </c>
      <c r="F3" s="8">
        <f>Table4[[#This Row],[Floor Space per component]]*Table4[[#This Row],[Quantity]]</f>
        <v>560</v>
      </c>
      <c r="G3">
        <v>10.6</v>
      </c>
      <c r="H3" s="8">
        <f t="shared" ref="H3:H10" si="0">G3*F3</f>
        <v>5936</v>
      </c>
      <c r="I3" s="8">
        <f>0.5+(1/6*D3)</f>
        <v>19.166666666666664</v>
      </c>
      <c r="J3" s="8">
        <v>2</v>
      </c>
      <c r="K3" s="8">
        <v>50</v>
      </c>
      <c r="L3" s="8">
        <f>5*80*Table4[[#This Row],[Quantity]]</f>
        <v>44800</v>
      </c>
      <c r="M3" s="8">
        <f>Table4[[#This Row],[Energy consumption in W]]*24*365/1000</f>
        <v>392448</v>
      </c>
      <c r="N3" s="8">
        <f t="shared" ref="N3:N10" si="1">0.15/50</f>
        <v>3.0000000000000001E-3</v>
      </c>
      <c r="O3" s="8">
        <f>Table4[[#This Row],[Yearly Energy Consumption in kWh]]*Table1[[#This Row],[CU/kWh]]</f>
        <v>1177.3440000000001</v>
      </c>
      <c r="P3" s="8">
        <v>0</v>
      </c>
      <c r="Q3" s="8">
        <v>20</v>
      </c>
      <c r="R3" s="8">
        <f>Table4[[#This Row],[Quantity]]*Table4[[#This Row],[FIT]]*24*365/1000000000</f>
        <v>4.9056000000000002E-2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5</v>
      </c>
      <c r="W3" s="8">
        <f>Table4[[#This Row],[Cost per hour]]*Table4[[#This Row],[No. Of technicians]]*Table4[[#This Row],[Total Time to Repair(h)]]*Table4[[#This Row],[Failures per year]]</f>
        <v>0.49056</v>
      </c>
      <c r="X3" s="8">
        <v>100</v>
      </c>
      <c r="Y3" s="8">
        <v>7.0000000000000007E-2</v>
      </c>
      <c r="Z3" s="8">
        <v>7.0540000000000005E-2</v>
      </c>
      <c r="AA3" s="8">
        <f>Table4[[#This Row],[Percentage of Business Users]]*Table4[[#This Row],[SLA CU per hour]]*Table4[[#This Row],[Failures per year]]*Table4[[#This Row],[Total Time to Repair(h)]]</f>
        <v>0.68678400000000017</v>
      </c>
      <c r="AB3" s="8">
        <f>Table4[[#This Row],[Percentage of ITS and business users]]*Table4[[#This Row],[SLA CU per hour]]*Table4[[#This Row],[Failures per year]]*Table4[[#This Row],[Total Time to Repair(h)]]</f>
        <v>0.69208204800000006</v>
      </c>
    </row>
    <row r="4" spans="1:28" x14ac:dyDescent="0.25">
      <c r="A4" t="s">
        <v>3</v>
      </c>
      <c r="B4" s="24" t="s">
        <v>72</v>
      </c>
      <c r="C4">
        <v>63</v>
      </c>
      <c r="D4" s="23">
        <v>112</v>
      </c>
      <c r="E4">
        <v>0.5</v>
      </c>
      <c r="F4" s="8">
        <f>Table4[[#This Row],[Floor Space per component]]*Table4[[#This Row],[Quantity]]</f>
        <v>56</v>
      </c>
      <c r="G4">
        <v>10.6</v>
      </c>
      <c r="H4" s="8">
        <f t="shared" si="0"/>
        <v>593.6</v>
      </c>
      <c r="I4" s="8">
        <f t="shared" ref="I4:I10" si="2">0.5+(1/6*D4)</f>
        <v>19.166666666666664</v>
      </c>
      <c r="J4" s="8">
        <v>2</v>
      </c>
      <c r="K4" s="8">
        <v>50</v>
      </c>
      <c r="L4" s="8">
        <f>48*D4</f>
        <v>5376</v>
      </c>
      <c r="M4" s="8">
        <f>Table4[[#This Row],[Energy consumption in W]]*24*365/1000</f>
        <v>47093.760000000002</v>
      </c>
      <c r="N4" s="8">
        <f t="shared" si="1"/>
        <v>3.0000000000000001E-3</v>
      </c>
      <c r="O4" s="8">
        <f>Table4[[#This Row],[Yearly Energy Consumption in kWh]]*Table1[[#This Row],[CU/kWh]]</f>
        <v>141.28128000000001</v>
      </c>
      <c r="P4" s="8">
        <v>0</v>
      </c>
      <c r="Q4" s="8">
        <v>20</v>
      </c>
      <c r="R4" s="8">
        <f>Table4[[#This Row],[Quantity]]*Table4[[#This Row],[FIT]]*24*365/1000000000</f>
        <v>4.9056000000000002E-2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5</v>
      </c>
      <c r="W4" s="8">
        <f>Table4[[#This Row],[Cost per hour]]*Table4[[#This Row],[No. Of technicians]]*Table4[[#This Row],[Total Time to Repair(h)]]*Table4[[#This Row],[Failures per year]]</f>
        <v>0.49056</v>
      </c>
      <c r="X4" s="8">
        <v>100</v>
      </c>
      <c r="Y4" s="8">
        <v>7.0000000000000007E-2</v>
      </c>
      <c r="Z4" s="8">
        <v>7.0540000000000005E-2</v>
      </c>
      <c r="AA4" s="8">
        <f>Table4[[#This Row],[Percentage of Business Users]]*Table4[[#This Row],[SLA CU per hour]]*Table4[[#This Row],[Failures per year]]*Table4[[#This Row],[Total Time to Repair(h)]]</f>
        <v>0.68678400000000017</v>
      </c>
      <c r="AB4" s="8">
        <f>Table4[[#This Row],[Percentage of ITS and business users]]*Table4[[#This Row],[SLA CU per hour]]*Table4[[#This Row],[Failures per year]]*Table4[[#This Row],[Total Time to Repair(h)]]</f>
        <v>0.69208204800000006</v>
      </c>
    </row>
    <row r="5" spans="1:28" x14ac:dyDescent="0.25">
      <c r="A5" t="s">
        <v>3</v>
      </c>
      <c r="B5" s="24" t="s">
        <v>73</v>
      </c>
      <c r="C5">
        <v>2.2999999999999998</v>
      </c>
      <c r="D5" s="23">
        <v>112</v>
      </c>
      <c r="E5">
        <v>0.5</v>
      </c>
      <c r="F5" s="8">
        <f>Table4[[#This Row],[Floor Space per component]]*Table4[[#This Row],[Quantity]]</f>
        <v>56</v>
      </c>
      <c r="G5">
        <v>10.6</v>
      </c>
      <c r="H5" s="8">
        <f t="shared" si="0"/>
        <v>593.6</v>
      </c>
      <c r="I5" s="8">
        <f t="shared" si="2"/>
        <v>19.166666666666664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3.0000000000000001E-3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4.9056000000000002E-2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5</v>
      </c>
      <c r="W5" s="8">
        <f>Table4[[#This Row],[Cost per hour]]*Table4[[#This Row],[No. Of technicians]]*Table4[[#This Row],[Total Time to Repair(h)]]*Table4[[#This Row],[Failures per year]]</f>
        <v>0.49056</v>
      </c>
      <c r="X5" s="8">
        <v>100</v>
      </c>
      <c r="Y5" s="8">
        <v>7.0000000000000007E-2</v>
      </c>
      <c r="Z5" s="8">
        <v>7.0540000000000005E-2</v>
      </c>
      <c r="AA5" s="8">
        <f>Table4[[#This Row],[Percentage of Business Users]]*Table4[[#This Row],[SLA CU per hour]]*Table4[[#This Row],[Failures per year]]*Table4[[#This Row],[Total Time to Repair(h)]]</f>
        <v>0.68678400000000017</v>
      </c>
      <c r="AB5" s="8">
        <f>Table4[[#This Row],[Percentage of ITS and business users]]*Table4[[#This Row],[SLA CU per hour]]*Table4[[#This Row],[Failures per year]]*Table4[[#This Row],[Total Time to Repair(h)]]</f>
        <v>0.69208204800000006</v>
      </c>
    </row>
    <row r="6" spans="1:28" x14ac:dyDescent="0.25">
      <c r="A6" t="s">
        <v>3</v>
      </c>
      <c r="B6" s="24" t="s">
        <v>74</v>
      </c>
      <c r="C6">
        <v>2.2222222222222223E-2</v>
      </c>
      <c r="D6" s="23">
        <v>11.2</v>
      </c>
      <c r="E6">
        <v>0</v>
      </c>
      <c r="F6" s="8">
        <f>Table4[[#This Row],[Floor Space per component]]*Table4[[#This Row],[Quantity]]</f>
        <v>0</v>
      </c>
      <c r="G6">
        <v>10.6</v>
      </c>
      <c r="H6" s="8">
        <f t="shared" si="0"/>
        <v>0</v>
      </c>
      <c r="I6" s="8">
        <f t="shared" si="2"/>
        <v>2.3666666666666663</v>
      </c>
      <c r="J6" s="8">
        <v>0</v>
      </c>
      <c r="K6" s="8">
        <v>0</v>
      </c>
      <c r="L6" s="8">
        <f>1*Table4[[#This Row],[Quantity]]</f>
        <v>11.2</v>
      </c>
      <c r="M6" s="8">
        <f>Table4[[#This Row],[Energy consumption in W]]*24*365/1000</f>
        <v>98.111999999999981</v>
      </c>
      <c r="N6" s="8">
        <f t="shared" si="1"/>
        <v>3.0000000000000001E-3</v>
      </c>
      <c r="O6" s="8">
        <f>Table4[[#This Row],[Yearly Energy Consumption in kWh]]*Table1[[#This Row],[CU/kWh]]</f>
        <v>0.29433599999999993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5</v>
      </c>
      <c r="W6" s="8">
        <f>Table4[[#This Row],[Cost per hour]]*Table4[[#This Row],[No. Of technicians]]*Table4[[#This Row],[Total Time to Repair(h)]]*Table4[[#This Row],[Failures per year]]</f>
        <v>0</v>
      </c>
      <c r="X6" s="8">
        <v>100</v>
      </c>
      <c r="Y6" s="8">
        <v>7.0000000000000007E-2</v>
      </c>
      <c r="Z6" s="8">
        <v>7.0540000000000005E-2</v>
      </c>
      <c r="AA6" s="8">
        <f>Table4[[#This Row],[Percentage of Business Users]]*Table4[[#This Row],[SLA CU per hour]]*Table4[[#This Row],[Failures per year]]*Table4[[#This Row],[Total Time to Repair(h)]]</f>
        <v>0</v>
      </c>
      <c r="AB6" s="8">
        <f>Table4[[#This Row],[Percentage of ITS and business users]]*Table4[[#This Row],[SLA CU per hour]]*Table4[[#This Row],[Failures per year]]*Table4[[#This Row],[Total Time to Repair(h)]]</f>
        <v>0</v>
      </c>
    </row>
    <row r="7" spans="1:28" x14ac:dyDescent="0.25">
      <c r="A7" t="s">
        <v>3</v>
      </c>
      <c r="B7" s="24" t="s">
        <v>75</v>
      </c>
      <c r="C7">
        <v>400</v>
      </c>
      <c r="D7" s="23">
        <v>1</v>
      </c>
      <c r="E7">
        <v>40</v>
      </c>
      <c r="F7" s="8">
        <f>Table4[[#This Row],[Floor Space per component]]*Table4[[#This Row],[Quantity]]</f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3.0000000000000001E-3</v>
      </c>
      <c r="O7" s="8">
        <f>Table4[[#This Row],[Yearly Energy Consumption in kWh]]*Table1[[#This Row],[CU/kWh]]</f>
        <v>1.3140000000000001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5</v>
      </c>
      <c r="W7" s="8">
        <f>Table4[[#This Row],[Cost per hour]]*Table4[[#This Row],[No. Of technicians]]*Table4[[#This Row],[Total Time to Repair(h)]]*Table4[[#This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Table4[[#This Row],[Percentage of Business Users]]*Table4[[#This Row],[SLA CU per hour]]*Table4[[#This Row],[Failures per year]]*Table4[[#This Row],[Total Time to Repair(h)]]</f>
        <v>0</v>
      </c>
      <c r="AB7" s="8">
        <f>Table4[[#This Row],[Percentage of ITS and business users]]*Table4[[#This Row],[SLA CU per hour]]*Table4[[#This Row],[Failures per year]]*Table4[[#This Row],[Total Time to Repair(h)]]</f>
        <v>0</v>
      </c>
    </row>
    <row r="8" spans="1:28" x14ac:dyDescent="0.25">
      <c r="A8" t="s">
        <v>8</v>
      </c>
      <c r="B8" s="24" t="s">
        <v>76</v>
      </c>
      <c r="C8">
        <v>24</v>
      </c>
      <c r="D8" s="23">
        <v>112</v>
      </c>
      <c r="E8">
        <v>0</v>
      </c>
      <c r="F8" s="8">
        <f>Table4[[#This Row],[Floor Space per component]]*Table4[[#This Row],[Quantity]]</f>
        <v>0</v>
      </c>
      <c r="G8">
        <v>10.6</v>
      </c>
      <c r="H8" s="8">
        <f t="shared" si="0"/>
        <v>0</v>
      </c>
      <c r="I8" s="8">
        <f t="shared" si="2"/>
        <v>19.166666666666664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3.0000000000000001E-3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0.19622400000000001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5</v>
      </c>
      <c r="W8" s="8">
        <f>Table4[[#This Row],[Cost per hour]]*Table4[[#This Row],[No. Of technicians]]*Table4[[#This Row],[Total Time to Repair(h)]]*Table4[[#This Row],[Failures per year]]</f>
        <v>6.0338880000000001</v>
      </c>
      <c r="X8" s="8">
        <v>100</v>
      </c>
      <c r="Y8" s="8">
        <v>7.0000000000000007E-2</v>
      </c>
      <c r="Z8" s="8">
        <v>7.0540000000000005E-2</v>
      </c>
      <c r="AA8" s="8">
        <f>Table4[[#This Row],[Percentage of Business Users]]*Table4[[#This Row],[SLA CU per hour]]*Table4[[#This Row],[Failures per year]]*Table4[[#This Row],[Total Time to Repair(h)]]</f>
        <v>8.4474432000000022</v>
      </c>
      <c r="AB8" s="8">
        <f>Table4[[#This Row],[Percentage of ITS and business users]]*Table4[[#This Row],[SLA CU per hour]]*Table4[[#This Row],[Failures per year]]*Table4[[#This Row],[Total Time to Repair(h)]]</f>
        <v>8.512609190400001</v>
      </c>
    </row>
    <row r="9" spans="1:28" x14ac:dyDescent="0.25">
      <c r="A9" t="s">
        <v>13</v>
      </c>
      <c r="B9" s="24" t="s">
        <v>78</v>
      </c>
      <c r="C9">
        <v>1.8</v>
      </c>
      <c r="D9" s="23">
        <v>0</v>
      </c>
      <c r="E9">
        <v>0</v>
      </c>
      <c r="F9" s="8">
        <f>Table4[[#This Row],[Floor Space per component]]*Table4[[#This Row],[Quantity]]</f>
        <v>0</v>
      </c>
      <c r="G9">
        <v>0</v>
      </c>
      <c r="H9" s="8">
        <f t="shared" si="0"/>
        <v>0</v>
      </c>
      <c r="I9" s="8">
        <f t="shared" si="2"/>
        <v>0.5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3.0000000000000001E-3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0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5</v>
      </c>
      <c r="W9" s="8">
        <f>Table4[[#This Row],[Cost per hour]]*Table4[[#This Row],[No. Of technicians]]*Table4[[#This Row],[Total Time to Repair(h)]]*Table4[[#This Row],[Failures per year]]</f>
        <v>0</v>
      </c>
      <c r="X9" s="8">
        <v>100</v>
      </c>
      <c r="Y9" s="8">
        <v>7.0000000000000007E-2</v>
      </c>
      <c r="Z9" s="8">
        <v>7.0540000000000005E-2</v>
      </c>
      <c r="AA9" s="8">
        <f>Table4[[#This Row],[Percentage of Business Users]]*Table4[[#This Row],[SLA CU per hour]]*Table4[[#This Row],[Failures per year]]*Table4[[#This Row],[Total Time to Repair(h)]]</f>
        <v>0</v>
      </c>
      <c r="AB9" s="8">
        <f>Table4[[#This Row],[Percentage of ITS and business users]]*Table4[[#This Row],[SLA CU per hour]]*Table4[[#This Row],[Failures per year]]*Table4[[#This Row],[Total Time to Repair(h)]]</f>
        <v>0</v>
      </c>
    </row>
    <row r="10" spans="1:28" x14ac:dyDescent="0.25">
      <c r="A10" t="s">
        <v>13</v>
      </c>
      <c r="B10" s="24" t="s">
        <v>79</v>
      </c>
      <c r="C10">
        <v>4.0999999999999996</v>
      </c>
      <c r="D10" s="23">
        <v>8900</v>
      </c>
      <c r="E10">
        <v>0</v>
      </c>
      <c r="F10" s="8">
        <f>Table4[[#This Row],[Floor Space per component]]*Table4[[#This Row],[Quantity]]</f>
        <v>0</v>
      </c>
      <c r="G10">
        <v>0</v>
      </c>
      <c r="H10" s="8">
        <f t="shared" si="0"/>
        <v>0</v>
      </c>
      <c r="I10" s="8">
        <f t="shared" si="2"/>
        <v>1483.8333333333333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3.0000000000000001E-3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19.958784000000001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5</v>
      </c>
      <c r="W10" s="8">
        <f>Table4[[#This Row],[Cost per hour]]*Table4[[#This Row],[No. Of technicians]]*Table4[[#This Row],[Total Time to Repair(h)]]*Table4[[#This Row],[Failures per year]]</f>
        <v>621.21715200000006</v>
      </c>
      <c r="X10" s="8">
        <v>100</v>
      </c>
      <c r="Y10" s="8">
        <v>7.0000000000000007E-2</v>
      </c>
      <c r="Z10" s="8">
        <v>7.0540000000000005E-2</v>
      </c>
      <c r="AA10" s="8">
        <f>Table4[[#This Row],[Percentage of Business Users]]*Table4[[#This Row],[SLA CU per hour]]*Table4[[#This Row],[Failures per year]]*Table4[[#This Row],[Total Time to Repair(h)]]</f>
        <v>869.7040128000001</v>
      </c>
      <c r="AB10" s="8">
        <f>Table4[[#This Row],[Percentage of ITS and business users]]*Table4[[#This Row],[SLA CU per hour]]*Table4[[#This Row],[Failures per year]]*Table4[[#This Row],[Total Time to Repair(h)]]</f>
        <v>876.41315804160001</v>
      </c>
    </row>
    <row r="11" spans="1:28" x14ac:dyDescent="0.25">
      <c r="H11">
        <f>SUBTOTAL(109,Table4[Total Rent cost per year])</f>
        <v>7589.6</v>
      </c>
      <c r="O11">
        <f>SUBTOTAL(109,Table4[Energy Cost per year in CU])</f>
        <v>1320.391296</v>
      </c>
      <c r="W11">
        <f>SUM(Table4[FM Cost])</f>
        <v>628.90212480000002</v>
      </c>
      <c r="AA11">
        <f>SUBTOTAL(109,Table4[FM Penalty Business])</f>
        <v>880.46297472000015</v>
      </c>
      <c r="AB11">
        <f>SUBTOTAL(109,Table4[FM Penalty ITS])</f>
        <v>887.25511766784007</v>
      </c>
    </row>
    <row r="13" spans="1:28" x14ac:dyDescent="0.25">
      <c r="Q13" t="s">
        <v>69</v>
      </c>
    </row>
    <row r="14" spans="1:28" x14ac:dyDescent="0.25">
      <c r="Q14">
        <f>Table4[[#Totals],[Total Rent cost per year]]+Table4[[#Totals],[Energy Cost per year in CU]]+Table4[[#Totals],[FM Cost]]+J18</f>
        <v>9608.4001229615715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K15" s="8" t="s">
        <v>97</v>
      </c>
      <c r="L15" s="8" t="s">
        <v>103</v>
      </c>
      <c r="M15" s="8" t="s">
        <v>104</v>
      </c>
      <c r="N15" s="8" t="s">
        <v>105</v>
      </c>
      <c r="O15" s="8" t="s">
        <v>106</v>
      </c>
    </row>
    <row r="16" spans="1:28" x14ac:dyDescent="0.25">
      <c r="A16" s="8" t="s">
        <v>41</v>
      </c>
      <c r="B16" s="9">
        <f>B23/1000</f>
        <v>34.268107989845305</v>
      </c>
      <c r="C16" s="8">
        <f>570*B16</f>
        <v>19532.821554211823</v>
      </c>
      <c r="D16" s="8">
        <v>24</v>
      </c>
      <c r="E16" s="8">
        <v>1</v>
      </c>
      <c r="F16" s="8">
        <v>5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20.704009534602363</v>
      </c>
      <c r="K16" s="8">
        <v>100</v>
      </c>
      <c r="L16" s="8">
        <v>7.0000000000000007E-2</v>
      </c>
      <c r="M16" s="8">
        <v>7.0540000000000005E-2</v>
      </c>
      <c r="N16" s="8">
        <f>L16*K16*I16*C16*24*365/1000000000</f>
        <v>28.985613348443309</v>
      </c>
      <c r="O16" s="8">
        <f>M16*K16*I16*C16*24*365/1000000000</f>
        <v>29.209216651417016</v>
      </c>
    </row>
    <row r="17" spans="1:16" x14ac:dyDescent="0.25">
      <c r="A17" s="8" t="s">
        <v>62</v>
      </c>
      <c r="B17" s="9">
        <f>(D23)/1000</f>
        <v>80.113368323490306</v>
      </c>
      <c r="C17" s="8">
        <f>570*B17</f>
        <v>45664.619944389473</v>
      </c>
      <c r="D17" s="8">
        <v>24</v>
      </c>
      <c r="E17" s="8">
        <v>1</v>
      </c>
      <c r="F17" s="8">
        <v>5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48.802692626967911</v>
      </c>
      <c r="K17" s="8">
        <v>100</v>
      </c>
      <c r="L17" s="8">
        <v>7.0000000000000007E-2</v>
      </c>
      <c r="M17" s="8">
        <v>7.0540000000000005E-2</v>
      </c>
      <c r="N17" s="8">
        <f>L17*K17*I17*C17*24*365/1000000000</f>
        <v>68.323769677755095</v>
      </c>
      <c r="O17" s="8">
        <f>M17*K17*I17*C17*24*365/1000000000</f>
        <v>68.850838758126343</v>
      </c>
    </row>
    <row r="18" spans="1:16" x14ac:dyDescent="0.25">
      <c r="J18">
        <f>SUM(J16:J17)</f>
        <v>69.506702161570274</v>
      </c>
    </row>
    <row r="20" spans="1:16" x14ac:dyDescent="0.25">
      <c r="M20" s="8" t="s">
        <v>82</v>
      </c>
      <c r="N20" s="8" t="s">
        <v>98</v>
      </c>
      <c r="O20" t="s">
        <v>99</v>
      </c>
      <c r="P20" t="s">
        <v>107</v>
      </c>
    </row>
    <row r="21" spans="1:16" x14ac:dyDescent="0.25">
      <c r="M21" s="8" t="s">
        <v>83</v>
      </c>
      <c r="N21" s="8">
        <f>N31/$J$24</f>
        <v>0.8611823442641553</v>
      </c>
      <c r="O21" s="8">
        <f t="shared" ref="O21:P21" si="3">O31/$J$24</f>
        <v>0.8611823442641553</v>
      </c>
      <c r="P21" s="8">
        <f t="shared" si="3"/>
        <v>0.8611823442641553</v>
      </c>
    </row>
    <row r="22" spans="1:16" x14ac:dyDescent="0.25">
      <c r="M22" s="8" t="s">
        <v>84</v>
      </c>
      <c r="N22" s="8">
        <f t="shared" ref="N22:P25" si="4">N32/$J$24</f>
        <v>0.14982313582208101</v>
      </c>
      <c r="O22" s="8">
        <f t="shared" si="4"/>
        <v>0.14982313582208101</v>
      </c>
      <c r="P22" s="8">
        <f t="shared" si="4"/>
        <v>0.14982313582208101</v>
      </c>
    </row>
    <row r="23" spans="1:16" x14ac:dyDescent="0.25">
      <c r="B23" s="9">
        <v>34268.107989845303</v>
      </c>
      <c r="C23" s="9">
        <v>0</v>
      </c>
      <c r="D23" s="9">
        <v>80113.3683234903</v>
      </c>
      <c r="J23" t="s">
        <v>117</v>
      </c>
      <c r="M23" s="8" t="s">
        <v>85</v>
      </c>
      <c r="N23" s="8">
        <f t="shared" si="4"/>
        <v>7.1360731283331438E-2</v>
      </c>
      <c r="O23" s="8">
        <f t="shared" si="4"/>
        <v>0.17929014544857647</v>
      </c>
      <c r="P23" s="8">
        <f t="shared" si="4"/>
        <v>0.18007455755474971</v>
      </c>
    </row>
    <row r="24" spans="1:16" x14ac:dyDescent="0.25">
      <c r="J24" s="8">
        <v>8813</v>
      </c>
      <c r="M24" s="8" t="s">
        <v>86</v>
      </c>
      <c r="N24" s="8">
        <f t="shared" si="4"/>
        <v>5.4118310568478392E-2</v>
      </c>
      <c r="O24" s="8">
        <f t="shared" si="4"/>
        <v>5.951478127674064E-2</v>
      </c>
      <c r="P24" s="8">
        <f t="shared" si="4"/>
        <v>5.9554001882049304E-2</v>
      </c>
    </row>
    <row r="25" spans="1:16" x14ac:dyDescent="0.25">
      <c r="M25" s="8" t="s">
        <v>87</v>
      </c>
      <c r="N25" s="8">
        <f t="shared" si="4"/>
        <v>7.5765634795869757E-2</v>
      </c>
      <c r="O25" s="8">
        <f t="shared" si="4"/>
        <v>8.3320693787436909E-2</v>
      </c>
      <c r="P25" s="8">
        <f t="shared" si="4"/>
        <v>8.3375602634869025E-2</v>
      </c>
    </row>
    <row r="26" spans="1:16" x14ac:dyDescent="0.25">
      <c r="M26" s="8"/>
      <c r="N26" s="28">
        <f>SUM(N21:N25)</f>
        <v>1.2122501567339159</v>
      </c>
      <c r="O26" s="28">
        <f>SUM(O21:O25)</f>
        <v>1.3331311005989903</v>
      </c>
      <c r="P26" s="28">
        <f>SUM(P21:P25)</f>
        <v>1.3340096421579044</v>
      </c>
    </row>
    <row r="30" spans="1:16" x14ac:dyDescent="0.25">
      <c r="M30" s="8" t="s">
        <v>82</v>
      </c>
      <c r="N30" s="8" t="s">
        <v>98</v>
      </c>
      <c r="O30" s="8" t="s">
        <v>99</v>
      </c>
      <c r="P30" s="8" t="s">
        <v>107</v>
      </c>
    </row>
    <row r="31" spans="1:16" x14ac:dyDescent="0.25">
      <c r="M31" s="8" t="s">
        <v>83</v>
      </c>
      <c r="N31" s="8">
        <f>Table4[[#Totals],[Total Rent cost per year]]</f>
        <v>7589.6</v>
      </c>
      <c r="O31" s="8">
        <f>Table4[[#Totals],[Total Rent cost per year]]</f>
        <v>7589.6</v>
      </c>
      <c r="P31" s="8">
        <f>Table4[[#Totals],[Total Rent cost per year]]</f>
        <v>7589.6</v>
      </c>
    </row>
    <row r="32" spans="1:16" x14ac:dyDescent="0.25">
      <c r="M32" s="8" t="s">
        <v>84</v>
      </c>
      <c r="N32" s="8">
        <f>Table4[[#Totals],[Energy Cost per year in CU]]</f>
        <v>1320.391296</v>
      </c>
      <c r="O32" s="8">
        <f>Table4[[#Totals],[Energy Cost per year in CU]]</f>
        <v>1320.391296</v>
      </c>
      <c r="P32" s="8">
        <f>Table4[[#Totals],[Energy Cost per year in CU]]</f>
        <v>1320.391296</v>
      </c>
    </row>
    <row r="33" spans="13:16" x14ac:dyDescent="0.25">
      <c r="M33" s="8" t="s">
        <v>85</v>
      </c>
      <c r="N33" s="8">
        <f>Table4[[#Totals],[FM Cost]]+J28</f>
        <v>628.90212480000002</v>
      </c>
      <c r="O33" s="8">
        <f>Table4[[#Totals],[FM Cost]]+$J$18+N26+N27+Table4[[#Totals],[FM Penalty Business]]</f>
        <v>1580.0840518383043</v>
      </c>
      <c r="P33" s="8">
        <f>Table4[[#Totals],[FM Cost]]+$J$18+O26+O27+Table4[[#Totals],[FM Penalty ITS]]</f>
        <v>1586.9970757300093</v>
      </c>
    </row>
    <row r="34" spans="13:16" x14ac:dyDescent="0.25">
      <c r="M34" s="8" t="s">
        <v>86</v>
      </c>
      <c r="N34" s="8">
        <f>0.05*SUM(N31:N33)</f>
        <v>476.94467104000006</v>
      </c>
      <c r="O34" s="8">
        <f>0.05*SUM(O31:O33)</f>
        <v>524.50376739191529</v>
      </c>
      <c r="P34" s="8">
        <f>0.05*SUM(P31:P33)</f>
        <v>524.84941858650052</v>
      </c>
    </row>
    <row r="35" spans="13:16" x14ac:dyDescent="0.25">
      <c r="M35" s="8" t="s">
        <v>87</v>
      </c>
      <c r="N35" s="8">
        <f>0.07*SUM(N31:N33)</f>
        <v>667.72253945600016</v>
      </c>
      <c r="O35" s="8">
        <f>0.07*SUM(O31:O33)</f>
        <v>734.30527434868145</v>
      </c>
      <c r="P35" s="8">
        <f>0.07*SUM(P31:P33)</f>
        <v>734.7891860211007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I13" workbookViewId="0">
      <selection activeCell="J37" sqref="J37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21.42578125" style="8" customWidth="1"/>
    <col min="28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8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8" t="s">
        <v>3</v>
      </c>
      <c r="B2" s="24" t="s">
        <v>58</v>
      </c>
      <c r="C2" s="8">
        <v>80</v>
      </c>
      <c r="D2" s="23">
        <f>15*2</f>
        <v>30</v>
      </c>
      <c r="E2" s="8">
        <v>5</v>
      </c>
      <c r="F2" s="8">
        <f>Table36[[#This Row],[Floor Space per component]]*Table36[[#This Row],[Quantity]]</f>
        <v>150</v>
      </c>
      <c r="G2" s="8">
        <v>10.6</v>
      </c>
      <c r="H2" s="8">
        <f>Table36[[#This Row],[Rent per sqm per year]]*Table36[[#This Row],[Total Floor Space]]</f>
        <v>1590</v>
      </c>
      <c r="I2" s="8">
        <f>0.5+(1/6)*Table36[[#This Row],[Quantity]]</f>
        <v>5.5</v>
      </c>
      <c r="J2" s="8">
        <v>2</v>
      </c>
      <c r="K2" s="8">
        <v>256</v>
      </c>
      <c r="L2" s="8">
        <f>100*Table36[[#This Row],[Quantity]]</f>
        <v>3000</v>
      </c>
      <c r="M2" s="8">
        <f>Table36[[#This Row],[Energy consumption in W]]*24*365/1000</f>
        <v>26280</v>
      </c>
      <c r="N2" s="8">
        <f>0.15/50</f>
        <v>3.0000000000000001E-3</v>
      </c>
      <c r="O2" s="8">
        <f>Table36[[#This Row],[Yearly Energy Consumption in kWh]]*Table36[[#This Row],[CU/kWh]]</f>
        <v>78.84</v>
      </c>
      <c r="P2" s="8">
        <v>0</v>
      </c>
      <c r="Q2" s="8">
        <v>20</v>
      </c>
      <c r="R2" s="8">
        <f>Table36[[#This Row],[Quantity]]*(Table36[[#This Row],[FIT]]*24*365)/1000000000</f>
        <v>6.7276799999999998E-2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v>5</v>
      </c>
      <c r="W2" s="8">
        <f>Table36[[#This Row],[Cost per hour]]*Table36[[#This Row],[Total Time to Repair(h)]]*Table36[[#This Row],[Failures per year]]</f>
        <v>0.67276800000000003</v>
      </c>
      <c r="X2" s="8">
        <v>100</v>
      </c>
      <c r="Y2" s="8">
        <v>7.0000000000000007E-2</v>
      </c>
      <c r="Z2" s="8">
        <v>7.0540000000000005E-2</v>
      </c>
      <c r="AA2" s="8">
        <f>Table36[[#This Row],[Percentage of Business Users]]*Table36[[#This Row],[SLA CU per hour]]*Table36[[#This Row],[Failures per year]]*Table36[[#This Row],[Total Time to Repair(h)]]</f>
        <v>0.94187520000000013</v>
      </c>
      <c r="AB2" s="8">
        <f>Table36[[#This Row],[Percentage of ITS and business users]]*Table36[[#This Row],[SLA CU per hour]]*Table36[[#This Row],[Failures per year]]*Table36[[#This Row],[Total Time to Repair(h)]]</f>
        <v>0.94914109440000005</v>
      </c>
    </row>
    <row r="3" spans="1:28" x14ac:dyDescent="0.25">
      <c r="A3" s="8" t="s">
        <v>3</v>
      </c>
      <c r="B3" s="24" t="s">
        <v>59</v>
      </c>
      <c r="C3" s="8">
        <v>12</v>
      </c>
      <c r="D3" s="23">
        <f>15*6*2</f>
        <v>180</v>
      </c>
      <c r="E3" s="8">
        <v>1</v>
      </c>
      <c r="F3" s="8">
        <f>Table36[[#This Row],[Floor Space per component]]*Table36[[#This Row],[Quantity]]</f>
        <v>180</v>
      </c>
      <c r="G3" s="8">
        <v>10.6</v>
      </c>
      <c r="H3" s="8">
        <f>Table36[[#This Row],[Rent per sqm per year]]*Table36[[#This Row],[Total Floor Space]]</f>
        <v>1908</v>
      </c>
      <c r="I3" s="8">
        <v>0</v>
      </c>
      <c r="J3" s="8">
        <v>0</v>
      </c>
      <c r="K3" s="8">
        <v>0</v>
      </c>
      <c r="L3" s="8">
        <f>100*Table36[[#This Row],[Quantity]]</f>
        <v>18000</v>
      </c>
      <c r="M3" s="8">
        <f>Table36[[#This Row],[Energy consumption in W]]*24*365/1000</f>
        <v>157680</v>
      </c>
      <c r="N3" s="8">
        <f t="shared" ref="N3:N10" si="0">0.15/50</f>
        <v>3.0000000000000001E-3</v>
      </c>
      <c r="O3" s="8">
        <f>Table36[[#This Row],[Yearly Energy Consumption in kWh]]*Table36[[#This Row],[CU/kWh]]</f>
        <v>473.04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v>5</v>
      </c>
      <c r="W3" s="8">
        <f>Table36[[#This Row],[Cost per hour]]*Table36[[#This Row],[Total Time to Repair(h)]]*Table36[[#This Row],[Failures per year]]</f>
        <v>0</v>
      </c>
      <c r="X3" s="8">
        <v>100</v>
      </c>
      <c r="Y3" s="8">
        <v>7.0000000000000007E-2</v>
      </c>
      <c r="Z3" s="8">
        <v>7.0540000000000005E-2</v>
      </c>
      <c r="AA3" s="8">
        <f>Table36[[#This Row],[Percentage of Business Users]]*Table36[[#This Row],[SLA CU per hour]]*Table36[[#This Row],[Failures per year]]*Table36[[#This Row],[Total Time to Repair(h)]]</f>
        <v>0</v>
      </c>
      <c r="AB3" s="8">
        <f>Table36[[#This Row],[Percentage of ITS and business users]]*Table36[[#This Row],[SLA CU per hour]]*Table36[[#This Row],[Failures per year]]*Table36[[#This Row],[Total Time to Repair(h)]]</f>
        <v>0</v>
      </c>
    </row>
    <row r="4" spans="1:28" x14ac:dyDescent="0.25">
      <c r="A4" s="8" t="s">
        <v>3</v>
      </c>
      <c r="B4" s="24" t="s">
        <v>6</v>
      </c>
      <c r="C4" s="8">
        <v>1.1111111111111112E-2</v>
      </c>
      <c r="D4" s="23">
        <f>880*2</f>
        <v>1760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1760</v>
      </c>
      <c r="M4" s="8">
        <f>Table36[[#This Row],[Energy consumption in W]]*24*365/1000</f>
        <v>15417.6</v>
      </c>
      <c r="N4" s="8">
        <f t="shared" si="0"/>
        <v>3.0000000000000001E-3</v>
      </c>
      <c r="O4" s="8">
        <f>Table36[[#This Row],[Yearly Energy Consumption in kWh]]*Table36[[#This Row],[CU/kWh]]</f>
        <v>46.252800000000001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v>5</v>
      </c>
      <c r="W4" s="8">
        <f>Table36[[#This Row],[Cost per hour]]*Table36[[#This Row],[Total Time to Repair(h)]]*Table36[[#This Row],[Failures per year]]</f>
        <v>0</v>
      </c>
      <c r="X4" s="8">
        <v>100</v>
      </c>
      <c r="Y4" s="8">
        <v>7.0000000000000007E-2</v>
      </c>
      <c r="Z4" s="8">
        <v>7.0540000000000005E-2</v>
      </c>
      <c r="AA4" s="8">
        <f>Table36[[#This Row],[Percentage of Business Users]]*Table36[[#This Row],[SLA CU per hour]]*Table36[[#This Row],[Failures per year]]*Table36[[#This Row],[Total Time to Repair(h)]]</f>
        <v>0</v>
      </c>
      <c r="AB4" s="8">
        <f>Table36[[#This Row],[Percentage of ITS and business users]]*Table36[[#This Row],[SLA CU per hour]]*Table36[[#This Row],[Failures per year]]*Table36[[#This Row],[Total Time to Repair(h)]]</f>
        <v>0</v>
      </c>
    </row>
    <row r="5" spans="1:28" x14ac:dyDescent="0.25">
      <c r="A5" s="8" t="s">
        <v>3</v>
      </c>
      <c r="B5" s="24" t="s">
        <v>7</v>
      </c>
      <c r="C5" s="8">
        <v>200</v>
      </c>
      <c r="D5" s="23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3.0000000000000001E-3</v>
      </c>
      <c r="O5" s="8">
        <f>Table36[[#This Row],[Yearly Energy Consumption in kWh]]*Table36[[#This Row],[CU/kWh]]</f>
        <v>2.6280000000000001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v>5</v>
      </c>
      <c r="W5" s="8">
        <f>Table36[[#This Row],[Cost per hour]]*Table36[[#This Row],[Total Time to Repair(h)]]*Table36[[#This Row],[Failures per year]]</f>
        <v>0</v>
      </c>
      <c r="X5" s="8">
        <v>100</v>
      </c>
      <c r="Y5" s="8">
        <v>7.0000000000000007E-2</v>
      </c>
      <c r="Z5" s="8">
        <v>7.0540000000000005E-2</v>
      </c>
      <c r="AA5" s="8">
        <f>Table36[[#This Row],[Percentage of Business Users]]*Table36[[#This Row],[SLA CU per hour]]*Table36[[#This Row],[Failures per year]]*Table36[[#This Row],[Total Time to Repair(h)]]</f>
        <v>0</v>
      </c>
      <c r="AB5" s="8">
        <f>Table36[[#This Row],[Percentage of ITS and business users]]*Table36[[#This Row],[SLA CU per hour]]*Table36[[#This Row],[Failures per year]]*Table36[[#This Row],[Total Time to Repair(h)]]</f>
        <v>0</v>
      </c>
    </row>
    <row r="6" spans="1:28" x14ac:dyDescent="0.25">
      <c r="A6" s="8" t="s">
        <v>8</v>
      </c>
      <c r="B6" s="24" t="s">
        <v>9</v>
      </c>
      <c r="C6" s="8">
        <v>1.8</v>
      </c>
      <c r="D6" s="23">
        <f>4*34</f>
        <v>136</v>
      </c>
      <c r="E6" s="8">
        <v>1</v>
      </c>
      <c r="F6" s="8">
        <f>Table36[[#This Row],[Floor Space per component]]*Table36[[#This Row],[Quantity]]</f>
        <v>136</v>
      </c>
      <c r="G6" s="8">
        <v>10.6</v>
      </c>
      <c r="H6" s="8">
        <f>Table36[[#This Row],[Rent per sqm per year]]*Table36[[#This Row],[Total Floor Space]]</f>
        <v>1441.6</v>
      </c>
      <c r="I6" s="8">
        <f>1/6*(1+Table36[[#This Row],[Quantity]])</f>
        <v>22.833333333333332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3.0000000000000001E-3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5.9568000000000003E-2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v>5</v>
      </c>
      <c r="W6" s="8">
        <f>Table36[[#This Row],[Cost per hour]]*Table36[[#This Row],[Total Time to Repair(h)]]*Table36[[#This Row],[Failures per year]]</f>
        <v>1.8317160000000001</v>
      </c>
      <c r="X6" s="8">
        <v>100</v>
      </c>
      <c r="Y6" s="8">
        <v>7.0000000000000007E-2</v>
      </c>
      <c r="Z6" s="8">
        <v>7.0540000000000005E-2</v>
      </c>
      <c r="AA6" s="8">
        <f>Table36[[#This Row],[Percentage of Business Users]]*Table36[[#This Row],[SLA CU per hour]]*Table36[[#This Row],[Failures per year]]*Table36[[#This Row],[Total Time to Repair(h)]]</f>
        <v>2.5644024000000005</v>
      </c>
      <c r="AB6" s="8">
        <f>Table36[[#This Row],[Percentage of ITS and business users]]*Table36[[#This Row],[SLA CU per hour]]*Table36[[#This Row],[Failures per year]]*Table36[[#This Row],[Total Time to Repair(h)]]</f>
        <v>2.5841849328000004</v>
      </c>
    </row>
    <row r="7" spans="1:28" x14ac:dyDescent="0.25">
      <c r="A7" s="8" t="s">
        <v>8</v>
      </c>
      <c r="B7" s="24" t="s">
        <v>59</v>
      </c>
      <c r="C7" s="8">
        <v>12</v>
      </c>
      <c r="D7" s="23">
        <f>4*34</f>
        <v>136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612</v>
      </c>
      <c r="M7" s="8">
        <f>Table36[[#This Row],[Energy consumption in W]]*24*365/1000</f>
        <v>5361.12</v>
      </c>
      <c r="N7" s="8">
        <f t="shared" si="0"/>
        <v>3.0000000000000001E-3</v>
      </c>
      <c r="O7" s="8">
        <f>Table36[[#This Row],[Yearly Energy Consumption in kWh]]*Table36[[#This Row],[CU/kWh]]</f>
        <v>16.083359999999999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v>5</v>
      </c>
      <c r="W7" s="8">
        <f>Table36[[#This Row],[Cost per hour]]*Table36[[#This Row],[Total Time to Repair(h)]]*Table36[[#This Row],[Failures per year]]</f>
        <v>0</v>
      </c>
      <c r="X7" s="8">
        <v>100</v>
      </c>
      <c r="Y7" s="8">
        <v>7.0000000000000007E-2</v>
      </c>
      <c r="Z7" s="8">
        <v>7.0540000000000005E-2</v>
      </c>
      <c r="AA7" s="8">
        <f>Table36[[#This Row],[Percentage of Business Users]]*Table36[[#This Row],[SLA CU per hour]]*Table36[[#This Row],[Failures per year]]*Table36[[#This Row],[Total Time to Repair(h)]]</f>
        <v>0</v>
      </c>
      <c r="AB7" s="8">
        <f>Table36[[#This Row],[Percentage of ITS and business users]]*Table36[[#This Row],[SLA CU per hour]]*Table36[[#This Row],[Failures per year]]*Table36[[#This Row],[Total Time to Repair(h)]]</f>
        <v>0</v>
      </c>
    </row>
    <row r="8" spans="1:28" x14ac:dyDescent="0.25">
      <c r="A8" s="8" t="s">
        <v>10</v>
      </c>
      <c r="B8" s="24" t="s">
        <v>9</v>
      </c>
      <c r="C8" s="8">
        <v>1.8</v>
      </c>
      <c r="D8" s="23">
        <f>4*279</f>
        <v>1116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186.16666666666666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3.0000000000000001E-3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0.48880800000000002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v>5</v>
      </c>
      <c r="W8" s="8">
        <f>Table36[[#This Row],[Cost per hour]]*Table36[[#This Row],[Total Time to Repair(h)]]*Table36[[#This Row],[Failures per year]]</f>
        <v>15.153048</v>
      </c>
      <c r="X8" s="8">
        <v>100</v>
      </c>
      <c r="Y8" s="8">
        <v>7.0000000000000007E-2</v>
      </c>
      <c r="Z8" s="8">
        <v>7.0540000000000005E-2</v>
      </c>
      <c r="AA8" s="8">
        <f>Table36[[#This Row],[Percentage of Business Users]]*Table36[[#This Row],[SLA CU per hour]]*Table36[[#This Row],[Failures per year]]*Table36[[#This Row],[Total Time to Repair(h)]]</f>
        <v>21.214267200000002</v>
      </c>
      <c r="AB8" s="8">
        <f>Table36[[#This Row],[Percentage of ITS and business users]]*Table36[[#This Row],[SLA CU per hour]]*Table36[[#This Row],[Failures per year]]*Table36[[#This Row],[Total Time to Repair(h)]]</f>
        <v>21.377920118400002</v>
      </c>
    </row>
    <row r="9" spans="1:28" x14ac:dyDescent="0.25">
      <c r="A9" s="8" t="s">
        <v>13</v>
      </c>
      <c r="B9" s="24" t="s">
        <v>9</v>
      </c>
      <c r="C9" s="8">
        <v>1.8</v>
      </c>
      <c r="D9" s="23">
        <v>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0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3.0000000000000001E-3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0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v>5</v>
      </c>
      <c r="W9" s="8">
        <f>Table36[[#This Row],[Cost per hour]]*Table36[[#This Row],[Total Time to Repair(h)]]*Table36[[#This Row],[Failures per year]]</f>
        <v>0</v>
      </c>
      <c r="X9" s="8">
        <v>100</v>
      </c>
      <c r="Y9" s="8">
        <v>7.0000000000000007E-2</v>
      </c>
      <c r="Z9" s="8">
        <v>7.0540000000000005E-2</v>
      </c>
      <c r="AA9" s="8">
        <f>Table36[[#This Row],[Percentage of Business Users]]*Table36[[#This Row],[SLA CU per hour]]*Table36[[#This Row],[Failures per year]]*Table36[[#This Row],[Total Time to Repair(h)]]</f>
        <v>0</v>
      </c>
      <c r="AB9" s="8">
        <f>Table36[[#This Row],[Percentage of ITS and business users]]*Table36[[#This Row],[SLA CU per hour]]*Table36[[#This Row],[Failures per year]]*Table36[[#This Row],[Total Time to Repair(h)]]</f>
        <v>0</v>
      </c>
    </row>
    <row r="10" spans="1:28" x14ac:dyDescent="0.25">
      <c r="A10" s="8" t="s">
        <v>13</v>
      </c>
      <c r="B10" s="24" t="s">
        <v>61</v>
      </c>
      <c r="C10" s="8">
        <v>3.8</v>
      </c>
      <c r="D10" s="23">
        <v>8900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8900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3.0000000000000001E-3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19.958784000000001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v>5</v>
      </c>
      <c r="W10" s="8">
        <f>Table36[[#This Row],[Cost per hour]]*Table36[[#This Row],[Total Time to Repair(h)]]*Table36[[#This Row],[Failures per year]]</f>
        <v>621.21715200000006</v>
      </c>
      <c r="X10" s="8">
        <v>100</v>
      </c>
      <c r="Y10" s="8">
        <v>7.0000000000000007E-2</v>
      </c>
      <c r="Z10" s="8">
        <v>7.0540000000000005E-2</v>
      </c>
      <c r="AA10" s="8">
        <f>Table36[[#This Row],[Percentage of Business Users]]*Table36[[#This Row],[SLA CU per hour]]*Table36[[#This Row],[Failures per year]]*Table36[[#This Row],[Total Time to Repair(h)]]</f>
        <v>869.7040128000001</v>
      </c>
      <c r="AB10" s="8">
        <f>Table36[[#This Row],[Percentage of ITS and business users]]*Table36[[#This Row],[SLA CU per hour]]*Table36[[#This Row],[Failures per year]]*Table36[[#This Row],[Total Time to Repair(h)]]</f>
        <v>876.41315804160001</v>
      </c>
    </row>
    <row r="11" spans="1:28" x14ac:dyDescent="0.25">
      <c r="H11" s="8">
        <f>SUM(Table36[Total Rent cost per year])</f>
        <v>5151.6000000000004</v>
      </c>
      <c r="O11" s="8">
        <f>SUBTOTAL(109,Table36[Energy Cost per year in CU])</f>
        <v>616.84415999999999</v>
      </c>
      <c r="W11" s="8">
        <f>SUBTOTAL(109,Table36[FM Cost])</f>
        <v>638.874684</v>
      </c>
      <c r="AA11" s="8">
        <f>SUBTOTAL(109,Table36[FM Penalty Business])</f>
        <v>894.42455760000007</v>
      </c>
      <c r="AB11" s="8">
        <f>SUBTOTAL(109,Table36[FM Penalty ITS])</f>
        <v>901.3244041872</v>
      </c>
    </row>
    <row r="14" spans="1:28" x14ac:dyDescent="0.25">
      <c r="A14" s="8" t="s">
        <v>38</v>
      </c>
      <c r="B14" s="8" t="s">
        <v>63</v>
      </c>
      <c r="C14" s="8" t="s">
        <v>64</v>
      </c>
      <c r="D14" s="8" t="s">
        <v>17</v>
      </c>
      <c r="E14" s="8" t="s">
        <v>65</v>
      </c>
      <c r="F14" s="8" t="s">
        <v>26</v>
      </c>
      <c r="G14" s="8" t="s">
        <v>66</v>
      </c>
      <c r="H14" s="8" t="s">
        <v>67</v>
      </c>
      <c r="I14" s="8" t="s">
        <v>68</v>
      </c>
      <c r="M14" s="8" t="s">
        <v>69</v>
      </c>
    </row>
    <row r="15" spans="1:28" x14ac:dyDescent="0.25">
      <c r="B15" s="9">
        <f>B32/1000</f>
        <v>23.5443378937644</v>
      </c>
      <c r="C15" s="8">
        <v>570</v>
      </c>
      <c r="E15" s="8">
        <v>20</v>
      </c>
      <c r="M15" s="8">
        <f>Table36[[#Totals],[Total Rent cost per year]]+Table36[[#Totals],[Energy Cost per year in CU]]+Table36[[#Totals],[FM Cost]]+I23</f>
        <v>6494.966033520388</v>
      </c>
    </row>
    <row r="16" spans="1:28" x14ac:dyDescent="0.25">
      <c r="B16" s="9">
        <f>C32/1000</f>
        <v>40.907142383199997</v>
      </c>
      <c r="C16" s="8">
        <v>570</v>
      </c>
      <c r="E16" s="8">
        <v>20</v>
      </c>
    </row>
    <row r="17" spans="1:19" x14ac:dyDescent="0.25">
      <c r="B17" s="9">
        <f>(D32)/1000</f>
        <v>80.052897226756102</v>
      </c>
      <c r="C17" s="8">
        <v>570</v>
      </c>
      <c r="E17" s="8">
        <v>20</v>
      </c>
    </row>
    <row r="19" spans="1:19" x14ac:dyDescent="0.25">
      <c r="A19" s="8" t="s">
        <v>39</v>
      </c>
      <c r="B19" s="8" t="s">
        <v>17</v>
      </c>
      <c r="C19" s="8" t="s">
        <v>16</v>
      </c>
      <c r="D19" s="8" t="s">
        <v>40</v>
      </c>
      <c r="E19" s="8" t="s">
        <v>30</v>
      </c>
      <c r="F19" s="8" t="s">
        <v>44</v>
      </c>
      <c r="G19" s="8" t="s">
        <v>47</v>
      </c>
      <c r="H19" s="8" t="s">
        <v>48</v>
      </c>
      <c r="I19" s="8" t="s">
        <v>50</v>
      </c>
      <c r="J19" s="8" t="s">
        <v>97</v>
      </c>
      <c r="K19" s="8" t="s">
        <v>103</v>
      </c>
      <c r="L19" s="8" t="s">
        <v>104</v>
      </c>
      <c r="M19" s="8" t="s">
        <v>105</v>
      </c>
      <c r="N19" s="8" t="s">
        <v>106</v>
      </c>
      <c r="O19" s="8" t="s">
        <v>97</v>
      </c>
      <c r="P19" s="8" t="s">
        <v>103</v>
      </c>
      <c r="Q19" s="8" t="s">
        <v>104</v>
      </c>
      <c r="R19" s="8" t="s">
        <v>105</v>
      </c>
      <c r="S19" s="8" t="s">
        <v>106</v>
      </c>
    </row>
    <row r="20" spans="1:19" x14ac:dyDescent="0.25">
      <c r="A20" s="8" t="s">
        <v>41</v>
      </c>
      <c r="B20" s="8">
        <f>C15*B15</f>
        <v>13420.272599445709</v>
      </c>
      <c r="C20" s="15">
        <v>24</v>
      </c>
      <c r="D20" s="8">
        <v>1</v>
      </c>
      <c r="E20" s="8">
        <v>5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14.166171350522903</v>
      </c>
      <c r="J20" s="8">
        <v>100</v>
      </c>
      <c r="K20" s="8">
        <v>7.0000000000000007E-2</v>
      </c>
      <c r="L20" s="8">
        <v>7.0250000000000007E-2</v>
      </c>
      <c r="M20" s="8">
        <f>K20*J20*H20*B20*24*365/1000000000</f>
        <v>19.832639890732072</v>
      </c>
      <c r="N20" s="8">
        <f>L20*J20*H20*B20*24*365/1000000000</f>
        <v>19.903470747484679</v>
      </c>
      <c r="O20" s="8">
        <v>100</v>
      </c>
      <c r="P20" s="8">
        <v>7.0000000000000007E-2</v>
      </c>
      <c r="Q20" s="8">
        <v>7.0250000000000007E-2</v>
      </c>
      <c r="R20" s="8">
        <f>P20*O20*M20*G20*24*365/1000000000</f>
        <v>1.2161374780996909E-4</v>
      </c>
      <c r="S20" s="8">
        <f>Q20*O20*M20*G20*24*365/1000000000</f>
        <v>1.2204808262357612E-4</v>
      </c>
    </row>
    <row r="21" spans="1:19" x14ac:dyDescent="0.25">
      <c r="A21" s="8" t="s">
        <v>42</v>
      </c>
      <c r="B21" s="8">
        <f>C16*B16</f>
        <v>23317.071158423998</v>
      </c>
      <c r="C21" s="15">
        <v>24</v>
      </c>
      <c r="D21" s="8">
        <v>1</v>
      </c>
      <c r="E21" s="8">
        <v>5</v>
      </c>
      <c r="F21" s="8">
        <v>2</v>
      </c>
      <c r="G21" s="8">
        <f t="shared" ref="G21:G22" si="1">2*F21/20</f>
        <v>0.2</v>
      </c>
      <c r="H21" s="8">
        <f t="shared" ref="H21:H22" si="2">G21+C21</f>
        <v>24.2</v>
      </c>
      <c r="I21" s="8">
        <f>B21*24*365*E21*FTTB_XGPON_50!H21/1000000000</f>
        <v>24.715162745083102</v>
      </c>
      <c r="J21" s="8">
        <v>100</v>
      </c>
      <c r="K21" s="8">
        <v>7.0000000000000007E-2</v>
      </c>
      <c r="L21" s="8">
        <v>7.0250000000000007E-2</v>
      </c>
      <c r="M21" s="8">
        <f t="shared" ref="M21" si="3">K21*J21*H21*B21*24*365/1000000000</f>
        <v>34.601227843116341</v>
      </c>
      <c r="N21" s="8">
        <f t="shared" ref="N21:N22" si="4">L21*J21*H21*B21*24*365/1000000000</f>
        <v>34.724803656841758</v>
      </c>
      <c r="O21" s="8">
        <v>100</v>
      </c>
      <c r="P21" s="8">
        <v>7.0000000000000007E-2</v>
      </c>
      <c r="Q21" s="8">
        <v>7.0250000000000007E-2</v>
      </c>
      <c r="R21" s="8">
        <f t="shared" ref="R21:R22" si="5">P21*O21*M21*G21*24*365/1000000000</f>
        <v>4.2434945826797893E-4</v>
      </c>
      <c r="S21" s="8">
        <f t="shared" ref="S21:S22" si="6">Q21*O21*M21*G21*24*365/1000000000</f>
        <v>4.2586499204750743E-4</v>
      </c>
    </row>
    <row r="22" spans="1:19" x14ac:dyDescent="0.25">
      <c r="A22" s="8" t="s">
        <v>62</v>
      </c>
      <c r="B22" s="8">
        <f>C17*B17</f>
        <v>45630.151419250979</v>
      </c>
      <c r="C22" s="15">
        <v>24</v>
      </c>
      <c r="D22" s="8">
        <v>2</v>
      </c>
      <c r="E22" s="8">
        <v>5</v>
      </c>
      <c r="F22" s="8">
        <v>4</v>
      </c>
      <c r="G22" s="8">
        <f t="shared" si="1"/>
        <v>0.4</v>
      </c>
      <c r="H22" s="8">
        <f t="shared" si="2"/>
        <v>24.4</v>
      </c>
      <c r="I22" s="8">
        <f>B22*24*365*E22*FTTB_XGPON_50!H22/1000000000</f>
        <v>48.765855424781897</v>
      </c>
      <c r="J22" s="8">
        <v>100</v>
      </c>
      <c r="K22" s="8">
        <v>7.0000000000000007E-2</v>
      </c>
      <c r="L22" s="8">
        <v>7.0250000000000007E-2</v>
      </c>
      <c r="M22" s="8">
        <f>K22*J22*H22*B22*24*365/1000000000</f>
        <v>68.272197594694674</v>
      </c>
      <c r="N22" s="8">
        <f t="shared" si="4"/>
        <v>68.516026871818582</v>
      </c>
      <c r="O22" s="8">
        <v>100</v>
      </c>
      <c r="P22" s="8">
        <v>7.0000000000000007E-2</v>
      </c>
      <c r="Q22" s="8">
        <v>7.0250000000000007E-2</v>
      </c>
      <c r="R22" s="8">
        <f t="shared" si="5"/>
        <v>1.6745804626026712E-3</v>
      </c>
      <c r="S22" s="8">
        <f t="shared" si="6"/>
        <v>1.6805611071119663E-3</v>
      </c>
    </row>
    <row r="23" spans="1:19" x14ac:dyDescent="0.25">
      <c r="I23" s="8">
        <f>SUM(I20:I22)</f>
        <v>87.647189520387911</v>
      </c>
    </row>
    <row r="32" spans="1:19" x14ac:dyDescent="0.25">
      <c r="B32" s="9">
        <v>23544.337893764401</v>
      </c>
      <c r="C32" s="9">
        <v>40907.1423832</v>
      </c>
      <c r="D32" s="9">
        <v>80052.897226756104</v>
      </c>
    </row>
    <row r="35" spans="10:15" x14ac:dyDescent="0.25">
      <c r="L35" s="8" t="s">
        <v>82</v>
      </c>
      <c r="M35" s="8" t="s">
        <v>98</v>
      </c>
      <c r="N35" s="8" t="s">
        <v>99</v>
      </c>
      <c r="O35" s="8" t="s">
        <v>107</v>
      </c>
    </row>
    <row r="36" spans="10:15" x14ac:dyDescent="0.25">
      <c r="J36" s="8" t="s">
        <v>117</v>
      </c>
      <c r="L36" s="8" t="s">
        <v>83</v>
      </c>
      <c r="M36" s="8">
        <f>M46/$J$37</f>
        <v>0.58454555769885397</v>
      </c>
      <c r="N36" s="8">
        <f t="shared" ref="N36:O36" si="7">N46/$J$37</f>
        <v>0.58454555769885397</v>
      </c>
      <c r="O36" s="8">
        <f t="shared" si="7"/>
        <v>0.58454555769885397</v>
      </c>
    </row>
    <row r="37" spans="10:15" x14ac:dyDescent="0.25">
      <c r="J37" s="8">
        <v>8813</v>
      </c>
      <c r="L37" s="8" t="s">
        <v>84</v>
      </c>
      <c r="M37" s="8">
        <f t="shared" ref="M37:O40" si="8">M47/$J$37</f>
        <v>6.9992529218200386E-2</v>
      </c>
      <c r="N37" s="8">
        <f t="shared" si="8"/>
        <v>6.9992529218200386E-2</v>
      </c>
      <c r="O37" s="8">
        <f t="shared" si="8"/>
        <v>6.9992529218200386E-2</v>
      </c>
    </row>
    <row r="38" spans="10:15" x14ac:dyDescent="0.25">
      <c r="L38" s="8" t="s">
        <v>85</v>
      </c>
      <c r="M38" s="8">
        <f t="shared" si="8"/>
        <v>7.24923050039714E-2</v>
      </c>
      <c r="N38" s="8">
        <f t="shared" si="8"/>
        <v>0.18392674811305887</v>
      </c>
      <c r="O38" s="8">
        <f t="shared" si="8"/>
        <v>0.18470966500710176</v>
      </c>
    </row>
    <row r="39" spans="10:15" x14ac:dyDescent="0.25">
      <c r="L39" s="8" t="s">
        <v>86</v>
      </c>
      <c r="M39" s="8">
        <f t="shared" si="8"/>
        <v>3.6351519596051297E-2</v>
      </c>
      <c r="N39" s="8">
        <f t="shared" si="8"/>
        <v>4.1923241751505663E-2</v>
      </c>
      <c r="O39" s="8">
        <f t="shared" si="8"/>
        <v>4.1962387596207816E-2</v>
      </c>
    </row>
    <row r="40" spans="10:15" x14ac:dyDescent="0.25">
      <c r="L40" s="8" t="s">
        <v>87</v>
      </c>
      <c r="M40" s="8">
        <f t="shared" si="8"/>
        <v>5.0892127434471808E-2</v>
      </c>
      <c r="N40" s="8">
        <f t="shared" si="8"/>
        <v>5.869253845210793E-2</v>
      </c>
      <c r="O40" s="8">
        <f t="shared" si="8"/>
        <v>5.8747342634690933E-2</v>
      </c>
    </row>
    <row r="41" spans="10:15" x14ac:dyDescent="0.25">
      <c r="M41" s="28">
        <f>SUM(M36:M40)</f>
        <v>0.81427403895154893</v>
      </c>
      <c r="N41" s="28">
        <f>SUM(N36:N40)</f>
        <v>0.93908061523372688</v>
      </c>
      <c r="O41" s="28">
        <f>SUM(O36:O40)</f>
        <v>0.93995748215505492</v>
      </c>
    </row>
    <row r="45" spans="10:15" x14ac:dyDescent="0.25">
      <c r="L45" s="8" t="s">
        <v>82</v>
      </c>
      <c r="M45" s="8" t="s">
        <v>98</v>
      </c>
      <c r="N45" s="8" t="s">
        <v>99</v>
      </c>
      <c r="O45" s="8" t="s">
        <v>107</v>
      </c>
    </row>
    <row r="46" spans="10:15" x14ac:dyDescent="0.25">
      <c r="L46" s="8" t="s">
        <v>83</v>
      </c>
      <c r="M46" s="8">
        <f>Table36[[#Totals],[Total Rent cost per year]]</f>
        <v>5151.6000000000004</v>
      </c>
      <c r="N46" s="8">
        <f>Table36[[#Totals],[Total Rent cost per year]]</f>
        <v>5151.6000000000004</v>
      </c>
      <c r="O46" s="8">
        <f>Table36[[#Totals],[Total Rent cost per year]]</f>
        <v>5151.6000000000004</v>
      </c>
    </row>
    <row r="47" spans="10:15" x14ac:dyDescent="0.25">
      <c r="L47" s="8" t="s">
        <v>84</v>
      </c>
      <c r="M47" s="8">
        <f>Table36[[#Totals],[Energy Cost per year in CU]]</f>
        <v>616.84415999999999</v>
      </c>
      <c r="N47" s="8">
        <f>Table36[[#Totals],[Energy Cost per year in CU]]</f>
        <v>616.84415999999999</v>
      </c>
      <c r="O47" s="8">
        <f>Table36[[#Totals],[Energy Cost per year in CU]]</f>
        <v>616.84415999999999</v>
      </c>
    </row>
    <row r="48" spans="10:15" x14ac:dyDescent="0.25">
      <c r="L48" s="8" t="s">
        <v>85</v>
      </c>
      <c r="M48" s="8">
        <f>Table36[[#Totals],[FM Cost]]+I33</f>
        <v>638.874684</v>
      </c>
      <c r="N48" s="8">
        <f>Table36[[#Totals],[FM Cost]]+$I$23+M30+M31+M32+Table36[[#Totals],[FM Penalty Business]]</f>
        <v>1620.9464311203878</v>
      </c>
      <c r="O48" s="8">
        <f>Table36[[#Totals],[FM Cost]]+$I$23+N30+N31+N32+Table36[[#Totals],[FM Penalty ITS]]</f>
        <v>1627.8462777075879</v>
      </c>
    </row>
    <row r="49" spans="12:15" x14ac:dyDescent="0.25">
      <c r="L49" s="8" t="s">
        <v>86</v>
      </c>
      <c r="M49" s="8">
        <f>0.05*SUM(M46:M48)</f>
        <v>320.36594220000006</v>
      </c>
      <c r="N49" s="8">
        <f>0.05*SUM(N46:N48)</f>
        <v>369.46952955601938</v>
      </c>
      <c r="O49" s="8">
        <f>0.05*SUM(O46:O48)</f>
        <v>369.81452188537946</v>
      </c>
    </row>
    <row r="50" spans="12:15" x14ac:dyDescent="0.25">
      <c r="L50" s="8" t="s">
        <v>87</v>
      </c>
      <c r="M50" s="8">
        <f>0.07*SUM(M46:M48)</f>
        <v>448.51231908000005</v>
      </c>
      <c r="N50" s="8">
        <f>0.07*SUM(N46:N48)</f>
        <v>517.25734137842721</v>
      </c>
      <c r="O50" s="8">
        <f>0.07*SUM(O46:O48)</f>
        <v>517.74033063953118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opLeftCell="L1" workbookViewId="0">
      <selection activeCell="M31" sqref="M31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8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35</v>
      </c>
      <c r="F1" s="8" t="s">
        <v>34</v>
      </c>
      <c r="G1" s="8" t="s">
        <v>36</v>
      </c>
      <c r="H1" s="2" t="s">
        <v>37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24" t="s">
        <v>3</v>
      </c>
      <c r="B2" s="24" t="s">
        <v>80</v>
      </c>
      <c r="C2" s="23">
        <v>80</v>
      </c>
      <c r="D2" s="23">
        <v>56</v>
      </c>
      <c r="E2" s="8">
        <v>5</v>
      </c>
      <c r="F2" s="8">
        <f>Table27[[#This Row],[Floor Space per component]]*Table27[[#This Row],[Quantity]]</f>
        <v>280</v>
      </c>
      <c r="G2" s="8">
        <f>530/50</f>
        <v>10.6</v>
      </c>
      <c r="H2" s="2">
        <f>Table27[[#This Row],[Rent per sqm per year]]*Table27[[#This Row],[Total Floor Space]]</f>
        <v>2968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80</v>
      </c>
      <c r="M2" s="8">
        <f>Table27[[#This Row],[Energy consumption in W]]*24*365/1000</f>
        <v>700.8</v>
      </c>
      <c r="N2" s="8">
        <f>0.15/50</f>
        <v>3.0000000000000001E-3</v>
      </c>
      <c r="O2" s="2">
        <f>Table27[[#This Row],[Yearly Energy Consumption in kWh]]*Table27[[#This Row],[CU/kWh]]</f>
        <v>2.1023999999999998</v>
      </c>
      <c r="P2" s="8">
        <v>0</v>
      </c>
      <c r="Q2" s="8">
        <v>20</v>
      </c>
      <c r="R2" s="8">
        <f>Table27[[#This Row],[Quantity]]*(Table27[[#This Row],[FIT]]*24*365)/1000000000</f>
        <v>0.12558336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v>5</v>
      </c>
      <c r="W2" s="2">
        <f>Table27[[#This Row],[Cost per hour]]*Table27[[#This Row],[Total Time to Repair(h)]]*Table27[[#This Row],[Failures per year]]</f>
        <v>1.2558336000000001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Table27[[#This Row],[Percentage of Business Users]]*Table27[[#This Row],[SLA CU per hour]]*Table27[[#This Row],[Failures per year]]*Table27[[#This Row],[Total Time to Repair(h)]]</f>
        <v>1.7581670400000002</v>
      </c>
      <c r="AB2" s="8">
        <f>Table27[[#This Row],[Percentage of ITS and business users]]*Table27[[#This Row],[SLA CU per hour]]*Table27[[#This Row],[Failures per year]]*Table27[[#This Row],[Total Time to Repair(h)]]</f>
        <v>1.7717300428800002</v>
      </c>
    </row>
    <row r="3" spans="1:28" x14ac:dyDescent="0.25">
      <c r="A3" s="24" t="s">
        <v>3</v>
      </c>
      <c r="B3" s="24" t="s">
        <v>5</v>
      </c>
      <c r="C3" s="23">
        <v>4</v>
      </c>
      <c r="D3" s="23">
        <v>448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537.6</v>
      </c>
      <c r="M3" s="8">
        <f>Table27[[#This Row],[Energy consumption in W]]*24*365/1000</f>
        <v>4709.3760000000011</v>
      </c>
      <c r="N3" s="8">
        <f t="shared" ref="N3:N9" si="0">0.15/50</f>
        <v>3.0000000000000001E-3</v>
      </c>
      <c r="O3" s="2">
        <f>Table27[[#This Row],[Yearly Energy Consumption in kWh]]*Table27[[#This Row],[CU/kWh]]</f>
        <v>14.128128000000004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v>5</v>
      </c>
      <c r="W3" s="2">
        <f>Table27[[#This Row],[Cost per hour]]*Table27[[#This Row],[Total Time to Repair(h)]]*Table27[[#This Row],[Failures per year]]</f>
        <v>0</v>
      </c>
      <c r="X3" s="8">
        <v>100</v>
      </c>
      <c r="Y3" s="8">
        <v>7.0000000000000007E-2</v>
      </c>
      <c r="Z3" s="8">
        <f t="shared" ref="Z3:Z9" si="1">0.07+2*0.00027</f>
        <v>7.0540000000000005E-2</v>
      </c>
      <c r="AA3" s="8">
        <f>Table27[[#This Row],[Percentage of Business Users]]*Table27[[#This Row],[SLA CU per hour]]*Table27[[#This Row],[Failures per year]]*Table27[[#This Row],[Total Time to Repair(h)]]</f>
        <v>0</v>
      </c>
      <c r="AB3" s="8">
        <f>Table27[[#This Row],[Percentage of ITS and business users]]*Table27[[#This Row],[SLA CU per hour]]*Table27[[#This Row],[Failures per year]]*Table27[[#This Row],[Total Time to Repair(h)]]</f>
        <v>0</v>
      </c>
    </row>
    <row r="4" spans="1:28" x14ac:dyDescent="0.25">
      <c r="A4" s="24" t="s">
        <v>3</v>
      </c>
      <c r="B4" s="24" t="s">
        <v>6</v>
      </c>
      <c r="C4" s="23">
        <f>0.1/9</f>
        <v>1.1111111111111112E-2</v>
      </c>
      <c r="D4" s="23">
        <v>1016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101.60000000000001</v>
      </c>
      <c r="M4" s="8">
        <f>Table27[[#This Row],[Energy consumption in W]]*24*365/1000</f>
        <v>890.01599999999996</v>
      </c>
      <c r="N4" s="8">
        <f t="shared" si="0"/>
        <v>3.0000000000000001E-3</v>
      </c>
      <c r="O4" s="2">
        <f>Table27[[#This Row],[Yearly Energy Consumption in kWh]]*Table27[[#This Row],[CU/kWh]]</f>
        <v>2.670048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v>5</v>
      </c>
      <c r="W4" s="2">
        <f>Table27[[#This Row],[Cost per hour]]*Table27[[#This Row],[Total Time to Repair(h)]]*Table27[[#This Row],[Failures per year]]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Table27[[#This Row],[Percentage of Business Users]]*Table27[[#This Row],[SLA CU per hour]]*Table27[[#This Row],[Failures per year]]*Table27[[#This Row],[Total Time to Repair(h)]]</f>
        <v>0</v>
      </c>
      <c r="AB4" s="8">
        <f>Table27[[#This Row],[Percentage of ITS and business users]]*Table27[[#This Row],[SLA CU per hour]]*Table27[[#This Row],[Failures per year]]*Table27[[#This Row],[Total Time to Repair(h)]]</f>
        <v>0</v>
      </c>
    </row>
    <row r="5" spans="1:28" x14ac:dyDescent="0.25">
      <c r="A5" s="24" t="s">
        <v>3</v>
      </c>
      <c r="B5" s="24" t="s">
        <v>7</v>
      </c>
      <c r="C5" s="23">
        <v>200</v>
      </c>
      <c r="D5" s="23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3.0000000000000001E-3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v>5</v>
      </c>
      <c r="W5" s="2">
        <f>Table27[[#This Row],[Cost per hour]]*Table27[[#This Row],[Total Time to Repair(h)]]*Table27[[#This Row],[Failures per year]]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Table27[[#This Row],[Percentage of Business Users]]*Table27[[#This Row],[SLA CU per hour]]*Table27[[#This Row],[Failures per year]]*Table27[[#This Row],[Total Time to Repair(h)]]</f>
        <v>0</v>
      </c>
      <c r="AB5" s="8">
        <f>Table27[[#This Row],[Percentage of ITS and business users]]*Table27[[#This Row],[SLA CU per hour]]*Table27[[#This Row],[Failures per year]]*Table27[[#This Row],[Total Time to Repair(h)]]</f>
        <v>0</v>
      </c>
    </row>
    <row r="6" spans="1:28" x14ac:dyDescent="0.25">
      <c r="A6" s="24" t="s">
        <v>8</v>
      </c>
      <c r="B6" s="24" t="s">
        <v>9</v>
      </c>
      <c r="C6" s="23">
        <v>1.8</v>
      </c>
      <c r="D6" s="23">
        <v>408</v>
      </c>
      <c r="E6" s="8">
        <v>0.25</v>
      </c>
      <c r="F6" s="8">
        <f>Table27[[#This Row],[Floor Space per component]]*Table27[[#This Row],[Quantity]]</f>
        <v>102</v>
      </c>
      <c r="G6" s="8">
        <v>10.6</v>
      </c>
      <c r="H6" s="2">
        <f>Table27[[#This Row],[Rent per sqm per year]]*Table27[[#This Row],[Total Floor Space]]</f>
        <v>1081.2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3.0000000000000001E-3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0.42888959999999998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v>5</v>
      </c>
      <c r="W6" s="2">
        <f>Table27[[#This Row],[Cost per hour]]*Table27[[#This Row],[Total Time to Repair(h)]]*Table27[[#This Row],[Failures per year]]</f>
        <v>12.973910399999999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Table27[[#This Row],[Percentage of Business Users]]*Table27[[#This Row],[SLA CU per hour]]*Table27[[#This Row],[Failures per year]]*Table27[[#This Row],[Total Time to Repair(h)]]</f>
        <v>18.163474560000001</v>
      </c>
      <c r="AB6" s="8">
        <f>Table27[[#This Row],[Percentage of ITS and business users]]*Table27[[#This Row],[SLA CU per hour]]*Table27[[#This Row],[Failures per year]]*Table27[[#This Row],[Total Time to Repair(h)]]</f>
        <v>18.30359279232</v>
      </c>
    </row>
    <row r="7" spans="1:28" x14ac:dyDescent="0.25">
      <c r="A7" s="24" t="s">
        <v>8</v>
      </c>
      <c r="B7" s="24" t="s">
        <v>5</v>
      </c>
      <c r="C7" s="23">
        <v>4</v>
      </c>
      <c r="D7" s="23">
        <v>408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489.59999999999997</v>
      </c>
      <c r="M7" s="8">
        <f>Table27[[#This Row],[Energy consumption in W]]*24*365/1000</f>
        <v>4288.8959999999997</v>
      </c>
      <c r="N7" s="8">
        <f t="shared" si="0"/>
        <v>3.0000000000000001E-3</v>
      </c>
      <c r="O7" s="2">
        <f>Table27[[#This Row],[Yearly Energy Consumption in kWh]]*Table27[[#This Row],[CU/kWh]]</f>
        <v>12.866688</v>
      </c>
      <c r="P7" s="8">
        <v>1.5</v>
      </c>
      <c r="Q7" s="8">
        <v>20</v>
      </c>
      <c r="R7" s="8">
        <f>Table27[[#This Row],[Quantity]]*(Table27[[#This Row],[FIT]]*24*365)/1000000000</f>
        <v>0.178704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v>5</v>
      </c>
      <c r="W7" s="2">
        <f>Table27[[#This Row],[Cost per hour]]*Table27[[#This Row],[Total Time to Repair(h)]]*Table27[[#This Row],[Failures per year]]</f>
        <v>0.13402800000000001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Table27[[#This Row],[Percentage of Business Users]]*Table27[[#This Row],[SLA CU per hour]]*Table27[[#This Row],[Failures per year]]*Table27[[#This Row],[Total Time to Repair(h)]]</f>
        <v>0.18763920000000003</v>
      </c>
      <c r="AB7" s="8">
        <f>Table27[[#This Row],[Percentage of ITS and business users]]*Table27[[#This Row],[SLA CU per hour]]*Table27[[#This Row],[Failures per year]]*Table27[[#This Row],[Total Time to Repair(h)]]</f>
        <v>0.1890867024</v>
      </c>
    </row>
    <row r="8" spans="1:28" x14ac:dyDescent="0.25">
      <c r="A8" s="24" t="s">
        <v>10</v>
      </c>
      <c r="B8" s="24" t="s">
        <v>11</v>
      </c>
      <c r="C8" s="23">
        <v>1</v>
      </c>
      <c r="D8" s="23">
        <v>3348</v>
      </c>
      <c r="E8" s="8">
        <v>0.5</v>
      </c>
      <c r="F8" s="8">
        <f>Table27[[#This Row],[Floor Space per component]]*Table27[[#This Row],[Quantity]]</f>
        <v>1674</v>
      </c>
      <c r="G8" s="8">
        <v>2</v>
      </c>
      <c r="H8" s="2">
        <f>Table27[[#This Row],[Rent per sqm per year]]*Table27[[#This Row],[Total Floor Space]]</f>
        <v>3348</v>
      </c>
      <c r="I8" s="8">
        <v>2488</v>
      </c>
      <c r="J8" s="8">
        <v>6</v>
      </c>
      <c r="K8" s="8">
        <v>256</v>
      </c>
      <c r="L8" s="8">
        <f>4*Table27[[#This Row],[Quantity]]</f>
        <v>13392</v>
      </c>
      <c r="M8" s="8">
        <f>Table27[[#This Row],[Energy consumption in W]]*24*365/1000</f>
        <v>117313.92</v>
      </c>
      <c r="N8" s="8">
        <f t="shared" si="0"/>
        <v>3.0000000000000001E-3</v>
      </c>
      <c r="O8" s="2">
        <f>Table27[[#This Row],[Yearly Energy Consumption in kWh]]*Table27[[#This Row],[CU/kWh]]</f>
        <v>351.94175999999999</v>
      </c>
      <c r="P8" s="8">
        <v>2</v>
      </c>
      <c r="Q8" s="8">
        <v>20</v>
      </c>
      <c r="R8" s="8">
        <f>Table27[[#This Row],[Quantity]]*(Table27[[#This Row],[FIT]]*24*365)/1000000000</f>
        <v>7.5080908800000001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v>5</v>
      </c>
      <c r="W8" s="2">
        <f>Table27[[#This Row],[Cost per hour]]*Table27[[#This Row],[Total Time to Repair(h)]]*Table27[[#This Row],[Failures per year]]</f>
        <v>232.75081728000001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Table27[[#This Row],[Percentage of Business Users]]*Table27[[#This Row],[SLA CU per hour]]*Table27[[#This Row],[Failures per year]]*Table27[[#This Row],[Total Time to Repair(h)]]</f>
        <v>325.85114419200005</v>
      </c>
      <c r="AB8" s="8">
        <f>Table27[[#This Row],[Percentage of ITS and business users]]*Table27[[#This Row],[SLA CU per hour]]*Table27[[#This Row],[Failures per year]]*Table27[[#This Row],[Total Time to Repair(h)]]</f>
        <v>328.36485301862405</v>
      </c>
    </row>
    <row r="9" spans="1:28" x14ac:dyDescent="0.25">
      <c r="A9" s="24" t="s">
        <v>10</v>
      </c>
      <c r="B9" s="24" t="s">
        <v>12</v>
      </c>
      <c r="C9" s="23">
        <f>24</f>
        <v>24</v>
      </c>
      <c r="D9" s="23">
        <v>3348</v>
      </c>
      <c r="E9" s="8">
        <v>0.5</v>
      </c>
      <c r="F9" s="8">
        <f>Table27[[#This Row],[Floor Space per component]]*Table27[[#This Row],[Quantity]]</f>
        <v>1674</v>
      </c>
      <c r="G9" s="8">
        <v>2</v>
      </c>
      <c r="H9" s="2">
        <f>Table27[[#This Row],[Rent per sqm per year]]*Table27[[#This Row],[Total Floor Space]]</f>
        <v>3348</v>
      </c>
      <c r="I9" s="8">
        <v>207.83333333333331</v>
      </c>
      <c r="J9" s="8">
        <v>24</v>
      </c>
      <c r="K9" s="8">
        <v>50</v>
      </c>
      <c r="L9" s="8">
        <f>50*Table27[[#This Row],[Quantity]]</f>
        <v>167400</v>
      </c>
      <c r="M9" s="8">
        <f>Table27[[#This Row],[Energy consumption in W]]*24*365/1000</f>
        <v>1466424</v>
      </c>
      <c r="N9" s="8">
        <f t="shared" si="0"/>
        <v>3.0000000000000001E-3</v>
      </c>
      <c r="O9" s="2">
        <f>Table27[[#This Row],[Yearly Energy Consumption in kWh]]*Table27[[#This Row],[CU/kWh]]</f>
        <v>4399.2719999999999</v>
      </c>
      <c r="P9" s="8">
        <v>2</v>
      </c>
      <c r="Q9" s="8">
        <v>20</v>
      </c>
      <c r="R9" s="8">
        <f>Table27[[#This Row],[Quantity]]*(Table27[[#This Row],[FIT]]*24*365)/1000000000</f>
        <v>1.4664239999999999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v>5</v>
      </c>
      <c r="W9" s="2">
        <f>Table27[[#This Row],[Cost per hour]]*Table27[[#This Row],[Total Time to Repair(h)]]*Table27[[#This Row],[Failures per year]]</f>
        <v>177.43730399999998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Table27[[#This Row],[Percentage of Business Users]]*Table27[[#This Row],[SLA CU per hour]]*Table27[[#This Row],[Failures per year]]*Table27[[#This Row],[Total Time to Repair(h)]]</f>
        <v>248.41222560000003</v>
      </c>
      <c r="AB9" s="8">
        <f>Table27[[#This Row],[Percentage of ITS and business users]]*Table27[[#This Row],[SLA CU per hour]]*Table27[[#This Row],[Failures per year]]*Table27[[#This Row],[Total Time to Repair(h)]]</f>
        <v>250.32854848319997</v>
      </c>
    </row>
    <row r="10" spans="1:28" x14ac:dyDescent="0.25">
      <c r="B10" s="24"/>
      <c r="C10" s="23"/>
      <c r="D10" s="23"/>
      <c r="H10" s="2"/>
      <c r="O10" s="2"/>
      <c r="W10" s="2"/>
    </row>
    <row r="11" spans="1:28" x14ac:dyDescent="0.25">
      <c r="B11" s="30"/>
      <c r="H11" s="27">
        <f>SUM(Table27[Total Rent cost per year])</f>
        <v>10957.2</v>
      </c>
      <c r="O11" s="27">
        <f>SUM(Table27[Energy Cost per year in CU])</f>
        <v>4782.9810239999997</v>
      </c>
      <c r="W11" s="27">
        <f>SUM(Table27[FM Cost])+L20</f>
        <v>512.19908280038794</v>
      </c>
      <c r="AA11" s="8">
        <f>SUBTOTAL(109,Table27[FM Penalty Business])</f>
        <v>594.37265059200013</v>
      </c>
      <c r="AB11" s="8">
        <f>SUBTOTAL(109,Table27[FM Penalty ITS])</f>
        <v>598.95781103942397</v>
      </c>
    </row>
    <row r="14" spans="1:28" x14ac:dyDescent="0.25">
      <c r="A14" s="8" t="s">
        <v>39</v>
      </c>
      <c r="B14" s="8" t="s">
        <v>17</v>
      </c>
      <c r="C14" s="8" t="s">
        <v>16</v>
      </c>
      <c r="D14" s="8" t="s">
        <v>40</v>
      </c>
      <c r="E14" s="8" t="s">
        <v>30</v>
      </c>
      <c r="F14" s="8" t="s">
        <v>44</v>
      </c>
      <c r="G14" s="8" t="s">
        <v>45</v>
      </c>
      <c r="H14" s="8" t="s">
        <v>47</v>
      </c>
      <c r="I14" s="8" t="s">
        <v>46</v>
      </c>
      <c r="J14" s="8" t="s">
        <v>48</v>
      </c>
      <c r="K14" s="8" t="s">
        <v>49</v>
      </c>
      <c r="L14" s="8" t="s">
        <v>50</v>
      </c>
      <c r="M14" s="8" t="s">
        <v>97</v>
      </c>
      <c r="N14" s="8" t="s">
        <v>103</v>
      </c>
      <c r="O14" s="8" t="s">
        <v>104</v>
      </c>
      <c r="P14" s="8" t="s">
        <v>105</v>
      </c>
      <c r="Q14" s="8" t="s">
        <v>106</v>
      </c>
    </row>
    <row r="15" spans="1:28" x14ac:dyDescent="0.25">
      <c r="A15" s="8" t="s">
        <v>41</v>
      </c>
      <c r="B15" s="8">
        <f>570*B29/1000</f>
        <v>13420.272599445709</v>
      </c>
      <c r="C15" s="8">
        <v>24</v>
      </c>
      <c r="D15" s="8">
        <v>1</v>
      </c>
      <c r="E15" s="8">
        <v>5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14.166171350522902</v>
      </c>
      <c r="M15" s="8">
        <v>100</v>
      </c>
      <c r="N15" s="8">
        <v>7.0000000000000007E-2</v>
      </c>
      <c r="O15" s="8">
        <f>0.07+2*0.00027</f>
        <v>7.0540000000000005E-2</v>
      </c>
      <c r="P15" s="8">
        <f>N15*M15*J15*B15*24*365/1000000000</f>
        <v>19.832639890732072</v>
      </c>
      <c r="Q15" s="8">
        <f>O15*M15*J15*B15*24*365/1000000000</f>
        <v>19.985634541317712</v>
      </c>
    </row>
    <row r="16" spans="1:28" x14ac:dyDescent="0.25">
      <c r="A16" s="8" t="s">
        <v>42</v>
      </c>
      <c r="B16" s="8">
        <f>570*C29/1000</f>
        <v>23317.071158424002</v>
      </c>
      <c r="C16" s="8">
        <v>24</v>
      </c>
      <c r="D16" s="8">
        <v>1</v>
      </c>
      <c r="E16" s="8">
        <v>5</v>
      </c>
      <c r="F16" s="8">
        <v>2</v>
      </c>
      <c r="G16" s="8">
        <v>1</v>
      </c>
      <c r="H16" s="8">
        <f t="shared" ref="H16:I17" si="2">F16/20</f>
        <v>0.1</v>
      </c>
      <c r="I16" s="8">
        <f t="shared" si="2"/>
        <v>0.05</v>
      </c>
      <c r="J16" s="8">
        <f t="shared" ref="J16:J17" si="3">C16+2*H16</f>
        <v>24.2</v>
      </c>
      <c r="K16" s="8">
        <f t="shared" ref="K16:K17" si="4">C16+2*I16</f>
        <v>24.1</v>
      </c>
      <c r="L16" s="8">
        <f t="shared" ref="L16:L17" si="5">B16*24*365*J16*E16/1000000000</f>
        <v>24.715162745083102</v>
      </c>
      <c r="M16" s="8">
        <v>100</v>
      </c>
      <c r="N16" s="8">
        <v>7.0000000000000007E-2</v>
      </c>
      <c r="O16" s="8">
        <f t="shared" ref="O16:O17" si="6">0.07+2*0.00027</f>
        <v>7.0540000000000005E-2</v>
      </c>
      <c r="P16" s="8">
        <f t="shared" ref="P16:P17" si="7">N16*M16*J16*B16*24*365/1000000000</f>
        <v>34.601227843116348</v>
      </c>
      <c r="Q16" s="8">
        <f t="shared" ref="Q16:Q17" si="8">O16*M16*J16*B16*24*365/1000000000</f>
        <v>34.868151600763248</v>
      </c>
    </row>
    <row r="17" spans="1:19" x14ac:dyDescent="0.25">
      <c r="A17" s="8" t="s">
        <v>43</v>
      </c>
      <c r="B17" s="8">
        <f>570*D29/1000</f>
        <v>45630.151419250979</v>
      </c>
      <c r="C17" s="8">
        <v>24</v>
      </c>
      <c r="D17" s="8">
        <v>1</v>
      </c>
      <c r="E17" s="8">
        <v>5</v>
      </c>
      <c r="F17" s="8">
        <v>4</v>
      </c>
      <c r="G17" s="8">
        <v>1.5</v>
      </c>
      <c r="H17" s="8">
        <f t="shared" si="2"/>
        <v>0.2</v>
      </c>
      <c r="I17" s="8">
        <f t="shared" si="2"/>
        <v>7.4999999999999997E-2</v>
      </c>
      <c r="J17" s="8">
        <f t="shared" si="3"/>
        <v>24.4</v>
      </c>
      <c r="K17" s="8">
        <f t="shared" si="4"/>
        <v>24.15</v>
      </c>
      <c r="L17" s="8">
        <f t="shared" si="5"/>
        <v>48.76585542478189</v>
      </c>
      <c r="M17" s="8">
        <v>100</v>
      </c>
      <c r="N17" s="8">
        <v>7.0000000000000007E-2</v>
      </c>
      <c r="O17" s="8">
        <f t="shared" si="6"/>
        <v>7.0540000000000005E-2</v>
      </c>
      <c r="P17" s="8">
        <f t="shared" si="7"/>
        <v>68.272197594694674</v>
      </c>
      <c r="Q17" s="8">
        <f t="shared" si="8"/>
        <v>68.798868833282313</v>
      </c>
    </row>
    <row r="20" spans="1:19" x14ac:dyDescent="0.25">
      <c r="K20" s="8" t="s">
        <v>51</v>
      </c>
      <c r="L20" s="8">
        <f>SUM(L15:L17)</f>
        <v>87.647189520387897</v>
      </c>
    </row>
    <row r="22" spans="1:19" x14ac:dyDescent="0.25">
      <c r="O22" s="8" t="s">
        <v>82</v>
      </c>
    </row>
    <row r="23" spans="1:19" x14ac:dyDescent="0.25">
      <c r="O23" s="8" t="s">
        <v>88</v>
      </c>
      <c r="P23" s="8" t="s">
        <v>98</v>
      </c>
      <c r="Q23" s="8" t="s">
        <v>99</v>
      </c>
      <c r="R23" s="8" t="s">
        <v>107</v>
      </c>
    </row>
    <row r="24" spans="1:19" x14ac:dyDescent="0.25">
      <c r="O24" s="8" t="s">
        <v>83</v>
      </c>
      <c r="P24" s="8">
        <f>P36/$M$31</f>
        <v>1.2432996709406559</v>
      </c>
      <c r="Q24" s="8">
        <f t="shared" ref="Q24:R24" si="9">Q36/$M$31</f>
        <v>1.2432996709406559</v>
      </c>
      <c r="R24" s="8">
        <f t="shared" si="9"/>
        <v>1.2432996709406559</v>
      </c>
    </row>
    <row r="25" spans="1:19" x14ac:dyDescent="0.25">
      <c r="O25" s="8" t="s">
        <v>84</v>
      </c>
      <c r="P25" s="8">
        <f t="shared" ref="P25:R28" si="10">P37/$M$31</f>
        <v>0.54271882718710995</v>
      </c>
      <c r="Q25" s="8">
        <f t="shared" si="10"/>
        <v>0.54271882718710995</v>
      </c>
      <c r="R25" s="8">
        <f t="shared" si="10"/>
        <v>0.54271882718710995</v>
      </c>
    </row>
    <row r="26" spans="1:19" x14ac:dyDescent="0.25">
      <c r="O26" s="8" t="s">
        <v>85</v>
      </c>
      <c r="P26" s="8">
        <f t="shared" si="10"/>
        <v>5.811858422788925E-2</v>
      </c>
      <c r="Q26" s="8">
        <f t="shared" si="10"/>
        <v>0.13576598807385645</v>
      </c>
      <c r="R26" s="8">
        <f t="shared" si="10"/>
        <v>0.13629718553535569</v>
      </c>
    </row>
    <row r="27" spans="1:19" x14ac:dyDescent="0.25">
      <c r="O27" s="8" t="s">
        <v>86</v>
      </c>
      <c r="P27" s="8">
        <f t="shared" si="10"/>
        <v>9.2206854117782761E-2</v>
      </c>
      <c r="Q27" s="8">
        <f t="shared" si="10"/>
        <v>9.6089224310081114E-2</v>
      </c>
      <c r="R27" s="8">
        <f t="shared" si="10"/>
        <v>9.6115784183156083E-2</v>
      </c>
    </row>
    <row r="28" spans="1:19" x14ac:dyDescent="0.25">
      <c r="K28" s="8" t="s">
        <v>52</v>
      </c>
      <c r="O28" s="8" t="s">
        <v>87</v>
      </c>
      <c r="P28" s="8">
        <f t="shared" si="10"/>
        <v>0.12908959576489587</v>
      </c>
      <c r="Q28" s="8">
        <f t="shared" si="10"/>
        <v>0.13452491403411357</v>
      </c>
      <c r="R28" s="8">
        <f t="shared" si="10"/>
        <v>0.13456209785641854</v>
      </c>
    </row>
    <row r="29" spans="1:19" x14ac:dyDescent="0.25">
      <c r="B29" s="9">
        <v>23544.337893764401</v>
      </c>
      <c r="C29" s="9">
        <v>40907.1423832</v>
      </c>
      <c r="D29" s="9">
        <v>80052.897226756104</v>
      </c>
      <c r="K29" s="8">
        <f>Table27[[#Totals],[Total Rent cost per year]]+Table27[[#Totals],[Energy Cost per year in CU]]+Table27[[#Totals],[FM Cost]]+L20</f>
        <v>16340.027296320777</v>
      </c>
      <c r="P29" s="8">
        <f>SUM(Table14[Residential])</f>
        <v>2.0654335322383339</v>
      </c>
      <c r="Q29" s="8">
        <f>SUBTOTAL(109,Table14[Business])</f>
        <v>2.1523986245458171</v>
      </c>
      <c r="R29" s="8">
        <f>SUBTOTAL(109,Table14[Business ITS])</f>
        <v>2.1529935657026957</v>
      </c>
      <c r="S29" s="8">
        <v>11727.88547395296</v>
      </c>
    </row>
    <row r="30" spans="1:19" x14ac:dyDescent="0.25">
      <c r="M30" s="8" t="s">
        <v>117</v>
      </c>
    </row>
    <row r="31" spans="1:19" x14ac:dyDescent="0.25">
      <c r="M31" s="8">
        <v>8813</v>
      </c>
    </row>
    <row r="35" spans="15:18" x14ac:dyDescent="0.25">
      <c r="O35" s="40" t="s">
        <v>88</v>
      </c>
      <c r="P35" s="10" t="s">
        <v>98</v>
      </c>
      <c r="Q35" s="10" t="s">
        <v>99</v>
      </c>
      <c r="R35" s="41" t="s">
        <v>107</v>
      </c>
    </row>
    <row r="36" spans="15:18" x14ac:dyDescent="0.25">
      <c r="O36" s="32" t="s">
        <v>83</v>
      </c>
      <c r="P36" s="33">
        <f>Table27[[#Totals],[Total Rent cost per year]]</f>
        <v>10957.2</v>
      </c>
      <c r="Q36" s="33">
        <f>Table27[[#Totals],[Total Rent cost per year]]</f>
        <v>10957.2</v>
      </c>
      <c r="R36" s="12">
        <f>Table27[[#Totals],[Total Rent cost per year]]</f>
        <v>10957.2</v>
      </c>
    </row>
    <row r="37" spans="15:18" x14ac:dyDescent="0.25">
      <c r="O37" s="34" t="s">
        <v>84</v>
      </c>
      <c r="P37" s="35">
        <f>Table27[[#Totals],[Energy Cost per year in CU]]</f>
        <v>4782.9810239999997</v>
      </c>
      <c r="Q37" s="35">
        <f>Table27[[#Totals],[Energy Cost per year in CU]]</f>
        <v>4782.9810239999997</v>
      </c>
      <c r="R37" s="13">
        <f>Table27[[#Totals],[Energy Cost per year in CU]]</f>
        <v>4782.9810239999997</v>
      </c>
    </row>
    <row r="38" spans="15:18" x14ac:dyDescent="0.25">
      <c r="O38" s="32" t="s">
        <v>85</v>
      </c>
      <c r="P38" s="33">
        <f>Table27[[#Totals],[FM Cost]]+L32</f>
        <v>512.19908280038794</v>
      </c>
      <c r="Q38" s="33">
        <f>Table27[[#Totals],[FM Cost]]+$L$20+P27+P28+P29+Table27[[#Totals],[FM Penalty Business]]</f>
        <v>1196.5056528948969</v>
      </c>
      <c r="R38" s="12">
        <f>Table27[[#Totals],[FM Cost]]+$L$20+Q27+Q28+Q29+Table27[[#Totals],[FM Penalty ITS]]</f>
        <v>1201.1870961230898</v>
      </c>
    </row>
    <row r="39" spans="15:18" x14ac:dyDescent="0.25">
      <c r="O39" s="34" t="s">
        <v>86</v>
      </c>
      <c r="P39" s="35">
        <f>0.05*SUM(P36:P38)</f>
        <v>812.6190053400195</v>
      </c>
      <c r="Q39" s="35">
        <f>0.05*SUM(Q36:Q38)</f>
        <v>846.83433384474483</v>
      </c>
      <c r="R39" s="13">
        <f>0.05*SUM(R36:R38)</f>
        <v>847.06840600615453</v>
      </c>
    </row>
    <row r="40" spans="15:18" x14ac:dyDescent="0.25">
      <c r="O40" s="32" t="s">
        <v>87</v>
      </c>
      <c r="P40" s="33">
        <f>0.07*SUM(P36:P38)</f>
        <v>1137.6666074760274</v>
      </c>
      <c r="Q40" s="33">
        <f>0.07*SUM(Q36:Q38)</f>
        <v>1185.5680673826428</v>
      </c>
      <c r="R40" s="12">
        <f>0.07*SUM(R36:R38)</f>
        <v>1185.8957684086165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G1" zoomScale="70" zoomScaleNormal="70" workbookViewId="0">
      <selection activeCell="M26" sqref="M26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24" t="s">
        <v>3</v>
      </c>
      <c r="B2" s="24" t="s">
        <v>70</v>
      </c>
      <c r="C2" s="23">
        <v>16</v>
      </c>
      <c r="D2" s="23">
        <v>8</v>
      </c>
      <c r="E2">
        <v>0.5</v>
      </c>
      <c r="F2">
        <f>Table9[[#This Row],[Floor Space per component]]*Table9[[#This Row],[Quantity]]</f>
        <v>4</v>
      </c>
      <c r="G2">
        <v>10.6</v>
      </c>
      <c r="H2">
        <f>Table9[[#This Row],[Total Floor Space]]*Table9[[#This Row],[Rent per sqm per year]]</f>
        <v>42.4</v>
      </c>
      <c r="I2">
        <f>(0.5+1/6*8)*Table9[[#This Row],[Quantity]]</f>
        <v>14.666666666666666</v>
      </c>
      <c r="J2">
        <v>6</v>
      </c>
      <c r="K2">
        <v>256</v>
      </c>
      <c r="L2">
        <f>0.5*8*2.5*Table9[[#This Row],[Quantity]]</f>
        <v>80</v>
      </c>
      <c r="M2">
        <f>Table9[[#This Row],[Energy consumption in W]]*24*365/1000</f>
        <v>700.8</v>
      </c>
      <c r="N2">
        <f>0.15/50</f>
        <v>3.0000000000000001E-3</v>
      </c>
      <c r="O2">
        <f>Table9[[#This Row],[Yearly Energy Consumption in kWh]]*Table9[[#This Row],[CU/kWh]]</f>
        <v>2.1023999999999998</v>
      </c>
      <c r="P2">
        <v>0</v>
      </c>
      <c r="Q2">
        <v>20</v>
      </c>
      <c r="R2">
        <f>Table9[[#This Row],[FIT]]*Table9[[#This Row],[Quantity]]*24*365/1000000000</f>
        <v>1.7940480000000002E-2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5</v>
      </c>
      <c r="W2">
        <f>Table9[[#This Row],[Failures per year]]*Table9[[#This Row],[Total Time to Repair(h)]]*Table9[[#This Row],[No. Of technicians]]*Table9[[#This Row],[Cost per hour]]</f>
        <v>0.53821440000000009</v>
      </c>
      <c r="X2" s="8">
        <v>100</v>
      </c>
      <c r="Y2" s="8">
        <v>7.0000000000000007E-2</v>
      </c>
      <c r="Z2" s="8">
        <f>0.07+2*0.00027</f>
        <v>7.0540000000000005E-2</v>
      </c>
      <c r="AA2" s="8">
        <f>Table9[[#This Row],[Percentage of Business Users]]*Table9[[#This Row],[SLA CU per hour]]*Table9[[#This Row],[Failures per year]]*Table9[[#This Row],[Total Time to Repair(h)]]</f>
        <v>0.7535001600000002</v>
      </c>
      <c r="AB2" s="8">
        <f>Table9[[#This Row],[Percentage of ITS and business users]]*Table9[[#This Row],[SLA CU per hour]]*Table9[[#This Row],[Failures per year]]*Table9[[#This Row],[Total Time to Repair(h)]]</f>
        <v>0.75931287552000015</v>
      </c>
    </row>
    <row r="3" spans="1:28" x14ac:dyDescent="0.25">
      <c r="A3" s="24" t="s">
        <v>3</v>
      </c>
      <c r="B3" s="24" t="s">
        <v>71</v>
      </c>
      <c r="C3" s="23">
        <v>8.8000000000000007</v>
      </c>
      <c r="D3" s="23">
        <v>13</v>
      </c>
      <c r="E3">
        <v>5</v>
      </c>
      <c r="F3" s="8">
        <f>Table9[[#This Row],[Floor Space per component]]*Table9[[#This Row],[Quantity]]</f>
        <v>65</v>
      </c>
      <c r="G3" s="8">
        <v>10.6</v>
      </c>
      <c r="H3" s="8">
        <f>Table9[[#This Row],[Total Floor Space]]*Table9[[#This Row],[Rent per sqm per year]]</f>
        <v>689</v>
      </c>
      <c r="I3" s="5">
        <f>1/6*Table9[[#This Row],[Quantity]]</f>
        <v>2.1666666666666665</v>
      </c>
      <c r="J3">
        <v>6</v>
      </c>
      <c r="K3">
        <v>50</v>
      </c>
      <c r="L3">
        <f>100*Table9[[#This Row],[Quantity]]</f>
        <v>1300</v>
      </c>
      <c r="M3" s="8">
        <f>Table9[[#This Row],[Energy consumption in W]]*24*365/1000</f>
        <v>11388</v>
      </c>
      <c r="N3" s="8">
        <f t="shared" ref="N3:N10" si="0">0.15/50</f>
        <v>3.0000000000000001E-3</v>
      </c>
      <c r="O3" s="8">
        <f>Table9[[#This Row],[Yearly Energy Consumption in kWh]]*Table9[[#This Row],[CU/kWh]]</f>
        <v>34.164000000000001</v>
      </c>
      <c r="P3">
        <v>0</v>
      </c>
      <c r="Q3" s="8">
        <v>20</v>
      </c>
      <c r="R3" s="8">
        <f>Table9[[#This Row],[FIT]]*Table9[[#This Row],[Quantity]]*24*365/1000000000</f>
        <v>5.6940000000000003E-3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5</v>
      </c>
      <c r="W3" s="8">
        <f>Table9[[#This Row],[Failures per year]]*Table9[[#This Row],[Total Time to Repair(h)]]*Table9[[#This Row],[No. Of technicians]]*Table9[[#This Row],[Cost per hour]]</f>
        <v>0.17082</v>
      </c>
      <c r="X3" s="8">
        <v>100</v>
      </c>
      <c r="Y3" s="8">
        <v>7.0000000000000007E-2</v>
      </c>
      <c r="Z3" s="8">
        <f t="shared" ref="Z3:Z10" si="1">0.07+2*0.00027</f>
        <v>7.0540000000000005E-2</v>
      </c>
      <c r="AA3" s="8">
        <f>Table9[[#This Row],[Percentage of Business Users]]*Table9[[#This Row],[SLA CU per hour]]*Table9[[#This Row],[Failures per year]]*Table9[[#This Row],[Total Time to Repair(h)]]</f>
        <v>0.23914800000000003</v>
      </c>
      <c r="AB3" s="8">
        <f>Table9[[#This Row],[Percentage of ITS and business users]]*Table9[[#This Row],[SLA CU per hour]]*Table9[[#This Row],[Failures per year]]*Table9[[#This Row],[Total Time to Repair(h)]]</f>
        <v>0.24099285600000003</v>
      </c>
    </row>
    <row r="4" spans="1:28" x14ac:dyDescent="0.25">
      <c r="A4" s="24" t="s">
        <v>3</v>
      </c>
      <c r="B4" s="24" t="s">
        <v>72</v>
      </c>
      <c r="C4" s="23">
        <v>63</v>
      </c>
      <c r="D4" s="23">
        <v>13</v>
      </c>
      <c r="E4">
        <v>0.5</v>
      </c>
      <c r="F4" s="8">
        <f>Table9[[#This Row],[Floor Space per component]]*Table9[[#This Row],[Quantity]]</f>
        <v>6.5</v>
      </c>
      <c r="G4" s="8">
        <v>10.6</v>
      </c>
      <c r="H4" s="8">
        <f>Table9[[#This Row],[Total Floor Space]]*Table9[[#This Row],[Rent per sqm per year]]</f>
        <v>68.899999999999991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3.0000000000000001E-3</v>
      </c>
      <c r="O4" s="8">
        <f>Table9[[#This Row],[Yearly Energy Consumption in kWh]]*Table9[[#This Row],[CU/kWh]]</f>
        <v>15.768000000000001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5</v>
      </c>
      <c r="W4" s="8">
        <f>Table9[[#This Row],[Failures per year]]*Table9[[#This Row],[Total Time to Repair(h)]]*Table9[[#This Row],[No. Of technicians]]*Table9[[#This Row],[Cost per hour]]</f>
        <v>0</v>
      </c>
      <c r="X4" s="8">
        <v>100</v>
      </c>
      <c r="Y4" s="8">
        <v>7.0000000000000007E-2</v>
      </c>
      <c r="Z4" s="8">
        <f t="shared" si="1"/>
        <v>7.0540000000000005E-2</v>
      </c>
      <c r="AA4" s="8">
        <f>Table9[[#This Row],[Percentage of Business Users]]*Table9[[#This Row],[SLA CU per hour]]*Table9[[#This Row],[Failures per year]]*Table9[[#This Row],[Total Time to Repair(h)]]</f>
        <v>0</v>
      </c>
      <c r="AB4" s="8">
        <f>Table9[[#This Row],[Percentage of ITS and business users]]*Table9[[#This Row],[SLA CU per hour]]*Table9[[#This Row],[Failures per year]]*Table9[[#This Row],[Total Time to Repair(h)]]</f>
        <v>0</v>
      </c>
    </row>
    <row r="5" spans="1:28" x14ac:dyDescent="0.25">
      <c r="A5" s="24" t="s">
        <v>3</v>
      </c>
      <c r="B5" s="24" t="s">
        <v>73</v>
      </c>
      <c r="C5" s="23">
        <v>2.2999999999999998</v>
      </c>
      <c r="D5" s="23">
        <v>13</v>
      </c>
      <c r="E5">
        <v>0</v>
      </c>
      <c r="F5" s="8">
        <f>Table9[[#This Row],[Floor Space per component]]*Table9[[#This Row],[Quantity]]</f>
        <v>0</v>
      </c>
      <c r="G5" s="8">
        <v>10.6</v>
      </c>
      <c r="H5" s="8">
        <f>Table9[[#This Row],[Total Floor Space]]*Table9[[#This Row],[Rent per sqm per year]]</f>
        <v>0</v>
      </c>
      <c r="I5">
        <f>24*Table9[[#This Row],[Quantity]]</f>
        <v>312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3.0000000000000001E-3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5</v>
      </c>
      <c r="W5" s="8">
        <f>Table9[[#This Row],[Failures per year]]*Table9[[#This Row],[Total Time to Repair(h)]]*Table9[[#This Row],[No. Of technicians]]*Table9[[#This Row],[Cost per hour]]</f>
        <v>0</v>
      </c>
      <c r="X5" s="8">
        <v>100</v>
      </c>
      <c r="Y5" s="8">
        <v>7.0000000000000007E-2</v>
      </c>
      <c r="Z5" s="8">
        <f t="shared" si="1"/>
        <v>7.0540000000000005E-2</v>
      </c>
      <c r="AA5" s="8">
        <f>Table9[[#This Row],[Percentage of Business Users]]*Table9[[#This Row],[SLA CU per hour]]*Table9[[#This Row],[Failures per year]]*Table9[[#This Row],[Total Time to Repair(h)]]</f>
        <v>0</v>
      </c>
      <c r="AB5" s="8">
        <f>Table9[[#This Row],[Percentage of ITS and business users]]*Table9[[#This Row],[SLA CU per hour]]*Table9[[#This Row],[Failures per year]]*Table9[[#This Row],[Total Time to Repair(h)]]</f>
        <v>0</v>
      </c>
    </row>
    <row r="6" spans="1:28" x14ac:dyDescent="0.25">
      <c r="A6" s="24" t="s">
        <v>3</v>
      </c>
      <c r="B6" s="24" t="s">
        <v>74</v>
      </c>
      <c r="C6" s="23">
        <f>0.1/4.5</f>
        <v>2.2222222222222223E-2</v>
      </c>
      <c r="D6" s="23">
        <v>4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0.66666666666666663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3.0000000000000001E-3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1.7520000000000001E-3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5</v>
      </c>
      <c r="W6" s="8">
        <f>Table9[[#This Row],[Failures per year]]*Table9[[#This Row],[Total Time to Repair(h)]]*Table9[[#This Row],[No. Of technicians]]*Table9[[#This Row],[Cost per hour]]</f>
        <v>5.3435999999999997E-2</v>
      </c>
      <c r="X6" s="8">
        <v>100</v>
      </c>
      <c r="Y6" s="8">
        <v>7.0000000000000007E-2</v>
      </c>
      <c r="Z6" s="8">
        <f t="shared" si="1"/>
        <v>7.0540000000000005E-2</v>
      </c>
      <c r="AA6" s="8">
        <f>Table9[[#This Row],[Percentage of Business Users]]*Table9[[#This Row],[SLA CU per hour]]*Table9[[#This Row],[Failures per year]]*Table9[[#This Row],[Total Time to Repair(h)]]</f>
        <v>7.4810400000000013E-2</v>
      </c>
      <c r="AB6" s="8">
        <f>Table9[[#This Row],[Percentage of ITS and business users]]*Table9[[#This Row],[SLA CU per hour]]*Table9[[#This Row],[Failures per year]]*Table9[[#This Row],[Total Time to Repair(h)]]</f>
        <v>7.5387508800000003E-2</v>
      </c>
    </row>
    <row r="7" spans="1:28" x14ac:dyDescent="0.25">
      <c r="A7" s="24" t="s">
        <v>3</v>
      </c>
      <c r="B7" s="24" t="s">
        <v>75</v>
      </c>
      <c r="C7" s="23">
        <v>400</v>
      </c>
      <c r="D7" s="23">
        <v>1</v>
      </c>
      <c r="E7">
        <v>20</v>
      </c>
      <c r="F7" s="8">
        <f>Table9[[#This Row],[Floor Space per component]]*Table9[[#This Row],[Quantity]]</f>
        <v>20</v>
      </c>
      <c r="G7" s="8">
        <v>10.6</v>
      </c>
      <c r="H7" s="8">
        <f>Table9[[#This Row],[Total Floor Space]]*Table9[[#This Row],[Rent per sqm per year]]</f>
        <v>212</v>
      </c>
      <c r="I7">
        <f>(0.5+1/6*4)*Table9[[#This Row],[Quantity]]</f>
        <v>1.1666666666666665</v>
      </c>
      <c r="J7">
        <v>24</v>
      </c>
      <c r="K7">
        <v>5000</v>
      </c>
      <c r="L7">
        <f>50*Table9[[#This Row],[Quantity]]</f>
        <v>50</v>
      </c>
      <c r="M7" s="8">
        <f>Table9[[#This Row],[Energy consumption in W]]*24*365/1000</f>
        <v>438</v>
      </c>
      <c r="N7" s="8">
        <f t="shared" si="0"/>
        <v>3.0000000000000001E-3</v>
      </c>
      <c r="O7" s="8">
        <f>Table9[[#This Row],[Yearly Energy Consumption in kWh]]*Table9[[#This Row],[CU/kWh]]</f>
        <v>1.3140000000000001</v>
      </c>
      <c r="P7">
        <v>1.5</v>
      </c>
      <c r="Q7" s="8">
        <v>20</v>
      </c>
      <c r="R7" s="8">
        <f>Table9[[#This Row],[FIT]]*Table9[[#This Row],[Quantity]]*24*365/1000000000</f>
        <v>4.3799999999999999E-2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5</v>
      </c>
      <c r="W7" s="8">
        <f>Table9[[#This Row],[Failures per year]]*Table9[[#This Row],[Total Time to Repair(h)]]*Table9[[#This Row],[No. Of technicians]]*Table9[[#This Row],[Cost per hour]]</f>
        <v>5.2888499999999992</v>
      </c>
      <c r="X7" s="8">
        <v>100</v>
      </c>
      <c r="Y7" s="8">
        <v>7.0000000000000007E-2</v>
      </c>
      <c r="Z7" s="8">
        <f t="shared" si="1"/>
        <v>7.0540000000000005E-2</v>
      </c>
      <c r="AA7" s="8">
        <f>Table9[[#This Row],[Percentage of Business Users]]*Table9[[#This Row],[SLA CU per hour]]*Table9[[#This Row],[Failures per year]]*Table9[[#This Row],[Total Time to Repair(h)]]</f>
        <v>7.4043900000000002</v>
      </c>
      <c r="AB7" s="8">
        <f>Table9[[#This Row],[Percentage of ITS and business users]]*Table9[[#This Row],[SLA CU per hour]]*Table9[[#This Row],[Failures per year]]*Table9[[#This Row],[Total Time to Repair(h)]]</f>
        <v>7.4615095799999995</v>
      </c>
    </row>
    <row r="8" spans="1:28" x14ac:dyDescent="0.25">
      <c r="A8" s="30" t="s">
        <v>8</v>
      </c>
      <c r="B8" s="30" t="s">
        <v>76</v>
      </c>
      <c r="C8" s="31">
        <f>80*0.3</f>
        <v>24</v>
      </c>
      <c r="D8" s="31">
        <v>13</v>
      </c>
      <c r="E8">
        <v>0.25</v>
      </c>
      <c r="F8" s="8">
        <f>Table9[[#This Row],[Floor Space per component]]*Table9[[#This Row],[Quantity]]</f>
        <v>3.25</v>
      </c>
      <c r="G8" s="8">
        <v>10.6</v>
      </c>
      <c r="H8" s="8">
        <f>Table9[[#This Row],[Total Floor Space]]*Table9[[#This Row],[Rent per sqm per year]]</f>
        <v>34.449999999999996</v>
      </c>
      <c r="I8">
        <f>(0.5)*Table9[[#This Row],[Quantity]]</f>
        <v>6.5</v>
      </c>
      <c r="J8">
        <v>6</v>
      </c>
      <c r="K8">
        <v>256</v>
      </c>
      <c r="L8">
        <v>0</v>
      </c>
      <c r="M8" s="8">
        <f>Table9[[#This Row],[Energy consumption in W]]*24*365/1000</f>
        <v>0</v>
      </c>
      <c r="N8" s="8">
        <f t="shared" si="0"/>
        <v>3.0000000000000001E-3</v>
      </c>
      <c r="O8" s="8">
        <f>Table9[[#This Row],[Yearly Energy Consumption in kWh]]*Table9[[#This Row],[CU/kWh]]</f>
        <v>0</v>
      </c>
      <c r="P8">
        <v>1.5</v>
      </c>
      <c r="Q8" s="8">
        <v>20</v>
      </c>
      <c r="R8" s="8">
        <f>Table9[[#This Row],[FIT]]*Table9[[#This Row],[Quantity]]*24*365/1000000000</f>
        <v>2.915328E-2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5</v>
      </c>
      <c r="W8" s="8">
        <f>Table9[[#This Row],[Failures per year]]*Table9[[#This Row],[Total Time to Repair(h)]]*Table9[[#This Row],[No. Of technicians]]*Table9[[#This Row],[Cost per hour]]</f>
        <v>0.89646336000000004</v>
      </c>
      <c r="X8" s="8">
        <v>100</v>
      </c>
      <c r="Y8" s="8">
        <v>7.0000000000000007E-2</v>
      </c>
      <c r="Z8" s="8">
        <f t="shared" si="1"/>
        <v>7.0540000000000005E-2</v>
      </c>
      <c r="AA8" s="8">
        <f>Table9[[#This Row],[Percentage of Business Users]]*Table9[[#This Row],[SLA CU per hour]]*Table9[[#This Row],[Failures per year]]*Table9[[#This Row],[Total Time to Repair(h)]]</f>
        <v>1.2550487040000002</v>
      </c>
      <c r="AB8" s="8">
        <f>Table9[[#This Row],[Percentage of ITS and business users]]*Table9[[#This Row],[SLA CU per hour]]*Table9[[#This Row],[Failures per year]]*Table9[[#This Row],[Total Time to Repair(h)]]</f>
        <v>1.2647305082880003</v>
      </c>
    </row>
    <row r="9" spans="1:28" x14ac:dyDescent="0.25">
      <c r="A9" s="30" t="s">
        <v>10</v>
      </c>
      <c r="B9" s="30" t="s">
        <v>81</v>
      </c>
      <c r="C9" s="31">
        <v>3.1</v>
      </c>
      <c r="D9" s="31">
        <f>1113</f>
        <v>1113</v>
      </c>
      <c r="E9">
        <v>0.5</v>
      </c>
      <c r="F9" s="8">
        <f>Table9[[#This Row],[Floor Space per component]]*Table9[[#This Row],[Quantity]]</f>
        <v>556.5</v>
      </c>
      <c r="G9" s="8">
        <v>4</v>
      </c>
      <c r="H9" s="8">
        <f>Table9[[#This Row],[Total Floor Space]]*Table9[[#This Row],[Rent per sqm per year]]</f>
        <v>2226</v>
      </c>
      <c r="I9">
        <f>(0.5+1/6*16)*Table9[[#This Row],[Quantity]]</f>
        <v>3524.5</v>
      </c>
      <c r="J9">
        <v>24</v>
      </c>
      <c r="K9">
        <v>512</v>
      </c>
      <c r="L9">
        <f>5.5*Table9[[#This Row],[Quantity]]</f>
        <v>6121.5</v>
      </c>
      <c r="M9" s="8">
        <f>Table9[[#This Row],[Energy consumption in W]]*24*365/1000</f>
        <v>53624.34</v>
      </c>
      <c r="N9" s="8">
        <f t="shared" si="0"/>
        <v>3.0000000000000001E-3</v>
      </c>
      <c r="O9" s="8">
        <f>Table9[[#This Row],[Yearly Energy Consumption in kWh]]*Table9[[#This Row],[CU/kWh]]</f>
        <v>160.87302</v>
      </c>
      <c r="P9">
        <v>2</v>
      </c>
      <c r="Q9" s="8">
        <v>20</v>
      </c>
      <c r="R9" s="8">
        <f>Table9[[#This Row],[FIT]]*Table9[[#This Row],[Quantity]]*24*365/1000000000</f>
        <v>4.9919385600000004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5</v>
      </c>
      <c r="W9" s="8">
        <f>Table9[[#This Row],[Failures per year]]*Table9[[#This Row],[Total Time to Repair(h)]]*Table9[[#This Row],[No. Of technicians]]*Table9[[#This Row],[Cost per hour]]</f>
        <v>604.02456576000009</v>
      </c>
      <c r="X9" s="8">
        <v>100</v>
      </c>
      <c r="Y9" s="8">
        <v>7.0000000000000007E-2</v>
      </c>
      <c r="Z9" s="8">
        <f t="shared" si="1"/>
        <v>7.0540000000000005E-2</v>
      </c>
      <c r="AA9" s="8">
        <f>Table9[[#This Row],[Percentage of Business Users]]*Table9[[#This Row],[SLA CU per hour]]*Table9[[#This Row],[Failures per year]]*Table9[[#This Row],[Total Time to Repair(h)]]</f>
        <v>845.63439206400017</v>
      </c>
      <c r="AB9" s="8">
        <f>Table9[[#This Row],[Percentage of ITS and business users]]*Table9[[#This Row],[SLA CU per hour]]*Table9[[#This Row],[Failures per year]]*Table9[[#This Row],[Total Time to Repair(h)]]</f>
        <v>852.15785737420811</v>
      </c>
    </row>
    <row r="10" spans="1:28" x14ac:dyDescent="0.25">
      <c r="A10" s="30" t="s">
        <v>10</v>
      </c>
      <c r="B10" s="30" t="s">
        <v>112</v>
      </c>
      <c r="C10" s="31">
        <v>12</v>
      </c>
      <c r="D10" s="31">
        <v>1113</v>
      </c>
      <c r="E10">
        <v>0.5</v>
      </c>
      <c r="F10" s="8">
        <f>Table9[[#This Row],[Floor Space per component]]*Table9[[#This Row],[Quantity]]</f>
        <v>556.5</v>
      </c>
      <c r="G10" s="8">
        <v>4</v>
      </c>
      <c r="H10" s="8">
        <f>Table9[[#This Row],[Total Floor Space]]*Table9[[#This Row],[Rent per sqm per year]]</f>
        <v>2226</v>
      </c>
      <c r="I10">
        <v>0</v>
      </c>
      <c r="J10">
        <v>24</v>
      </c>
      <c r="K10">
        <v>512</v>
      </c>
      <c r="L10" s="8">
        <f>50*Table9[[#This Row],[Quantity]]</f>
        <v>55650</v>
      </c>
      <c r="M10" s="8">
        <f>Table9[[#This Row],[Energy consumption in W]]*24*365/1000</f>
        <v>487494</v>
      </c>
      <c r="N10" s="8">
        <f t="shared" si="0"/>
        <v>3.0000000000000001E-3</v>
      </c>
      <c r="O10" s="8">
        <f>Table9[[#This Row],[Yearly Energy Consumption in kWh]]*Table9[[#This Row],[CU/kWh]]</f>
        <v>1462.482</v>
      </c>
      <c r="P10">
        <v>2</v>
      </c>
      <c r="Q10" s="8">
        <v>20</v>
      </c>
      <c r="R10" s="8">
        <f>Table9[[#This Row],[FIT]]*Table9[[#This Row],[Quantity]]*24*365/1000000000</f>
        <v>4.9919385600000004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24.2</v>
      </c>
      <c r="U10">
        <v>1</v>
      </c>
      <c r="V10" s="8">
        <v>5</v>
      </c>
      <c r="W10" s="8">
        <f>Table9[[#This Row],[Failures per year]]*Table9[[#This Row],[Total Time to Repair(h)]]*Table9[[#This Row],[No. Of technicians]]*Table9[[#This Row],[Cost per hour]]</f>
        <v>604.02456576000009</v>
      </c>
      <c r="X10" s="8">
        <v>100</v>
      </c>
      <c r="Y10" s="8">
        <v>7.0000000000000007E-2</v>
      </c>
      <c r="Z10" s="8">
        <f t="shared" si="1"/>
        <v>7.0540000000000005E-2</v>
      </c>
      <c r="AA10" s="8">
        <f>Table9[[#This Row],[Percentage of Business Users]]*Table9[[#This Row],[SLA CU per hour]]*Table9[[#This Row],[Failures per year]]*Table9[[#This Row],[Total Time to Repair(h)]]</f>
        <v>845.63439206400017</v>
      </c>
      <c r="AB10" s="8">
        <f>Table9[[#This Row],[Percentage of ITS and business users]]*Table9[[#This Row],[SLA CU per hour]]*Table9[[#This Row],[Failures per year]]*Table9[[#This Row],[Total Time to Repair(h)]]</f>
        <v>852.15785737420811</v>
      </c>
    </row>
    <row r="11" spans="1:28" x14ac:dyDescent="0.25">
      <c r="A11" s="30"/>
      <c r="B11" s="30"/>
      <c r="C11" s="31"/>
      <c r="H11">
        <f>SUM(Table9[Total Rent cost per year])</f>
        <v>5498.75</v>
      </c>
      <c r="O11">
        <f>SUBTOTAL(109,Table9[Energy Cost per year in CU])</f>
        <v>1676.7034200000001</v>
      </c>
      <c r="W11">
        <f>SUBTOTAL(109,Table9[FM Cost])</f>
        <v>1214.9969152800002</v>
      </c>
      <c r="AA11">
        <f>SUBTOTAL(109,Table9[FM Penalty Business])</f>
        <v>1700.9956813920003</v>
      </c>
      <c r="AB11">
        <f>SUBTOTAL(109,Table9[FM Penalty ITS])</f>
        <v>1714.1176480770241</v>
      </c>
    </row>
    <row r="15" spans="1:28" x14ac:dyDescent="0.25">
      <c r="P15" t="s">
        <v>69</v>
      </c>
    </row>
    <row r="16" spans="1:28" x14ac:dyDescent="0.25">
      <c r="A16" s="8" t="s">
        <v>39</v>
      </c>
      <c r="B16" s="8" t="s">
        <v>63</v>
      </c>
      <c r="C16" s="8" t="s">
        <v>17</v>
      </c>
      <c r="D16" s="8" t="s">
        <v>16</v>
      </c>
      <c r="E16" s="8" t="s">
        <v>40</v>
      </c>
      <c r="F16" s="8" t="s">
        <v>30</v>
      </c>
      <c r="G16" s="8" t="s">
        <v>44</v>
      </c>
      <c r="H16" s="8" t="s">
        <v>47</v>
      </c>
      <c r="I16" s="8" t="s">
        <v>48</v>
      </c>
      <c r="J16" s="8" t="s">
        <v>50</v>
      </c>
      <c r="P16">
        <f>Table9[[#Totals],[Total Rent cost per year]]+Table9[[#Totals],[Energy Cost per year in CU]]+Table9[[#Totals],[FM Cost]]+J20</f>
        <v>9178.7763073251972</v>
      </c>
    </row>
    <row r="17" spans="1:17" x14ac:dyDescent="0.25">
      <c r="A17" t="s">
        <v>41</v>
      </c>
      <c r="B17">
        <f>B29/1000</f>
        <v>3.93963654675147</v>
      </c>
      <c r="C17">
        <f>570*B17</f>
        <v>2245.5928316483378</v>
      </c>
      <c r="D17">
        <v>24</v>
      </c>
      <c r="E17">
        <v>1</v>
      </c>
      <c r="F17">
        <v>5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2.3654850329300423</v>
      </c>
    </row>
    <row r="18" spans="1:17" x14ac:dyDescent="0.25">
      <c r="A18" t="s">
        <v>42</v>
      </c>
      <c r="B18">
        <f>C29/1000</f>
        <v>161.60294779310701</v>
      </c>
      <c r="C18" s="8">
        <f t="shared" ref="C18:C19" si="2">570*B18</f>
        <v>92113.680242070986</v>
      </c>
      <c r="D18">
        <v>24</v>
      </c>
      <c r="E18">
        <v>1</v>
      </c>
      <c r="F18">
        <v>5</v>
      </c>
      <c r="G18">
        <v>2</v>
      </c>
      <c r="H18" s="8">
        <f t="shared" ref="H18:H19" si="3">G18/20</f>
        <v>0.1</v>
      </c>
      <c r="I18" s="8">
        <f t="shared" ref="I18:I19" si="4">D18+H18</f>
        <v>24.1</v>
      </c>
      <c r="J18" s="8">
        <f t="shared" ref="J18:J19" si="5">C18*E18*F18*I18*24*365/1000000000</f>
        <v>97.233358589925288</v>
      </c>
    </row>
    <row r="19" spans="1:17" x14ac:dyDescent="0.25">
      <c r="A19" t="s">
        <v>62</v>
      </c>
      <c r="B19">
        <f>D29/1000</f>
        <v>1139.9422692917599</v>
      </c>
      <c r="C19" s="8">
        <f t="shared" si="2"/>
        <v>649767.09349630319</v>
      </c>
      <c r="D19">
        <v>24</v>
      </c>
      <c r="E19">
        <v>1</v>
      </c>
      <c r="F19">
        <v>5</v>
      </c>
      <c r="G19">
        <v>4</v>
      </c>
      <c r="H19" s="8">
        <f t="shared" si="3"/>
        <v>0.2</v>
      </c>
      <c r="I19" s="8">
        <f t="shared" si="4"/>
        <v>24.2</v>
      </c>
      <c r="J19" s="8">
        <f t="shared" si="5"/>
        <v>688.72712842234159</v>
      </c>
    </row>
    <row r="20" spans="1:17" x14ac:dyDescent="0.25">
      <c r="J20">
        <f>SUM(J17:J19)</f>
        <v>788.32597204519698</v>
      </c>
      <c r="O20" s="8" t="s">
        <v>88</v>
      </c>
      <c r="P20" s="8" t="s">
        <v>66</v>
      </c>
      <c r="Q20" t="s">
        <v>119</v>
      </c>
    </row>
    <row r="21" spans="1:17" x14ac:dyDescent="0.25">
      <c r="O21" s="8" t="s">
        <v>83</v>
      </c>
      <c r="P21" s="8">
        <f>P34/$M$26</f>
        <v>0.62393623056847836</v>
      </c>
      <c r="Q21" s="8">
        <f>Q34/$M$26</f>
        <v>0.62393623056847836</v>
      </c>
    </row>
    <row r="22" spans="1:17" x14ac:dyDescent="0.25">
      <c r="O22" s="8" t="s">
        <v>84</v>
      </c>
      <c r="P22" s="8">
        <f t="shared" ref="P22:Q25" si="6">P35/$M$26</f>
        <v>0.19025342335186657</v>
      </c>
      <c r="Q22" s="8">
        <f t="shared" si="6"/>
        <v>0.19025342335186657</v>
      </c>
    </row>
    <row r="23" spans="1:17" x14ac:dyDescent="0.25">
      <c r="O23" s="8" t="s">
        <v>85</v>
      </c>
      <c r="P23" s="8">
        <f t="shared" si="6"/>
        <v>0.13786416830591175</v>
      </c>
      <c r="Q23" s="8">
        <f t="shared" si="6"/>
        <v>0.19449876864598026</v>
      </c>
    </row>
    <row r="24" spans="1:17" x14ac:dyDescent="0.25">
      <c r="O24" s="8" t="s">
        <v>86</v>
      </c>
      <c r="P24" s="8">
        <f t="shared" si="6"/>
        <v>4.7602691111312836E-2</v>
      </c>
      <c r="Q24" s="8">
        <f t="shared" si="6"/>
        <v>5.0434421128316267E-2</v>
      </c>
    </row>
    <row r="25" spans="1:17" x14ac:dyDescent="0.25">
      <c r="M25" t="s">
        <v>117</v>
      </c>
      <c r="O25" s="8" t="s">
        <v>87</v>
      </c>
      <c r="P25" s="8">
        <f t="shared" si="6"/>
        <v>6.6643767555837966E-2</v>
      </c>
      <c r="Q25" s="8">
        <f t="shared" si="6"/>
        <v>7.060818957964278E-2</v>
      </c>
    </row>
    <row r="26" spans="1:17" x14ac:dyDescent="0.25">
      <c r="M26" s="8">
        <v>8813</v>
      </c>
      <c r="O26" s="8"/>
      <c r="P26" s="8">
        <f>SUM(Table14161718[Cost])</f>
        <v>1.0663002808934074</v>
      </c>
      <c r="Q26">
        <f>SUBTOTAL(109,Table14161718[Cost ITS])</f>
        <v>1.1297310332742845</v>
      </c>
    </row>
    <row r="29" spans="1:17" x14ac:dyDescent="0.25">
      <c r="B29" s="9">
        <v>3939.6365467514702</v>
      </c>
      <c r="C29" s="9">
        <v>161602.94779310701</v>
      </c>
      <c r="D29" s="9">
        <v>1139942.2692917599</v>
      </c>
    </row>
    <row r="33" spans="15:17" x14ac:dyDescent="0.25">
      <c r="O33" s="40" t="s">
        <v>88</v>
      </c>
      <c r="P33" s="41" t="s">
        <v>66</v>
      </c>
      <c r="Q33" t="s">
        <v>119</v>
      </c>
    </row>
    <row r="34" spans="15:17" x14ac:dyDescent="0.25">
      <c r="O34" s="32" t="s">
        <v>83</v>
      </c>
      <c r="P34" s="12">
        <f>Table9[[#Totals],[Total Rent cost per year]]</f>
        <v>5498.75</v>
      </c>
      <c r="Q34" s="12">
        <f>Table9[[#Totals],[Total Rent cost per year]]</f>
        <v>5498.75</v>
      </c>
    </row>
    <row r="35" spans="15:17" x14ac:dyDescent="0.25">
      <c r="O35" s="34" t="s">
        <v>84</v>
      </c>
      <c r="P35" s="13">
        <f>Table9[[#Totals],[Energy Cost per year in CU]]</f>
        <v>1676.7034200000001</v>
      </c>
      <c r="Q35" s="13">
        <f>Table9[[#Totals],[Energy Cost per year in CU]]</f>
        <v>1676.7034200000001</v>
      </c>
    </row>
    <row r="36" spans="15:17" x14ac:dyDescent="0.25">
      <c r="O36" s="32" t="s">
        <v>85</v>
      </c>
      <c r="P36" s="12">
        <f>Table9[[#Totals],[FM Cost]]+J33</f>
        <v>1214.9969152800002</v>
      </c>
      <c r="Q36" s="12">
        <f>Table9[[#Totals],[FM Penalty ITS]]+J33</f>
        <v>1714.1176480770241</v>
      </c>
    </row>
    <row r="37" spans="15:17" x14ac:dyDescent="0.25">
      <c r="O37" s="34" t="s">
        <v>86</v>
      </c>
      <c r="P37" s="13">
        <f>0.05*SUM(P34:P36)</f>
        <v>419.52251676400004</v>
      </c>
      <c r="Q37" s="13">
        <f>0.05*SUM(Q34:Q36)</f>
        <v>444.47855340385127</v>
      </c>
    </row>
    <row r="38" spans="15:17" x14ac:dyDescent="0.25">
      <c r="O38" s="32" t="s">
        <v>87</v>
      </c>
      <c r="P38" s="12">
        <f>0.07*SUM(P34:P36)</f>
        <v>587.33152346960003</v>
      </c>
      <c r="Q38" s="12">
        <f>0.07*SUM(Q34:Q36)</f>
        <v>622.26997476539179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M1" workbookViewId="0">
      <selection activeCell="M21" sqref="M21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</v>
      </c>
      <c r="E1" t="s">
        <v>35</v>
      </c>
      <c r="F1" t="s">
        <v>34</v>
      </c>
      <c r="G1" t="s">
        <v>36</v>
      </c>
      <c r="H1" t="s">
        <v>37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s="8" t="s">
        <v>97</v>
      </c>
      <c r="Y1" s="8" t="s">
        <v>101</v>
      </c>
      <c r="Z1" s="8" t="s">
        <v>102</v>
      </c>
      <c r="AA1" s="8" t="s">
        <v>32</v>
      </c>
      <c r="AB1" s="8" t="s">
        <v>33</v>
      </c>
    </row>
    <row r="2" spans="1:28" x14ac:dyDescent="0.25">
      <c r="A2" s="16" t="s">
        <v>3</v>
      </c>
      <c r="B2" s="17" t="s">
        <v>70</v>
      </c>
      <c r="C2" s="18">
        <v>16</v>
      </c>
      <c r="D2" s="23">
        <v>8</v>
      </c>
      <c r="E2">
        <v>0.5</v>
      </c>
      <c r="F2">
        <f>E2*D2</f>
        <v>4</v>
      </c>
      <c r="G2">
        <v>10.6</v>
      </c>
      <c r="H2">
        <f>Table10[[#This Row],[Total Floor Space]]*Table10[[#This Row],[Rent per sqm per year]]</f>
        <v>42.4</v>
      </c>
      <c r="I2">
        <f>(0.5+1/6*6)*Table10[[#This Row],[Quantity]]</f>
        <v>12</v>
      </c>
      <c r="J2">
        <v>6</v>
      </c>
      <c r="K2">
        <v>256</v>
      </c>
      <c r="L2">
        <f>0.5*10*6*Table10[[#This Row],[Quantity]]</f>
        <v>240</v>
      </c>
      <c r="M2">
        <f>Table10[[#This Row],[Energy consumption in W]]*24*365/1000</f>
        <v>2102.4</v>
      </c>
      <c r="N2">
        <f>0.15/50</f>
        <v>3.0000000000000001E-3</v>
      </c>
      <c r="O2">
        <f>Table10[[#This Row],[Yearly Energy Consumption in kWh]]*Table10[[#This Row],[CU/kWh]]</f>
        <v>6.3072000000000008</v>
      </c>
      <c r="P2">
        <v>0</v>
      </c>
      <c r="Q2">
        <v>20</v>
      </c>
      <c r="R2">
        <f>Table10[[#This Row],[FIT]]*Table10[[#This Row],[Quantity]]*24*365/1000000000</f>
        <v>1.7940480000000002E-2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5</v>
      </c>
      <c r="W2">
        <f>Table10[[#This Row],[Failures per year]]*Table10[[#This Row],[Total Time to Repair(h)]]*Table10[[#This Row],[No. Of technicians]]*Table10[[#This Row],[Cost per hour]]</f>
        <v>0.53821440000000009</v>
      </c>
      <c r="X2" s="8">
        <v>100</v>
      </c>
      <c r="Y2" s="8">
        <v>7.0000000000000007E-2</v>
      </c>
      <c r="Z2" s="8">
        <v>7.0540000000000005E-2</v>
      </c>
      <c r="AA2" s="8">
        <f>Table10[[#This Row],[Percentage of Business Users]]*Table10[[#This Row],[SLA CU per hour]]*Table10[[#This Row],[Failures per year]]*Table10[[#This Row],[Total Time to Repair(h)]]</f>
        <v>0.7535001600000002</v>
      </c>
      <c r="AB2" s="8">
        <f>Table10[[#This Row],[Percentage of ITS and business users]]*Table10[[#This Row],[SLA CU per hour]]*Table10[[#This Row],[Failures per year]]*Table10[[#This Row],[Total Time to Repair(h)]]</f>
        <v>0.75931287552000015</v>
      </c>
    </row>
    <row r="3" spans="1:28" x14ac:dyDescent="0.25">
      <c r="A3" s="19" t="s">
        <v>3</v>
      </c>
      <c r="B3" s="20" t="s">
        <v>71</v>
      </c>
      <c r="C3" s="21">
        <v>17</v>
      </c>
      <c r="D3" s="23">
        <f>13*3</f>
        <v>39</v>
      </c>
      <c r="E3">
        <v>5</v>
      </c>
      <c r="F3" s="8">
        <f t="shared" ref="F3:F10" si="0">E3*D3</f>
        <v>195</v>
      </c>
      <c r="G3" s="8">
        <v>10.6</v>
      </c>
      <c r="H3" s="8">
        <f>Table10[[#This Row],[Total Floor Space]]*Table10[[#This Row],[Rent per sqm per year]]</f>
        <v>2067</v>
      </c>
      <c r="I3">
        <f>1/6*Table10[[#This Row],[Quantity]]</f>
        <v>6.5</v>
      </c>
      <c r="J3">
        <v>6</v>
      </c>
      <c r="K3">
        <v>50</v>
      </c>
      <c r="L3">
        <f>100*Table10[[#This Row],[Quantity]]</f>
        <v>3900</v>
      </c>
      <c r="M3" s="8">
        <f>Table10[[#This Row],[Energy consumption in W]]*24*365/1000</f>
        <v>34164</v>
      </c>
      <c r="N3" s="8">
        <f t="shared" ref="N3:N8" si="1">0.15/50</f>
        <v>3.0000000000000001E-3</v>
      </c>
      <c r="O3" s="8">
        <f>Table10[[#This Row],[Yearly Energy Consumption in kWh]]*Table10[[#This Row],[CU/kWh]]</f>
        <v>102.492</v>
      </c>
      <c r="P3">
        <v>0</v>
      </c>
      <c r="Q3" s="8">
        <v>20</v>
      </c>
      <c r="R3" s="8">
        <f>Table10[[#This Row],[FIT]]*Table10[[#This Row],[Quantity]]*24*365/1000000000</f>
        <v>1.7082E-2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5</v>
      </c>
      <c r="W3" s="8">
        <f>Table10[[#This Row],[Failures per year]]*Table10[[#This Row],[Total Time to Repair(h)]]*Table10[[#This Row],[No. Of technicians]]*Table10[[#This Row],[Cost per hour]]</f>
        <v>0.51246000000000003</v>
      </c>
      <c r="X3" s="8">
        <v>100</v>
      </c>
      <c r="Y3" s="8">
        <v>7.0000000000000007E-2</v>
      </c>
      <c r="Z3" s="8">
        <v>7.0540000000000005E-2</v>
      </c>
      <c r="AA3" s="8">
        <f>Table10[[#This Row],[Percentage of Business Users]]*Table10[[#This Row],[SLA CU per hour]]*Table10[[#This Row],[Failures per year]]*Table10[[#This Row],[Total Time to Repair(h)]]</f>
        <v>0.71744400000000008</v>
      </c>
      <c r="AB3" s="8">
        <f>Table10[[#This Row],[Percentage of ITS and business users]]*Table10[[#This Row],[SLA CU per hour]]*Table10[[#This Row],[Failures per year]]*Table10[[#This Row],[Total Time to Repair(h)]]</f>
        <v>0.72297856800000004</v>
      </c>
    </row>
    <row r="4" spans="1:28" x14ac:dyDescent="0.25">
      <c r="A4" s="16" t="s">
        <v>3</v>
      </c>
      <c r="B4" s="17" t="s">
        <v>72</v>
      </c>
      <c r="C4" s="18">
        <v>63</v>
      </c>
      <c r="D4" s="23">
        <f>13*3</f>
        <v>39</v>
      </c>
      <c r="E4">
        <v>0.5</v>
      </c>
      <c r="F4" s="8">
        <f t="shared" si="0"/>
        <v>19.5</v>
      </c>
      <c r="G4" s="8">
        <v>10.6</v>
      </c>
      <c r="H4" s="8">
        <f>Table10[[#This Row],[Total Floor Space]]*Table10[[#This Row],[Rent per sqm per year]]</f>
        <v>206.7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3.0000000000000001E-3</v>
      </c>
      <c r="O4" s="8">
        <f>Table10[[#This Row],[Yearly Energy Consumption in kWh]]*Table10[[#This Row],[CU/kWh]]</f>
        <v>15.768000000000001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5</v>
      </c>
      <c r="W4" s="8">
        <f>Table10[[#This Row],[Failures per year]]*Table10[[#This Row],[Total Time to Repair(h)]]*Table10[[#This Row],[No. Of technicians]]*Table10[[#This Row],[Cost per hour]]</f>
        <v>0</v>
      </c>
      <c r="X4" s="8">
        <v>100</v>
      </c>
      <c r="Y4" s="8">
        <v>7.0000000000000007E-2</v>
      </c>
      <c r="Z4" s="8">
        <v>7.0540000000000005E-2</v>
      </c>
      <c r="AA4" s="8">
        <f>Table10[[#This Row],[Percentage of Business Users]]*Table10[[#This Row],[SLA CU per hour]]*Table10[[#This Row],[Failures per year]]*Table10[[#This Row],[Total Time to Repair(h)]]</f>
        <v>0</v>
      </c>
      <c r="AB4" s="8">
        <f>Table10[[#This Row],[Percentage of ITS and business users]]*Table10[[#This Row],[SLA CU per hour]]*Table10[[#This Row],[Failures per year]]*Table10[[#This Row],[Total Time to Repair(h)]]</f>
        <v>0</v>
      </c>
    </row>
    <row r="5" spans="1:28" x14ac:dyDescent="0.25">
      <c r="A5" s="19" t="s">
        <v>3</v>
      </c>
      <c r="B5" s="20" t="s">
        <v>73</v>
      </c>
      <c r="C5" s="21">
        <v>2.2999999999999998</v>
      </c>
      <c r="D5" s="23">
        <f>13*3</f>
        <v>39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3.0000000000000001E-3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5</v>
      </c>
      <c r="W5" s="8">
        <f>Table10[[#This Row],[Failures per year]]*Table10[[#This Row],[Total Time to Repair(h)]]*Table10[[#This Row],[No. Of technicians]]*Table10[[#This Row],[Cost per hour]]</f>
        <v>0</v>
      </c>
      <c r="X5" s="8">
        <v>100</v>
      </c>
      <c r="Y5" s="8">
        <v>7.0000000000000007E-2</v>
      </c>
      <c r="Z5" s="8">
        <v>7.0540000000000005E-2</v>
      </c>
      <c r="AA5" s="8">
        <f>Table10[[#This Row],[Percentage of Business Users]]*Table10[[#This Row],[SLA CU per hour]]*Table10[[#This Row],[Failures per year]]*Table10[[#This Row],[Total Time to Repair(h)]]</f>
        <v>0</v>
      </c>
      <c r="AB5" s="8">
        <f>Table10[[#This Row],[Percentage of ITS and business users]]*Table10[[#This Row],[SLA CU per hour]]*Table10[[#This Row],[Failures per year]]*Table10[[#This Row],[Total Time to Repair(h)]]</f>
        <v>0</v>
      </c>
    </row>
    <row r="6" spans="1:28" x14ac:dyDescent="0.25">
      <c r="A6" s="16" t="s">
        <v>3</v>
      </c>
      <c r="B6" s="17" t="s">
        <v>74</v>
      </c>
      <c r="C6" s="18">
        <v>2.2222222222222223E-2</v>
      </c>
      <c r="D6" s="23">
        <v>12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2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3.0000000000000001E-3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5.2560000000000003E-3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5</v>
      </c>
      <c r="W6" s="8">
        <f>Table10[[#This Row],[Failures per year]]*Table10[[#This Row],[Total Time to Repair(h)]]*Table10[[#This Row],[No. Of technicians]]*Table10[[#This Row],[Cost per hour]]</f>
        <v>0.16030800000000001</v>
      </c>
      <c r="X6" s="8">
        <v>100</v>
      </c>
      <c r="Y6" s="8">
        <v>7.0000000000000007E-2</v>
      </c>
      <c r="Z6" s="8">
        <v>7.0540000000000005E-2</v>
      </c>
      <c r="AA6" s="8">
        <f>Table10[[#This Row],[Percentage of Business Users]]*Table10[[#This Row],[SLA CU per hour]]*Table10[[#This Row],[Failures per year]]*Table10[[#This Row],[Total Time to Repair(h)]]</f>
        <v>0.22443120000000003</v>
      </c>
      <c r="AB6" s="8">
        <f>Table10[[#This Row],[Percentage of ITS and business users]]*Table10[[#This Row],[SLA CU per hour]]*Table10[[#This Row],[Failures per year]]*Table10[[#This Row],[Total Time to Repair(h)]]</f>
        <v>0.22616252639999998</v>
      </c>
    </row>
    <row r="7" spans="1:28" x14ac:dyDescent="0.25">
      <c r="A7" s="19" t="s">
        <v>3</v>
      </c>
      <c r="B7" s="20" t="s">
        <v>75</v>
      </c>
      <c r="C7" s="21">
        <v>400</v>
      </c>
      <c r="D7" s="23">
        <v>1</v>
      </c>
      <c r="E7">
        <v>40</v>
      </c>
      <c r="F7" s="8">
        <f t="shared" si="0"/>
        <v>40</v>
      </c>
      <c r="G7" s="8">
        <v>10.6</v>
      </c>
      <c r="H7" s="8">
        <f>Table10[[#This Row],[Total Floor Space]]*Table10[[#This Row],[Rent per sqm per year]]</f>
        <v>424</v>
      </c>
      <c r="I7">
        <f>0.5*Table10[[#This Row],[Quantity]]</f>
        <v>0.5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3.0000000000000001E-3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4.3800000000000002E-4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5</v>
      </c>
      <c r="W7" s="8">
        <f>Table10[[#This Row],[Failures per year]]*Table10[[#This Row],[Total Time to Repair(h)]]*Table10[[#This Row],[No. Of technicians]]*Table10[[#This Row],[Cost per hour]]</f>
        <v>1.3578000000000002E-2</v>
      </c>
      <c r="X7" s="8">
        <v>100</v>
      </c>
      <c r="Y7" s="8">
        <v>7.0000000000000007E-2</v>
      </c>
      <c r="Z7" s="8">
        <v>7.0540000000000005E-2</v>
      </c>
      <c r="AA7" s="8">
        <f>Table10[[#This Row],[Percentage of Business Users]]*Table10[[#This Row],[SLA CU per hour]]*Table10[[#This Row],[Failures per year]]*Table10[[#This Row],[Total Time to Repair(h)]]</f>
        <v>1.9009200000000004E-2</v>
      </c>
      <c r="AB7" s="8">
        <f>Table10[[#This Row],[Percentage of ITS and business users]]*Table10[[#This Row],[SLA CU per hour]]*Table10[[#This Row],[Failures per year]]*Table10[[#This Row],[Total Time to Repair(h)]]</f>
        <v>1.9155842400000005E-2</v>
      </c>
    </row>
    <row r="8" spans="1:28" x14ac:dyDescent="0.25">
      <c r="A8" s="16" t="s">
        <v>8</v>
      </c>
      <c r="B8" s="17" t="s">
        <v>76</v>
      </c>
      <c r="C8" s="18">
        <v>24</v>
      </c>
      <c r="D8" s="31">
        <f>13*3</f>
        <v>39</v>
      </c>
      <c r="E8">
        <v>0.25</v>
      </c>
      <c r="F8" s="8">
        <f t="shared" si="0"/>
        <v>9.75</v>
      </c>
      <c r="G8" s="8">
        <v>4</v>
      </c>
      <c r="H8" s="8">
        <f>Table10[[#This Row],[Total Floor Space]]*Table10[[#This Row],[Rent per sqm per year]]</f>
        <v>39</v>
      </c>
      <c r="I8">
        <f>0.5*Table10[[#This Row],[Quantity]]</f>
        <v>19.5</v>
      </c>
      <c r="J8">
        <v>6</v>
      </c>
      <c r="K8">
        <v>256</v>
      </c>
      <c r="L8">
        <f>5.5*Table10[[#This Row],[Quantity]]</f>
        <v>214.5</v>
      </c>
      <c r="M8" s="8">
        <f>Table10[[#This Row],[Energy consumption in W]]*24*365/1000</f>
        <v>1879.02</v>
      </c>
      <c r="N8" s="8">
        <f t="shared" si="1"/>
        <v>3.0000000000000001E-3</v>
      </c>
      <c r="O8" s="8">
        <f>Table10[[#This Row],[Yearly Energy Consumption in kWh]]*Table10[[#This Row],[CU/kWh]]</f>
        <v>5.63706</v>
      </c>
      <c r="P8">
        <v>4</v>
      </c>
      <c r="Q8" s="8">
        <v>20</v>
      </c>
      <c r="R8" s="8">
        <f>Table10[[#This Row],[FIT]]*Table10[[#This Row],[Quantity]]*24*365/1000000000</f>
        <v>8.7459839999999997E-2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5</v>
      </c>
      <c r="W8" s="8">
        <f>Table10[[#This Row],[Failures per year]]*Table10[[#This Row],[Total Time to Repair(h)]]*Table10[[#This Row],[No. Of technicians]]*Table10[[#This Row],[Cost per hour]]</f>
        <v>2.7987148799999999</v>
      </c>
      <c r="X8" s="8">
        <v>100</v>
      </c>
      <c r="Y8" s="8">
        <v>7.0000000000000007E-2</v>
      </c>
      <c r="Z8" s="8">
        <v>7.0540000000000005E-2</v>
      </c>
      <c r="AA8" s="8">
        <f>Table10[[#This Row],[Percentage of Business Users]]*Table10[[#This Row],[SLA CU per hour]]*Table10[[#This Row],[Failures per year]]*Table10[[#This Row],[Total Time to Repair(h)]]</f>
        <v>3.9182008320000001</v>
      </c>
      <c r="AB8" s="8">
        <f>Table10[[#This Row],[Percentage of ITS and business users]]*Table10[[#This Row],[SLA CU per hour]]*Table10[[#This Row],[Failures per year]]*Table10[[#This Row],[Total Time to Repair(h)]]</f>
        <v>3.9484269527040001</v>
      </c>
    </row>
    <row r="9" spans="1:28" x14ac:dyDescent="0.25">
      <c r="A9" s="19" t="s">
        <v>13</v>
      </c>
      <c r="B9" s="20" t="s">
        <v>81</v>
      </c>
      <c r="C9" s="21">
        <v>5.3</v>
      </c>
      <c r="D9" s="31">
        <f>1113*2</f>
        <v>2226</v>
      </c>
      <c r="E9">
        <v>0.5</v>
      </c>
      <c r="F9" s="8">
        <f t="shared" si="0"/>
        <v>1113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3339</v>
      </c>
      <c r="J9">
        <v>24</v>
      </c>
      <c r="K9">
        <v>256</v>
      </c>
      <c r="L9">
        <v>0</v>
      </c>
      <c r="M9" s="8">
        <f>Table10[[#This Row],[Energy consumption in W]]*24*365/1000</f>
        <v>0</v>
      </c>
      <c r="N9" s="8">
        <v>3.0000000000000001E-3</v>
      </c>
      <c r="O9" s="8">
        <f>Table10[[#This Row],[Yearly Energy Consumption in kWh]]*Table10[[#This Row],[CU/kWh]]</f>
        <v>0</v>
      </c>
      <c r="P9">
        <v>4</v>
      </c>
      <c r="Q9">
        <v>20</v>
      </c>
      <c r="R9" s="8">
        <f>Table10[[#This Row],[FIT]]*Table10[[#This Row],[Quantity]]*24*365/1000000000</f>
        <v>4.9919385600000004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5</v>
      </c>
      <c r="W9" s="8">
        <f>Table10[[#This Row],[Failures per year]]*Table10[[#This Row],[Total Time to Repair(h)]]*Table10[[#This Row],[No. Of technicians]]*Table10[[#This Row],[Cost per hour]]</f>
        <v>609.01650432000008</v>
      </c>
      <c r="X9" s="8">
        <v>100</v>
      </c>
      <c r="Y9" s="8">
        <v>7.0000000000000007E-2</v>
      </c>
      <c r="Z9" s="8">
        <v>7.0540000000000005E-2</v>
      </c>
      <c r="AA9" s="8">
        <f>Table10[[#This Row],[Percentage of Business Users]]*Table10[[#This Row],[SLA CU per hour]]*Table10[[#This Row],[Failures per year]]*Table10[[#This Row],[Total Time to Repair(h)]]</f>
        <v>852.62310604800018</v>
      </c>
      <c r="AB9" s="8">
        <f>Table10[[#This Row],[Percentage of ITS and business users]]*Table10[[#This Row],[SLA CU per hour]]*Table10[[#This Row],[Failures per year]]*Table10[[#This Row],[Total Time to Repair(h)]]</f>
        <v>859.20048429465601</v>
      </c>
    </row>
    <row r="10" spans="1:28" x14ac:dyDescent="0.25">
      <c r="A10" s="29" t="s">
        <v>10</v>
      </c>
      <c r="B10" s="30" t="s">
        <v>113</v>
      </c>
      <c r="C10" s="31">
        <v>1.8</v>
      </c>
      <c r="D10" s="31">
        <v>2226</v>
      </c>
      <c r="E10" s="22">
        <v>0</v>
      </c>
      <c r="F10" s="8">
        <f t="shared" si="0"/>
        <v>0</v>
      </c>
      <c r="G10" s="8">
        <v>0</v>
      </c>
      <c r="H10" s="8">
        <f>Table10[[#This Row],[Total Floor Space]]*Table10[[#This Row],[Rent per sqm per year]]</f>
        <v>0</v>
      </c>
      <c r="I10" s="8">
        <f>(0.5+1/6*6)*Table10[[#This Row],[Quantity]]</f>
        <v>3339</v>
      </c>
      <c r="J10" s="8">
        <v>24</v>
      </c>
      <c r="K10">
        <v>50</v>
      </c>
      <c r="L10">
        <v>0</v>
      </c>
      <c r="M10">
        <f>Table10[[#This Row],[Energy consumption in W]]*24*365/1000</f>
        <v>0</v>
      </c>
      <c r="N10">
        <v>0</v>
      </c>
      <c r="O10">
        <f>Table10[[#This Row],[Yearly Energy Consumption in kWh]]*Table10[[#This Row],[CU/kWh]]</f>
        <v>0</v>
      </c>
      <c r="P10">
        <v>4</v>
      </c>
      <c r="Q10">
        <v>20</v>
      </c>
      <c r="R10">
        <f>Table10[[#This Row],[FIT]]*Table10[[#This Row],[Quantity]]*24*365/1000000000</f>
        <v>0.97498799999999997</v>
      </c>
      <c r="S10">
        <f>2*Table10[[#This Row],[Mean dist in km from CO]]/Table10[[#This Row],[Avg Travel Speed]]</f>
        <v>0.4</v>
      </c>
      <c r="T10">
        <f>Table10[[#This Row],[MTTR]]+Table10[[#This Row],[Twice Travel Time]]</f>
        <v>24.4</v>
      </c>
      <c r="U10">
        <v>1</v>
      </c>
      <c r="V10" s="8">
        <v>5</v>
      </c>
      <c r="W10">
        <f>Table10[[#This Row],[Failures per year]]*Table10[[#This Row],[Total Time to Repair(h)]]*Table10[[#This Row],[No. Of technicians]]*Table10[[#This Row],[Cost per hour]]</f>
        <v>118.94853599999999</v>
      </c>
      <c r="X10" s="8">
        <v>100</v>
      </c>
      <c r="Y10" s="8">
        <v>7.0000000000000007E-2</v>
      </c>
      <c r="Z10" s="8">
        <v>7.0540000000000005E-2</v>
      </c>
      <c r="AA10" s="8">
        <f>Table10[[#This Row],[Percentage of Business Users]]*Table10[[#This Row],[SLA CU per hour]]*Table10[[#This Row],[Failures per year]]*Table10[[#This Row],[Total Time to Repair(h)]]</f>
        <v>166.52795040000001</v>
      </c>
      <c r="AB10" s="8">
        <f>Table10[[#This Row],[Percentage of ITS and business users]]*Table10[[#This Row],[SLA CU per hour]]*Table10[[#This Row],[Failures per year]]*Table10[[#This Row],[Total Time to Repair(h)]]</f>
        <v>167.81259458880001</v>
      </c>
    </row>
    <row r="11" spans="1:28" x14ac:dyDescent="0.25">
      <c r="F11" s="22"/>
      <c r="G11" s="22"/>
      <c r="H11" s="22">
        <f>SUM(Table10[Total Rent cost per year])</f>
        <v>2779.1</v>
      </c>
      <c r="I11" s="22"/>
      <c r="J11" s="22"/>
      <c r="K11" s="22"/>
      <c r="L11" s="22"/>
      <c r="M11" s="22"/>
      <c r="N11" s="22"/>
      <c r="O11" s="22">
        <f>SUBTOTAL(109,Table10[Energy Cost per year in CU])</f>
        <v>130.20426</v>
      </c>
      <c r="P11" s="22"/>
      <c r="Q11" s="22"/>
      <c r="R11" s="22"/>
      <c r="S11" s="22"/>
      <c r="T11" s="22"/>
      <c r="U11" s="22"/>
      <c r="V11" s="22"/>
      <c r="W11" s="22">
        <f>SUBTOTAL(109,Table10[FM Cost])</f>
        <v>731.98831560000008</v>
      </c>
      <c r="X11" s="22"/>
      <c r="Y11" s="22"/>
      <c r="Z11" s="22"/>
      <c r="AA11" s="22">
        <f>SUBTOTAL(109,Table10[FM Penalty Business])</f>
        <v>1024.7836418400002</v>
      </c>
      <c r="AB11" s="22">
        <f>SUBTOTAL(109,Table10[FM Penalty ITS])</f>
        <v>1032.6891156484801</v>
      </c>
    </row>
    <row r="15" spans="1:28" x14ac:dyDescent="0.25">
      <c r="A15" s="8" t="s">
        <v>39</v>
      </c>
      <c r="B15" s="8" t="s">
        <v>63</v>
      </c>
      <c r="C15" s="8" t="s">
        <v>17</v>
      </c>
      <c r="D15" s="8" t="s">
        <v>16</v>
      </c>
      <c r="E15" s="8" t="s">
        <v>40</v>
      </c>
      <c r="F15" s="8" t="s">
        <v>30</v>
      </c>
      <c r="G15" s="8" t="s">
        <v>44</v>
      </c>
      <c r="H15" s="8" t="s">
        <v>47</v>
      </c>
      <c r="I15" s="8" t="s">
        <v>48</v>
      </c>
      <c r="J15" s="8" t="s">
        <v>50</v>
      </c>
      <c r="M15" t="s">
        <v>69</v>
      </c>
    </row>
    <row r="16" spans="1:28" x14ac:dyDescent="0.25">
      <c r="A16" s="8" t="s">
        <v>41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5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5.1848255272459074</v>
      </c>
      <c r="M16">
        <f>Table10[[#Totals],[Total Rent cost per year]]+Table10[[#Totals],[Energy Cost per year in CU]]+Table10[[#Totals],[FM Cost]]+J19</f>
        <v>4009.5779611165112</v>
      </c>
    </row>
    <row r="17" spans="1:17" x14ac:dyDescent="0.25">
      <c r="A17" s="8" t="s">
        <v>42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5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140.48257524428078</v>
      </c>
    </row>
    <row r="18" spans="1:17" x14ac:dyDescent="0.25">
      <c r="A18" s="8" t="s">
        <v>62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5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222.61798474498445</v>
      </c>
      <c r="O18" s="8" t="s">
        <v>88</v>
      </c>
      <c r="P18" s="8" t="s">
        <v>66</v>
      </c>
      <c r="Q18" t="s">
        <v>119</v>
      </c>
    </row>
    <row r="19" spans="1:17" x14ac:dyDescent="0.25">
      <c r="J19">
        <f>SUM(J16:J18)</f>
        <v>368.28538551651116</v>
      </c>
      <c r="O19" s="8" t="s">
        <v>83</v>
      </c>
      <c r="P19" s="8">
        <f>P31/$M$21</f>
        <v>0.3153409735617837</v>
      </c>
      <c r="Q19" s="8">
        <f>Q31/$M$21</f>
        <v>0.3153409735617837</v>
      </c>
    </row>
    <row r="20" spans="1:17" x14ac:dyDescent="0.25">
      <c r="M20" t="s">
        <v>120</v>
      </c>
      <c r="O20" s="8" t="s">
        <v>84</v>
      </c>
      <c r="P20" s="8">
        <f t="shared" ref="P20:Q20" si="6">P32/$M$21</f>
        <v>1.4774113241801884E-2</v>
      </c>
      <c r="Q20" s="8">
        <f t="shared" si="6"/>
        <v>1.4774113241801884E-2</v>
      </c>
    </row>
    <row r="21" spans="1:17" x14ac:dyDescent="0.25">
      <c r="M21" s="8">
        <v>8813</v>
      </c>
      <c r="O21" s="8" t="s">
        <v>85</v>
      </c>
      <c r="P21" s="8">
        <f t="shared" ref="P21:Q21" si="7">P33/$M$21</f>
        <v>8.3057791399069561E-2</v>
      </c>
      <c r="Q21" s="8">
        <f t="shared" si="7"/>
        <v>0.15896681052592659</v>
      </c>
    </row>
    <row r="22" spans="1:17" x14ac:dyDescent="0.25">
      <c r="O22" s="8" t="s">
        <v>86</v>
      </c>
      <c r="P22" s="8">
        <f t="shared" ref="P22:Q22" si="8">P34/$M$21</f>
        <v>2.0658643910132762E-2</v>
      </c>
      <c r="Q22" s="8">
        <f t="shared" si="8"/>
        <v>2.4454094866475609E-2</v>
      </c>
    </row>
    <row r="23" spans="1:17" x14ac:dyDescent="0.25">
      <c r="O23" s="8" t="s">
        <v>87</v>
      </c>
      <c r="P23" s="8">
        <f t="shared" ref="P23:Q23" si="9">P35/$M$21</f>
        <v>2.8922101474185866E-2</v>
      </c>
      <c r="Q23" s="8">
        <f t="shared" si="9"/>
        <v>3.4235732813065856E-2</v>
      </c>
    </row>
    <row r="24" spans="1:17" x14ac:dyDescent="0.25">
      <c r="O24" s="8"/>
      <c r="P24" s="8">
        <f>SUM(Table1416171819[Cost])</f>
        <v>0.46275362358697381</v>
      </c>
      <c r="Q24">
        <f>SUBTOTAL(109,Table1416171819[Cost ITS])</f>
        <v>0.54777172500905369</v>
      </c>
    </row>
    <row r="30" spans="1:17" x14ac:dyDescent="0.25">
      <c r="O30" s="40" t="s">
        <v>88</v>
      </c>
      <c r="P30" s="10" t="s">
        <v>66</v>
      </c>
      <c r="Q30" s="41" t="s">
        <v>119</v>
      </c>
    </row>
    <row r="31" spans="1:17" x14ac:dyDescent="0.25">
      <c r="O31" s="32" t="s">
        <v>83</v>
      </c>
      <c r="P31" s="33">
        <f>Table10[[#Totals],[Total Rent cost per year]]</f>
        <v>2779.1</v>
      </c>
      <c r="Q31" s="33">
        <f>Table10[[#Totals],[Total Rent cost per year]]</f>
        <v>2779.1</v>
      </c>
    </row>
    <row r="32" spans="1:17" x14ac:dyDescent="0.25">
      <c r="O32" s="34" t="s">
        <v>84</v>
      </c>
      <c r="P32" s="35">
        <f>Table10[[#Totals],[Energy Cost per year in CU]]</f>
        <v>130.20426</v>
      </c>
      <c r="Q32" s="35">
        <f>Table10[[#Totals],[Energy Cost per year in CU]]</f>
        <v>130.20426</v>
      </c>
    </row>
    <row r="33" spans="15:17" x14ac:dyDescent="0.25">
      <c r="O33" s="32" t="s">
        <v>85</v>
      </c>
      <c r="P33" s="33">
        <f>Table10[[#Totals],[FM Cost]]</f>
        <v>731.98831560000008</v>
      </c>
      <c r="Q33" s="12">
        <f>Table10[[#Totals],[FM Penalty ITS]]+$J$19</f>
        <v>1400.9745011649911</v>
      </c>
    </row>
    <row r="34" spans="15:17" x14ac:dyDescent="0.25">
      <c r="O34" s="34" t="s">
        <v>86</v>
      </c>
      <c r="P34" s="35">
        <f>0.05*SUM(P31:P33)</f>
        <v>182.06462878000002</v>
      </c>
      <c r="Q34" s="35">
        <f>0.05*SUM(Q31:Q33)</f>
        <v>215.51393805824955</v>
      </c>
    </row>
    <row r="35" spans="15:17" x14ac:dyDescent="0.25">
      <c r="O35" s="32" t="s">
        <v>87</v>
      </c>
      <c r="P35" s="33">
        <f>0.07*SUM(P31:P33)</f>
        <v>254.89048029200003</v>
      </c>
      <c r="Q35" s="33">
        <f>0.07*SUM(Q31:Q33)</f>
        <v>301.71951328154938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FTTC_Hybridpon_25</vt:lpstr>
      <vt:lpstr>FTTB_Hybridpon_50</vt:lpstr>
      <vt:lpstr>FTTH_Hybridpon_100</vt:lpstr>
      <vt:lpstr>FTTC_Hybridpon_100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2018-09-13T19:33:16Z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