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365" windowHeight="9405" tabRatio="961" activeTab="1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71027"/>
</workbook>
</file>

<file path=xl/calcChain.xml><?xml version="1.0" encoding="utf-8"?>
<calcChain xmlns="http://schemas.openxmlformats.org/spreadsheetml/2006/main"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G4" i="10" l="1"/>
  <c r="G5" i="10"/>
  <c r="G3" i="10"/>
  <c r="D3" i="10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B19" i="14" s="1"/>
  <c r="K3" i="13"/>
  <c r="K4" i="13"/>
  <c r="K5" i="13"/>
  <c r="K6" i="13"/>
  <c r="C18" i="13" s="1"/>
  <c r="G12" i="19" s="1"/>
  <c r="K7" i="13"/>
  <c r="K8" i="13"/>
  <c r="K9" i="13"/>
  <c r="K2" i="13"/>
  <c r="B18" i="13" s="1"/>
  <c r="K3" i="12"/>
  <c r="K4" i="12"/>
  <c r="K5" i="12"/>
  <c r="K6" i="12"/>
  <c r="C18" i="12" s="1"/>
  <c r="G11" i="19" s="1"/>
  <c r="K7" i="12"/>
  <c r="K8" i="12"/>
  <c r="K9" i="12"/>
  <c r="K2" i="12"/>
  <c r="B18" i="12" s="1"/>
  <c r="K3" i="11"/>
  <c r="K4" i="11"/>
  <c r="K5" i="11"/>
  <c r="K6" i="11"/>
  <c r="K7" i="11"/>
  <c r="K10" i="11"/>
  <c r="K2" i="11"/>
  <c r="B19" i="11" s="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D20" i="6" s="1"/>
  <c r="H6" i="19" s="1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D20" i="3" s="1"/>
  <c r="H3" i="19" s="1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D19" i="9" l="1"/>
  <c r="H8" i="19" s="1"/>
  <c r="B18" i="5"/>
  <c r="F5" i="19" s="1"/>
  <c r="B18" i="15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I4" i="19" s="1"/>
  <c r="J4" i="19" s="1"/>
  <c r="L4" i="19" s="1"/>
  <c r="F13" i="19"/>
  <c r="F11" i="19"/>
  <c r="I11" i="19" s="1"/>
  <c r="J11" i="19" s="1"/>
  <c r="L11" i="19" s="1"/>
  <c r="E18" i="4"/>
  <c r="F10" i="19"/>
  <c r="F12" i="19"/>
  <c r="E18" i="13"/>
  <c r="F14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J10" i="9"/>
  <c r="E10" i="9"/>
  <c r="E8" i="9"/>
  <c r="J8" i="9" s="1"/>
  <c r="E6" i="9"/>
  <c r="E2" i="9"/>
  <c r="J4" i="8"/>
  <c r="J5" i="8"/>
  <c r="J9" i="8"/>
  <c r="J11" i="8"/>
  <c r="E8" i="8"/>
  <c r="E6" i="8"/>
  <c r="E5" i="8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5" l="1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I4" i="17" s="1"/>
  <c r="J4" i="17" s="1"/>
  <c r="L4" i="17" s="1"/>
  <c r="D19" i="3"/>
  <c r="H3" i="17" s="1"/>
  <c r="E3" i="16"/>
  <c r="E4" i="16"/>
  <c r="E5" i="16"/>
  <c r="E6" i="16"/>
  <c r="E7" i="16"/>
  <c r="E8" i="16"/>
  <c r="E9" i="16"/>
  <c r="E10" i="16"/>
  <c r="E11" i="16"/>
  <c r="E12" i="16"/>
  <c r="E13" i="16"/>
  <c r="E14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2" i="16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I8" i="2" s="1"/>
  <c r="D7" i="2"/>
  <c r="D6" i="2"/>
  <c r="D5" i="2"/>
  <c r="I5" i="2" s="1"/>
  <c r="D3" i="2"/>
  <c r="I3" i="2" s="1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G9" i="14"/>
  <c r="G8" i="14"/>
  <c r="J8" i="14" s="1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G9" i="11"/>
  <c r="H9" i="11" s="1"/>
  <c r="G8" i="11"/>
  <c r="J8" i="11" s="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G10" i="8"/>
  <c r="H5" i="8"/>
  <c r="H9" i="8"/>
  <c r="H2" i="8"/>
  <c r="G8" i="8"/>
  <c r="C4" i="8"/>
  <c r="H4" i="8" s="1"/>
  <c r="G3" i="8"/>
  <c r="G7" i="8"/>
  <c r="G6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G6" i="3"/>
  <c r="G3" i="3"/>
  <c r="I3" i="3" s="1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C16" i="12" l="1"/>
  <c r="G11" i="16" s="1"/>
  <c r="I8" i="11"/>
  <c r="I2" i="9"/>
  <c r="D16" i="12"/>
  <c r="H11" i="16" s="1"/>
  <c r="D15" i="12"/>
  <c r="F12" i="7" s="1"/>
  <c r="B18" i="9"/>
  <c r="F8" i="17" s="1"/>
  <c r="I3" i="9"/>
  <c r="B17" i="9" s="1"/>
  <c r="F8" i="16" s="1"/>
  <c r="K3" i="9"/>
  <c r="J3" i="9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C16" i="8" s="1"/>
  <c r="E8" i="7" s="1"/>
  <c r="F62" i="7" s="1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K8" i="11"/>
  <c r="H3" i="6"/>
  <c r="B17" i="6" s="1"/>
  <c r="D7" i="7" s="1"/>
  <c r="E61" i="7" s="1"/>
  <c r="H8" i="14"/>
  <c r="K8" i="14"/>
  <c r="H8" i="6"/>
  <c r="K8" i="6"/>
  <c r="J8" i="6"/>
  <c r="H2" i="6"/>
  <c r="K2" i="6"/>
  <c r="J2" i="6"/>
  <c r="B19" i="6" s="1"/>
  <c r="F6" i="17" s="1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B16" i="15"/>
  <c r="F14" i="16" s="1"/>
  <c r="B17" i="14"/>
  <c r="F13" i="16" s="1"/>
  <c r="I8" i="14"/>
  <c r="H9" i="14"/>
  <c r="D16" i="13"/>
  <c r="H12" i="16" s="1"/>
  <c r="B16" i="12"/>
  <c r="D15" i="10"/>
  <c r="H9" i="16" s="1"/>
  <c r="I3" i="10"/>
  <c r="B15" i="10" s="1"/>
  <c r="I7" i="8"/>
  <c r="I3" i="8"/>
  <c r="B17" i="8" s="1"/>
  <c r="F7" i="16" s="1"/>
  <c r="I8" i="8"/>
  <c r="I6" i="8"/>
  <c r="I2" i="6"/>
  <c r="I7" i="6"/>
  <c r="D18" i="6"/>
  <c r="H6" i="16" s="1"/>
  <c r="B16" i="4"/>
  <c r="D16" i="4"/>
  <c r="H4" i="16" s="1"/>
  <c r="D17" i="3"/>
  <c r="F4" i="7" s="1"/>
  <c r="B16" i="5"/>
  <c r="F5" i="16" s="1"/>
  <c r="C17" i="11"/>
  <c r="G10" i="16" s="1"/>
  <c r="D16" i="5"/>
  <c r="H5" i="16" s="1"/>
  <c r="B17" i="11"/>
  <c r="F10" i="16" s="1"/>
  <c r="I6" i="3"/>
  <c r="C18" i="3" s="1"/>
  <c r="G3" i="16" s="1"/>
  <c r="B18" i="3"/>
  <c r="F3" i="16" s="1"/>
  <c r="I6" i="6"/>
  <c r="I10" i="8"/>
  <c r="I7" i="9"/>
  <c r="B16" i="13"/>
  <c r="H7" i="2"/>
  <c r="C18" i="2" s="1"/>
  <c r="E3" i="7" s="1"/>
  <c r="F57" i="7" s="1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B19" i="2"/>
  <c r="F2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C17" i="6"/>
  <c r="E7" i="7" s="1"/>
  <c r="B14" i="10"/>
  <c r="D10" i="7" s="1"/>
  <c r="B15" i="4"/>
  <c r="D5" i="7" s="1"/>
  <c r="E59" i="7" s="1"/>
  <c r="B17" i="3"/>
  <c r="D4" i="7" s="1"/>
  <c r="C18" i="9" l="1"/>
  <c r="G8" i="17" s="1"/>
  <c r="C16" i="9"/>
  <c r="G10" i="7"/>
  <c r="H10" i="7" s="1"/>
  <c r="J10" i="7" s="1"/>
  <c r="E64" i="7"/>
  <c r="C16" i="14"/>
  <c r="E14" i="7" s="1"/>
  <c r="F68" i="7" s="1"/>
  <c r="B20" i="6"/>
  <c r="G4" i="7"/>
  <c r="H4" i="7" s="1"/>
  <c r="J4" i="7" s="1"/>
  <c r="E58" i="7"/>
  <c r="I2" i="16"/>
  <c r="J2" i="16" s="1"/>
  <c r="L2" i="16" s="1"/>
  <c r="B16" i="9"/>
  <c r="C20" i="2"/>
  <c r="G2" i="17" s="1"/>
  <c r="B19" i="9"/>
  <c r="F8" i="19" s="1"/>
  <c r="I8" i="19" s="1"/>
  <c r="J8" i="19" s="1"/>
  <c r="L8" i="19" s="1"/>
  <c r="C19" i="9"/>
  <c r="G8" i="19" s="1"/>
  <c r="I5" i="16"/>
  <c r="J5" i="16" s="1"/>
  <c r="L5" i="16" s="1"/>
  <c r="I14" i="16"/>
  <c r="J14" i="16" s="1"/>
  <c r="L14" i="16" s="1"/>
  <c r="C17" i="14"/>
  <c r="G13" i="16" s="1"/>
  <c r="I13" i="16" s="1"/>
  <c r="J13" i="16" s="1"/>
  <c r="L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E18" i="9"/>
  <c r="E19" i="9"/>
  <c r="F2" i="19"/>
  <c r="F6" i="19"/>
  <c r="C19" i="11"/>
  <c r="F7" i="19"/>
  <c r="C18" i="8"/>
  <c r="G7" i="17" s="1"/>
  <c r="I7" i="17" s="1"/>
  <c r="J7" i="17" s="1"/>
  <c r="L7" i="17" s="1"/>
  <c r="C21" i="2"/>
  <c r="G2" i="19" s="1"/>
  <c r="I8" i="17"/>
  <c r="J8" i="17" s="1"/>
  <c r="L8" i="17" s="1"/>
  <c r="E17" i="10"/>
  <c r="F9" i="19"/>
  <c r="I9" i="19" s="1"/>
  <c r="J9" i="19" s="1"/>
  <c r="L9" i="19" s="1"/>
  <c r="C20" i="6"/>
  <c r="G6" i="19" s="1"/>
  <c r="G14" i="7"/>
  <c r="H14" i="7" s="1"/>
  <c r="J14" i="7" s="1"/>
  <c r="E19" i="3"/>
  <c r="E18" i="8"/>
  <c r="C19" i="14"/>
  <c r="F3" i="19"/>
  <c r="I3" i="19" s="1"/>
  <c r="J3" i="19" s="1"/>
  <c r="L3" i="19" s="1"/>
  <c r="E20" i="3"/>
  <c r="F60" i="7"/>
  <c r="B18" i="6"/>
  <c r="F6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I12" i="16" s="1"/>
  <c r="J12" i="16" s="1"/>
  <c r="L12" i="16" s="1"/>
  <c r="F11" i="16"/>
  <c r="I11" i="16" s="1"/>
  <c r="J11" i="16" s="1"/>
  <c r="L11" i="16" s="1"/>
  <c r="E16" i="12"/>
  <c r="E15" i="12"/>
  <c r="D12" i="7"/>
  <c r="G11" i="7"/>
  <c r="H11" i="7" s="1"/>
  <c r="J11" i="7" s="1"/>
  <c r="E15" i="10"/>
  <c r="F9" i="16"/>
  <c r="I9" i="16" s="1"/>
  <c r="J9" i="16" s="1"/>
  <c r="L9" i="16" s="1"/>
  <c r="E16" i="9"/>
  <c r="D9" i="7"/>
  <c r="E16" i="8"/>
  <c r="D8" i="7"/>
  <c r="F61" i="7"/>
  <c r="C18" i="6"/>
  <c r="G6" i="16" s="1"/>
  <c r="I6" i="16" s="1"/>
  <c r="J6" i="16" s="1"/>
  <c r="L6" i="16" s="1"/>
  <c r="G7" i="7"/>
  <c r="H7" i="7" s="1"/>
  <c r="J7" i="7" s="1"/>
  <c r="G5" i="7"/>
  <c r="H5" i="7" s="1"/>
  <c r="J5" i="7" s="1"/>
  <c r="F59" i="7"/>
  <c r="F4" i="16"/>
  <c r="I4" i="16" s="1"/>
  <c r="J4" i="16" s="1"/>
  <c r="L4" i="16" s="1"/>
  <c r="E16" i="4"/>
  <c r="F58" i="7"/>
  <c r="I3" i="16"/>
  <c r="J3" i="16" s="1"/>
  <c r="L3" i="16" s="1"/>
  <c r="G3" i="7"/>
  <c r="H3" i="7" s="1"/>
  <c r="J3" i="7" s="1"/>
  <c r="E17" i="14"/>
  <c r="E17" i="11"/>
  <c r="E15" i="15"/>
  <c r="E16" i="14"/>
  <c r="C17" i="9"/>
  <c r="G8" i="16" s="1"/>
  <c r="I8" i="16" s="1"/>
  <c r="J8" i="16" s="1"/>
  <c r="L8" i="16" s="1"/>
  <c r="C17" i="8"/>
  <c r="E18" i="6"/>
  <c r="E15" i="5"/>
  <c r="E17" i="9"/>
  <c r="E18" i="3"/>
  <c r="E16" i="5"/>
  <c r="E15" i="13"/>
  <c r="E14" i="10"/>
  <c r="E19" i="2"/>
  <c r="E16" i="11"/>
  <c r="E17" i="6"/>
  <c r="E15" i="4"/>
  <c r="E17" i="3"/>
  <c r="E18" i="2"/>
  <c r="G9" i="7" l="1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s="1"/>
  <c r="J7" i="16" s="1"/>
  <c r="L7" i="16" s="1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<sst xmlns="http://schemas.openxmlformats.org/spreadsheetml/2006/main" count="633" uniqueCount="130">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</sst>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</cellXfs>
  <cellStyles count="7">
    <cellStyle name="Bad" xfId="3" builtinId="27"/>
    <cellStyle name="Good" xfId="2" builtinId="26"/>
    <cellStyle name="Heading 4" xfId="1" builtinId="19"/>
    <cellStyle name="Hyperlink" xfId="6" builtinId="8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96896"/>
        <c:axId val="199298432"/>
      </c:barChart>
      <c:catAx>
        <c:axId val="19929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98432"/>
        <c:crosses val="autoZero"/>
        <c:auto val="1"/>
        <c:lblAlgn val="ctr"/>
        <c:lblOffset val="100"/>
        <c:noMultiLvlLbl val="0"/>
      </c:catAx>
      <c:valAx>
        <c:axId val="19929843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296896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8192"/>
        <c:axId val="201609984"/>
      </c:scatterChart>
      <c:valAx>
        <c:axId val="20160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609984"/>
        <c:crosses val="autoZero"/>
        <c:crossBetween val="midCat"/>
      </c:valAx>
      <c:valAx>
        <c:axId val="20160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60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042560"/>
        <c:axId val="201060736"/>
        <c:axId val="0"/>
      </c:bar3DChart>
      <c:catAx>
        <c:axId val="20104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060736"/>
        <c:crosses val="autoZero"/>
        <c:auto val="1"/>
        <c:lblAlgn val="ctr"/>
        <c:lblOffset val="100"/>
        <c:noMultiLvlLbl val="0"/>
      </c:catAx>
      <c:valAx>
        <c:axId val="2010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04256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82752"/>
        <c:axId val="201097216"/>
      </c:barChart>
      <c:catAx>
        <c:axId val="20108275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201097216"/>
        <c:crosses val="autoZero"/>
        <c:auto val="1"/>
        <c:lblAlgn val="ctr"/>
        <c:lblOffset val="100"/>
        <c:noMultiLvlLbl val="0"/>
      </c:catAx>
      <c:valAx>
        <c:axId val="201097216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108275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home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1202304"/>
        <c:axId val="201204480"/>
      </c:lineChart>
      <c:catAx>
        <c:axId val="2012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204480"/>
        <c:crosses val="autoZero"/>
        <c:auto val="1"/>
        <c:lblAlgn val="ctr"/>
        <c:lblOffset val="100"/>
        <c:noMultiLvlLbl val="1"/>
      </c:catAx>
      <c:valAx>
        <c:axId val="20120448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household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02304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59200"/>
        <c:axId val="201460736"/>
      </c:barChart>
      <c:catAx>
        <c:axId val="2014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460736"/>
        <c:crosses val="autoZero"/>
        <c:auto val="1"/>
        <c:lblAlgn val="ctr"/>
        <c:lblOffset val="100"/>
        <c:noMultiLvlLbl val="0"/>
      </c:catAx>
      <c:valAx>
        <c:axId val="201460736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5920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495296"/>
        <c:axId val="201496832"/>
        <c:axId val="0"/>
      </c:bar3DChart>
      <c:catAx>
        <c:axId val="2014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496832"/>
        <c:crosses val="autoZero"/>
        <c:auto val="1"/>
        <c:lblAlgn val="ctr"/>
        <c:lblOffset val="100"/>
        <c:noMultiLvlLbl val="0"/>
      </c:catAx>
      <c:valAx>
        <c:axId val="201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9529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1550080"/>
        <c:axId val="201552256"/>
      </c:lineChart>
      <c:catAx>
        <c:axId val="20155008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1552256"/>
        <c:crosses val="autoZero"/>
        <c:auto val="1"/>
        <c:lblAlgn val="ctr"/>
        <c:lblOffset val="100"/>
        <c:noMultiLvlLbl val="0"/>
      </c:catAx>
      <c:valAx>
        <c:axId val="201552256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550080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15398361.455944443</c:v>
                </c:pt>
                <c:pt idx="1">
                  <c:v>10825342.396166665</c:v>
                </c:pt>
                <c:pt idx="2">
                  <c:v>7252293.4393333327</c:v>
                </c:pt>
                <c:pt idx="3">
                  <c:v>10904606.772666667</c:v>
                </c:pt>
                <c:pt idx="4">
                  <c:v>14412479.062833335</c:v>
                </c:pt>
                <c:pt idx="5">
                  <c:v>17393490.344833333</c:v>
                </c:pt>
                <c:pt idx="6">
                  <c:v>11057964.062833332</c:v>
                </c:pt>
                <c:pt idx="7">
                  <c:v>7658151.7726666676</c:v>
                </c:pt>
                <c:pt idx="8">
                  <c:v>10751699.7115</c:v>
                </c:pt>
                <c:pt idx="9">
                  <c:v>8939460.5834999997</c:v>
                </c:pt>
                <c:pt idx="10">
                  <c:v>14909104.363500001</c:v>
                </c:pt>
                <c:pt idx="11">
                  <c:v>12392249.7115</c:v>
                </c:pt>
                <c:pt idx="12">
                  <c:v>9833460.5834999997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18861337.618583925</c:v>
                </c:pt>
                <c:pt idx="1">
                  <c:v>8263453.0440472765</c:v>
                </c:pt>
                <c:pt idx="2">
                  <c:v>6744373.1499947971</c:v>
                </c:pt>
                <c:pt idx="3">
                  <c:v>13500873.149994796</c:v>
                </c:pt>
                <c:pt idx="4">
                  <c:v>15224353.044047277</c:v>
                </c:pt>
                <c:pt idx="5">
                  <c:v>8322337.6185839223</c:v>
                </c:pt>
                <c:pt idx="6">
                  <c:v>8475703.0440472774</c:v>
                </c:pt>
                <c:pt idx="7">
                  <c:v>8174373.1499947971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14912330.38535369</c:v>
                </c:pt>
                <c:pt idx="11">
                  <c:v>12548241.677680973</c:v>
                </c:pt>
                <c:pt idx="12">
                  <c:v>7969196.3853536919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39154337.007425129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22522618.969783098</c:v>
                </c:pt>
                <c:pt idx="4">
                  <c:v>32640037.803101253</c:v>
                </c:pt>
                <c:pt idx="5">
                  <c:v>44120457.007425137</c:v>
                </c:pt>
                <c:pt idx="6">
                  <c:v>25097617.803101256</c:v>
                </c:pt>
                <c:pt idx="7">
                  <c:v>22472418.969783098</c:v>
                </c:pt>
                <c:pt idx="8">
                  <c:v>27100080.481793776</c:v>
                </c:pt>
                <c:pt idx="9">
                  <c:v>22927963.137474932</c:v>
                </c:pt>
                <c:pt idx="10">
                  <c:v>31064688.937474929</c:v>
                </c:pt>
                <c:pt idx="11">
                  <c:v>29651580.481793776</c:v>
                </c:pt>
                <c:pt idx="12">
                  <c:v>24127963.137474932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24888699.883375917</c:v>
                </c:pt>
                <c:pt idx="1">
                  <c:v>9882499.8833759166</c:v>
                </c:pt>
                <c:pt idx="2">
                  <c:v>7907692.4290527506</c:v>
                </c:pt>
                <c:pt idx="3">
                  <c:v>15633092.42905275</c:v>
                </c:pt>
                <c:pt idx="4">
                  <c:v>16205899.883375917</c:v>
                </c:pt>
                <c:pt idx="5">
                  <c:v>25777299.883375917</c:v>
                </c:pt>
                <c:pt idx="6">
                  <c:v>10205599.883375917</c:v>
                </c:pt>
                <c:pt idx="7">
                  <c:v>8557692.4290527496</c:v>
                </c:pt>
                <c:pt idx="8">
                  <c:v>23928162.54905314</c:v>
                </c:pt>
                <c:pt idx="9">
                  <c:v>9319523.9473406393</c:v>
                </c:pt>
                <c:pt idx="10">
                  <c:v>16871123.947340641</c:v>
                </c:pt>
                <c:pt idx="11">
                  <c:v>16690462.549053138</c:v>
                </c:pt>
                <c:pt idx="12">
                  <c:v>10121123.947340639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81344"/>
        <c:axId val="200682880"/>
      </c:barChart>
      <c:catAx>
        <c:axId val="20068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682880"/>
        <c:crosses val="autoZero"/>
        <c:auto val="1"/>
        <c:lblAlgn val="ctr"/>
        <c:lblOffset val="100"/>
        <c:noMultiLvlLbl val="0"/>
      </c:catAx>
      <c:valAx>
        <c:axId val="200682880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8134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726016"/>
        <c:axId val="200727552"/>
      </c:barChart>
      <c:catAx>
        <c:axId val="20072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727552"/>
        <c:crosses val="autoZero"/>
        <c:auto val="1"/>
        <c:lblAlgn val="ctr"/>
        <c:lblOffset val="100"/>
        <c:noMultiLvlLbl val="0"/>
      </c:catAx>
      <c:valAx>
        <c:axId val="20072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260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201904128"/>
        <c:axId val="201906048"/>
      </c:lineChart>
      <c:catAx>
        <c:axId val="20190412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1906048"/>
        <c:crosses val="autoZero"/>
        <c:auto val="1"/>
        <c:lblAlgn val="ctr"/>
        <c:lblOffset val="100"/>
        <c:noMultiLvlLbl val="0"/>
      </c:catAx>
      <c:valAx>
        <c:axId val="20190604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04128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31200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0</c:v>
                </c:pt>
                <c:pt idx="3">
                  <c:v>130</c:v>
                </c:pt>
                <c:pt idx="4">
                  <c:v>1248</c:v>
                </c:pt>
                <c:pt idx="5">
                  <c:v>74640</c:v>
                </c:pt>
                <c:pt idx="6">
                  <c:v>3120</c:v>
                </c:pt>
                <c:pt idx="7">
                  <c:v>1300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210000</c:v>
                </c:pt>
                <c:pt idx="5">
                  <c:v>0</c:v>
                </c:pt>
                <c:pt idx="6">
                  <c:v>73155</c:v>
                </c:pt>
                <c:pt idx="7">
                  <c:v>75000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353856"/>
        <c:axId val="199355392"/>
      </c:barChart>
      <c:catAx>
        <c:axId val="19935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355392"/>
        <c:crosses val="autoZero"/>
        <c:auto val="1"/>
        <c:lblAlgn val="ctr"/>
        <c:lblOffset val="100"/>
        <c:noMultiLvlLbl val="0"/>
      </c:catAx>
      <c:valAx>
        <c:axId val="19935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35385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850.54678023976203</c:v>
                </c:pt>
                <c:pt idx="1">
                  <c:v>337.72469015706093</c:v>
                </c:pt>
                <c:pt idx="2">
                  <c:v>270.23759240833675</c:v>
                </c:pt>
                <c:pt idx="3">
                  <c:v>534.24552077960323</c:v>
                </c:pt>
                <c:pt idx="4">
                  <c:v>553.82065078859671</c:v>
                </c:pt>
                <c:pt idx="5">
                  <c:v>880.91380915097795</c:v>
                </c:pt>
                <c:pt idx="6">
                  <c:v>348.76631410620996</c:v>
                </c:pt>
                <c:pt idx="7">
                  <c:v>292.4507015601377</c:v>
                </c:pt>
                <c:pt idx="8">
                  <c:v>817.72136385254396</c:v>
                </c:pt>
                <c:pt idx="9">
                  <c:v>318.48554259246254</c:v>
                </c:pt>
                <c:pt idx="10">
                  <c:v>576.55402731667834</c:v>
                </c:pt>
                <c:pt idx="11">
                  <c:v>570.38010214794406</c:v>
                </c:pt>
                <c:pt idx="12">
                  <c:v>345.87943227874513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526.22382119965971</c:v>
                </c:pt>
                <c:pt idx="1">
                  <c:v>369.94540346410588</c:v>
                </c:pt>
                <c:pt idx="2">
                  <c:v>247.8399781058483</c:v>
                </c:pt>
                <c:pt idx="3">
                  <c:v>372.65418538263503</c:v>
                </c:pt>
                <c:pt idx="4">
                  <c:v>492.53226241655852</c:v>
                </c:pt>
                <c:pt idx="5">
                  <c:v>594.40538393935253</c:v>
                </c:pt>
                <c:pt idx="6">
                  <c:v>377.89501957601436</c:v>
                </c:pt>
                <c:pt idx="7">
                  <c:v>261.70978650354272</c:v>
                </c:pt>
                <c:pt idx="8">
                  <c:v>367.42873732144079</c:v>
                </c:pt>
                <c:pt idx="9">
                  <c:v>305.49725184539676</c:v>
                </c:pt>
                <c:pt idx="10">
                  <c:v>509.50394243387331</c:v>
                </c:pt>
                <c:pt idx="11">
                  <c:v>423.49291611988247</c:v>
                </c:pt>
                <c:pt idx="12">
                  <c:v>336.04882043264303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1338.0608641728224</c:v>
                </c:pt>
                <c:pt idx="1">
                  <c:v>835.38574954211117</c:v>
                </c:pt>
                <c:pt idx="2">
                  <c:v>740.20637583839437</c:v>
                </c:pt>
                <c:pt idx="3">
                  <c:v>769.68829778494626</c:v>
                </c:pt>
                <c:pt idx="4">
                  <c:v>1115.4411114449201</c:v>
                </c:pt>
                <c:pt idx="5">
                  <c:v>1507.7731189742717</c:v>
                </c:pt>
                <c:pt idx="6">
                  <c:v>857.6863441699561</c:v>
                </c:pt>
                <c:pt idx="7">
                  <c:v>767.97276227814564</c:v>
                </c:pt>
                <c:pt idx="8">
                  <c:v>926.11853194565572</c:v>
                </c:pt>
                <c:pt idx="9">
                  <c:v>783.54053507876881</c:v>
                </c:pt>
                <c:pt idx="10">
                  <c:v>1061.6051171305764</c:v>
                </c:pt>
                <c:pt idx="11">
                  <c:v>1013.3135288699945</c:v>
                </c:pt>
                <c:pt idx="12">
                  <c:v>824.54935197440136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644.56761733934536</c:v>
                </c:pt>
                <c:pt idx="1">
                  <c:v>282.3953606741602</c:v>
                </c:pt>
                <c:pt idx="2">
                  <c:v>230.48230298663103</c:v>
                </c:pt>
                <c:pt idx="3">
                  <c:v>461.37902911608217</c:v>
                </c:pt>
                <c:pt idx="4">
                  <c:v>520.27725528150086</c:v>
                </c:pt>
                <c:pt idx="5">
                  <c:v>284.40768295345231</c:v>
                </c:pt>
                <c:pt idx="6">
                  <c:v>289.64879516257525</c:v>
                </c:pt>
                <c:pt idx="7">
                  <c:v>279.35114312059318</c:v>
                </c:pt>
                <c:pt idx="8">
                  <c:v>402.93697210310205</c:v>
                </c:pt>
                <c:pt idx="9">
                  <c:v>288.82839127037425</c:v>
                </c:pt>
                <c:pt idx="10">
                  <c:v>509.61418855012266</c:v>
                </c:pt>
                <c:pt idx="11">
                  <c:v>428.82378776847014</c:v>
                </c:pt>
                <c:pt idx="12">
                  <c:v>272.33942947692202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9733632"/>
        <c:axId val="199735552"/>
      </c:lineChart>
      <c:catAx>
        <c:axId val="1997336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9735552"/>
        <c:crosses val="autoZero"/>
        <c:auto val="1"/>
        <c:lblAlgn val="ctr"/>
        <c:lblOffset val="100"/>
        <c:noMultiLvlLbl val="0"/>
      </c:catAx>
      <c:valAx>
        <c:axId val="19973555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3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95072"/>
        <c:axId val="199796608"/>
      </c:barChart>
      <c:catAx>
        <c:axId val="1997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796608"/>
        <c:crosses val="autoZero"/>
        <c:auto val="1"/>
        <c:lblAlgn val="ctr"/>
        <c:lblOffset val="100"/>
        <c:noMultiLvlLbl val="0"/>
      </c:catAx>
      <c:valAx>
        <c:axId val="1997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507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108181.99766751831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108181.99766751831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11184</c:v>
                </c:pt>
                <c:pt idx="2">
                  <c:v>16000</c:v>
                </c:pt>
                <c:pt idx="3">
                  <c:v>16000</c:v>
                </c:pt>
                <c:pt idx="4">
                  <c:v>19368</c:v>
                </c:pt>
                <c:pt idx="5">
                  <c:v>7404</c:v>
                </c:pt>
                <c:pt idx="6">
                  <c:v>19368</c:v>
                </c:pt>
                <c:pt idx="7">
                  <c:v>29000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260</c:v>
                </c:pt>
                <c:pt idx="4">
                  <c:v>16568</c:v>
                </c:pt>
                <c:pt idx="5">
                  <c:v>399960</c:v>
                </c:pt>
                <c:pt idx="6">
                  <c:v>8284</c:v>
                </c:pt>
                <c:pt idx="7">
                  <c:v>260</c:v>
                </c:pt>
                <c:pt idx="8">
                  <c:v>381282</c:v>
                </c:pt>
                <c:pt idx="9">
                  <c:v>3082</c:v>
                </c:pt>
                <c:pt idx="10">
                  <c:v>3082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229508</c:v>
                </c:pt>
                <c:pt idx="4">
                  <c:v>180000</c:v>
                </c:pt>
                <c:pt idx="5">
                  <c:v>0</c:v>
                </c:pt>
                <c:pt idx="6">
                  <c:v>68278</c:v>
                </c:pt>
                <c:pt idx="7">
                  <c:v>75000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10912"/>
        <c:axId val="199912448"/>
      </c:barChart>
      <c:catAx>
        <c:axId val="1999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912448"/>
        <c:crosses val="autoZero"/>
        <c:auto val="1"/>
        <c:lblAlgn val="ctr"/>
        <c:lblOffset val="100"/>
        <c:noMultiLvlLbl val="0"/>
      </c:catAx>
      <c:valAx>
        <c:axId val="19991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109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22950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130</c:v>
                </c:pt>
                <c:pt idx="4">
                  <c:v>64840</c:v>
                </c:pt>
                <c:pt idx="5">
                  <c:v>465444</c:v>
                </c:pt>
                <c:pt idx="6">
                  <c:v>1194.4000000000001</c:v>
                </c:pt>
                <c:pt idx="7">
                  <c:v>130</c:v>
                </c:pt>
                <c:pt idx="8">
                  <c:v>228761.2</c:v>
                </c:pt>
                <c:pt idx="9">
                  <c:v>438.2</c:v>
                </c:pt>
                <c:pt idx="10">
                  <c:v>438.2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150754</c:v>
                </c:pt>
                <c:pt idx="4">
                  <c:v>150754</c:v>
                </c:pt>
                <c:pt idx="5">
                  <c:v>0</c:v>
                </c:pt>
                <c:pt idx="6">
                  <c:v>124851.2</c:v>
                </c:pt>
                <c:pt idx="7">
                  <c:v>133500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53408"/>
        <c:axId val="199963392"/>
      </c:barChart>
      <c:catAx>
        <c:axId val="19995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963392"/>
        <c:crosses val="autoZero"/>
        <c:auto val="1"/>
        <c:lblAlgn val="ctr"/>
        <c:lblOffset val="100"/>
        <c:noMultiLvlLbl val="0"/>
      </c:catAx>
      <c:valAx>
        <c:axId val="1999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534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003968"/>
        <c:axId val="200005504"/>
      </c:barChart>
      <c:catAx>
        <c:axId val="20000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5504"/>
        <c:crosses val="autoZero"/>
        <c:auto val="1"/>
        <c:lblAlgn val="ctr"/>
        <c:lblOffset val="100"/>
        <c:noMultiLvlLbl val="0"/>
      </c:catAx>
      <c:valAx>
        <c:axId val="2000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2916608"/>
        <c:axId val="203246208"/>
      </c:barChart>
      <c:catAx>
        <c:axId val="20291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6208"/>
        <c:crosses val="autoZero"/>
        <c:auto val="1"/>
        <c:lblAlgn val="ctr"/>
        <c:lblOffset val="100"/>
        <c:noMultiLvlLbl val="0"/>
      </c:catAx>
      <c:valAx>
        <c:axId val="203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1560</c:v>
                </c:pt>
                <c:pt idx="4">
                  <c:v>6501.6</c:v>
                </c:pt>
                <c:pt idx="5">
                  <c:v>195086.4</c:v>
                </c:pt>
                <c:pt idx="6">
                  <c:v>2002.8</c:v>
                </c:pt>
                <c:pt idx="7">
                  <c:v>1560</c:v>
                </c:pt>
                <c:pt idx="8">
                  <c:v>96145</c:v>
                </c:pt>
                <c:pt idx="9">
                  <c:v>466.5</c:v>
                </c:pt>
                <c:pt idx="10">
                  <c:v>466.5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59300</c:v>
                </c:pt>
                <c:pt idx="3">
                  <c:v>131778.59999999998</c:v>
                </c:pt>
                <c:pt idx="4">
                  <c:v>122778.6</c:v>
                </c:pt>
                <c:pt idx="5">
                  <c:v>0</c:v>
                </c:pt>
                <c:pt idx="6">
                  <c:v>59987.1</c:v>
                </c:pt>
                <c:pt idx="7">
                  <c:v>61500</c:v>
                </c:pt>
                <c:pt idx="8">
                  <c:v>0</c:v>
                </c:pt>
                <c:pt idx="9">
                  <c:v>55500</c:v>
                </c:pt>
                <c:pt idx="10">
                  <c:v>168000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303168"/>
        <c:axId val="201304704"/>
      </c:barChart>
      <c:catAx>
        <c:axId val="2013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304704"/>
        <c:crosses val="autoZero"/>
        <c:auto val="1"/>
        <c:lblAlgn val="ctr"/>
        <c:lblOffset val="100"/>
        <c:noMultiLvlLbl val="0"/>
      </c:catAx>
      <c:valAx>
        <c:axId val="2013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031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20</xdr:row>
      <xdr:rowOff>190499</xdr:rowOff>
    </xdr:from>
    <xdr:to>
      <xdr:col>4</xdr:col>
      <xdr:colOff>552450</xdr:colOff>
      <xdr:row>48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428624</xdr:colOff>
      <xdr:row>17</xdr:row>
      <xdr:rowOff>28575</xdr:rowOff>
    </xdr:from>
    <xdr:to>
      <xdr:col>9</xdr:col>
      <xdr:colOff>342899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7308</v>
          </cell>
          <cell r="F28">
            <v>3074</v>
          </cell>
          <cell r="G28">
            <v>3869</v>
          </cell>
          <cell r="H28">
            <v>3869</v>
          </cell>
          <cell r="I28">
            <v>5936</v>
          </cell>
          <cell r="J28">
            <v>13074</v>
          </cell>
          <cell r="K28">
            <v>5936</v>
          </cell>
          <cell r="L28">
            <v>7314</v>
          </cell>
          <cell r="M28">
            <v>16202.8</v>
          </cell>
          <cell r="N28">
            <v>4240</v>
          </cell>
          <cell r="O28">
            <v>8480</v>
          </cell>
          <cell r="P28">
            <v>20377.2</v>
          </cell>
          <cell r="Q28">
            <v>8480</v>
          </cell>
        </row>
        <row r="29">
          <cell r="D29" t="str">
            <v>Energy</v>
          </cell>
          <cell r="E29">
            <v>3900.4488391680002</v>
          </cell>
          <cell r="F29">
            <v>15518.532579840001</v>
          </cell>
          <cell r="G29">
            <v>14871.900355200003</v>
          </cell>
          <cell r="H29">
            <v>3279.3529536000001</v>
          </cell>
          <cell r="I29">
            <v>2489.7663590400002</v>
          </cell>
          <cell r="J29">
            <v>11115.468565056002</v>
          </cell>
          <cell r="K29">
            <v>15946.915080960001</v>
          </cell>
          <cell r="L29">
            <v>14972.561164800003</v>
          </cell>
          <cell r="M29">
            <v>7232.9508432000002</v>
          </cell>
          <cell r="N29">
            <v>15199.111584</v>
          </cell>
          <cell r="O29">
            <v>378.22176000000002</v>
          </cell>
          <cell r="P29">
            <v>9256.7074175999987</v>
          </cell>
          <cell r="Q29">
            <v>15372.01296</v>
          </cell>
        </row>
        <row r="30">
          <cell r="D30" t="str">
            <v>Fault Maintenance</v>
          </cell>
          <cell r="E30">
            <v>6008.5530527698265</v>
          </cell>
          <cell r="F30">
            <v>20434.095716784002</v>
          </cell>
          <cell r="G30">
            <v>20766.619334565716</v>
          </cell>
          <cell r="H30">
            <v>2263.0546533337124</v>
          </cell>
          <cell r="I30">
            <v>2233.9824704598395</v>
          </cell>
          <cell r="J30">
            <v>21331.706543720222</v>
          </cell>
          <cell r="K30">
            <v>20730.355811899841</v>
          </cell>
          <cell r="L30">
            <v>20767.268450565716</v>
          </cell>
          <cell r="M30">
            <v>10209.666758157182</v>
          </cell>
          <cell r="N30">
            <v>20585.774219759998</v>
          </cell>
          <cell r="O30">
            <v>1980.898713392548</v>
          </cell>
          <cell r="P30">
            <v>12704.99861850918</v>
          </cell>
          <cell r="Q30">
            <v>20869.841433392543</v>
          </cell>
        </row>
        <row r="31">
          <cell r="D31" t="str">
            <v>Marketing</v>
          </cell>
          <cell r="E31">
            <v>860.85009459689138</v>
          </cell>
          <cell r="F31">
            <v>1951.3314148312002</v>
          </cell>
          <cell r="G31">
            <v>1975.3759844882859</v>
          </cell>
          <cell r="H31">
            <v>470.57038034668568</v>
          </cell>
          <cell r="I31">
            <v>532.98744147499201</v>
          </cell>
          <cell r="J31">
            <v>2276.0587554388112</v>
          </cell>
          <cell r="K31">
            <v>2130.6635446429923</v>
          </cell>
          <cell r="L31">
            <v>2152.6914807682861</v>
          </cell>
          <cell r="M31">
            <v>1682.2708800678593</v>
          </cell>
          <cell r="N31">
            <v>2001.2442901880002</v>
          </cell>
          <cell r="O31">
            <v>541.95602366962737</v>
          </cell>
          <cell r="P31">
            <v>2116.9453018054592</v>
          </cell>
          <cell r="Q31">
            <v>2236.0927196696271</v>
          </cell>
        </row>
        <row r="32">
          <cell r="D32" t="str">
            <v>Operations</v>
          </cell>
          <cell r="E32">
            <v>1205.1901324356479</v>
          </cell>
          <cell r="F32">
            <v>2731.8639807636805</v>
          </cell>
          <cell r="G32">
            <v>2765.5263782836005</v>
          </cell>
          <cell r="H32">
            <v>658.79853248536006</v>
          </cell>
          <cell r="I32">
            <v>746.18241806498884</v>
          </cell>
          <cell r="J32">
            <v>3186.482257614336</v>
          </cell>
          <cell r="K32">
            <v>2982.9289625001893</v>
          </cell>
          <cell r="L32">
            <v>3013.7680730756006</v>
          </cell>
          <cell r="M32">
            <v>2355.179232095003</v>
          </cell>
          <cell r="N32">
            <v>2801.7420062632004</v>
          </cell>
          <cell r="O32">
            <v>758.73843313747841</v>
          </cell>
          <cell r="P32">
            <v>2963.7234225276429</v>
          </cell>
          <cell r="Q32">
            <v>3130.5298075374781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/>
    <tableColumn id="3" name="Fiber Cost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/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E28*0.3/50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opLeftCell="A10"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x14ac:dyDescent="0.2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25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25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30" x14ac:dyDescent="0.25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25">
      <c r="A8" t="s">
        <v>94</v>
      </c>
    </row>
    <row r="10" spans="1:8" x14ac:dyDescent="0.25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95.75" x14ac:dyDescent="0.25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7" x14ac:dyDescent="0.25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30.5" x14ac:dyDescent="0.25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23.85546875" style="24" customWidth="1"/>
    <col min="7" max="7" width="16.5703125" style="13" customWidth="1"/>
    <col min="8" max="16384" width="9.140625" style="13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Table24511[[#This Row],[Cost per Unit (OASE)]]*Table24511[[#This Row],[Quantity]]</f>
        <v>48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f>65*2</f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31200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 t="shared" ref="G4:G5" si="0">65*2</f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 t="shared" si="0"/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65</v>
      </c>
      <c r="H8" s="4">
        <f>Table24511[[#This Row],[Cost per Unit (OASE)]]*Table24511[[#This Row],[Quantity]]</f>
        <v>1560</v>
      </c>
      <c r="I8" s="12">
        <f>Table24511[[#This Row],[Cost per Unit(Rokkas)]]*Table24511[[#This Row],[Quantity]]</f>
        <v>260</v>
      </c>
      <c r="J8" s="12">
        <f>Table24511[[#This Row],[Cost per Unit(BSG)]]*Table24511[[#This Row],[Quantity]]</f>
        <v>130</v>
      </c>
      <c r="K8" s="35">
        <f>Table24511[[#This Row],[Cost per Unit(Phillipson)]]*Table24511[[#This Row],[Quantity]]</f>
        <v>1300</v>
      </c>
    </row>
    <row r="9" spans="1:11" x14ac:dyDescent="0.25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Table24511[[#This Row],[Cost per Unit (OASE)]]*Table24511[[#This Row],[Quantity]]</f>
        <v>50000</v>
      </c>
      <c r="I9" s="12">
        <f>Table24511[[#This Row],[Cost per Unit(Rokkas)]]*Table24511[[#This Row],[Quantity]]</f>
        <v>50000</v>
      </c>
      <c r="J9" s="12">
        <f>Table24511[[#This Row],[Cost per Unit(BSG)]]*Table24511[[#This Row],[Quantity]]</f>
        <v>120000</v>
      </c>
      <c r="K9" s="35">
        <f>Table24511[[#This Row],[Cost per Unit(Phillipson)]]*Table24511[[#This Row],[Quantity]]</f>
        <v>50000</v>
      </c>
    </row>
    <row r="10" spans="1:11" x14ac:dyDescent="0.25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Table24511[[#This Row],[Cost per Unit (OASE)]]*Table24511[[#This Row],[Quantity]]</f>
        <v>11500</v>
      </c>
      <c r="I10" s="12">
        <f>Table24511[[#This Row],[Cost per Unit(Rokkas)]]*Table24511[[#This Row],[Quantity]]</f>
        <v>25000</v>
      </c>
      <c r="J10" s="12">
        <f>Table24511[[#This Row],[Cost per Unit(BSG)]]*Table24511[[#This Row],[Quantity]]</f>
        <v>13500</v>
      </c>
      <c r="K10" s="35">
        <f>Table24511[[#This Row],[Cost per Unit(Phillipson)]]*Table24511[[#This Row],[Quantity]]</f>
        <v>25000</v>
      </c>
    </row>
    <row r="13" spans="1:11" x14ac:dyDescent="0.25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.75" thickBot="1" x14ac:dyDescent="0.3">
      <c r="A14" s="13" t="s">
        <v>85</v>
      </c>
      <c r="B14" s="14">
        <f>SUM(H2:H7)</f>
        <v>11216.333333333334</v>
      </c>
      <c r="C14" s="14">
        <f>SUM(H8:H8)</f>
        <v>1560</v>
      </c>
      <c r="D14" s="10">
        <f>SUM(H9:H10)</f>
        <v>61500</v>
      </c>
      <c r="E14" s="5">
        <f>SUM(B14:D14)</f>
        <v>74276.333333333328</v>
      </c>
      <c r="F14" s="5"/>
    </row>
    <row r="15" spans="1:11" ht="16.5" thickTop="1" thickBot="1" x14ac:dyDescent="0.3">
      <c r="A15" s="13" t="s">
        <v>86</v>
      </c>
      <c r="B15" s="13">
        <f>SUM(I2:I7)</f>
        <v>29000</v>
      </c>
      <c r="C15" s="13">
        <f>SUM(I8)</f>
        <v>260</v>
      </c>
      <c r="D15" s="13">
        <f>SUM(I9:I10)</f>
        <v>75000</v>
      </c>
      <c r="E15" s="5">
        <f>SUM(B15:D15)</f>
        <v>104260</v>
      </c>
      <c r="F15" s="5"/>
    </row>
    <row r="16" spans="1:11" ht="16.5" thickTop="1" thickBot="1" x14ac:dyDescent="0.3">
      <c r="A16" s="13" t="s">
        <v>110</v>
      </c>
      <c r="B16" s="13">
        <f>SUM(J2:J7)</f>
        <v>39200</v>
      </c>
      <c r="C16" s="13">
        <f>SUM(J8)</f>
        <v>130</v>
      </c>
      <c r="D16" s="13">
        <f>SUM(J9:J10)</f>
        <v>133500</v>
      </c>
      <c r="E16" s="5">
        <f>SUM(B16:D16)</f>
        <v>172830</v>
      </c>
      <c r="F16" s="5"/>
    </row>
    <row r="17" spans="1:5" ht="16.5" thickTop="1" thickBot="1" x14ac:dyDescent="0.3">
      <c r="A17" s="13" t="s">
        <v>6</v>
      </c>
      <c r="B17" s="24">
        <f>SUM(K2:K7)</f>
        <v>31200</v>
      </c>
      <c r="C17" s="24">
        <f>SUM(K8)</f>
        <v>1300</v>
      </c>
      <c r="D17" s="24">
        <f>SUM(K9:K10)</f>
        <v>75000</v>
      </c>
      <c r="E17" s="5">
        <f>SUM(B17:D17)</f>
        <v>107500</v>
      </c>
    </row>
    <row r="18" spans="1:5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13" sqref="H13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25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.75" thickBot="1" x14ac:dyDescent="0.3">
      <c r="A16" s="19" t="s">
        <v>85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6.5" thickTop="1" thickBot="1" x14ac:dyDescent="0.3">
      <c r="A17" s="19" t="s">
        <v>86</v>
      </c>
      <c r="B17" s="19">
        <f>SUM(I2:I5)</f>
        <v>8632</v>
      </c>
      <c r="C17" s="19">
        <f>SUM(I6:I9)</f>
        <v>381282</v>
      </c>
      <c r="D17" s="21">
        <v>0</v>
      </c>
      <c r="E17" s="5">
        <f>SUM(B17:D17)</f>
        <v>389914</v>
      </c>
      <c r="F17" s="5"/>
    </row>
    <row r="18" spans="1:6" ht="16.5" thickTop="1" thickBot="1" x14ac:dyDescent="0.3">
      <c r="A18" s="19" t="s">
        <v>110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6.5" thickTop="1" thickBot="1" x14ac:dyDescent="0.3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x14ac:dyDescent="0.25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25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25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.75" thickBot="1" x14ac:dyDescent="0.3">
      <c r="A15" s="19" t="s">
        <v>85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6.5" thickTop="1" thickBot="1" x14ac:dyDescent="0.3">
      <c r="A16" s="19" t="s">
        <v>86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6.5" thickTop="1" thickBot="1" x14ac:dyDescent="0.3">
      <c r="A17" s="19" t="s">
        <v>110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6.5" thickTop="1" thickBot="1" x14ac:dyDescent="0.3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9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21.28515625" style="21" customWidth="1"/>
    <col min="5" max="6" width="21.28515625" style="24" customWidth="1"/>
    <col min="7" max="7" width="18" style="19" customWidth="1"/>
    <col min="8" max="8" width="17.85546875" style="19" customWidth="1"/>
    <col min="9" max="16384" width="9.140625" style="19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Table2121314[[#This Row],[Cost per Unit (OASE)]]*Table2121314[[#This Row],[Quantity]]</f>
        <v>192</v>
      </c>
      <c r="I6" s="12">
        <f>Table2121314[[#This Row],[Cost per Unit (Rokkas)]]*Table2121314[[#This Row],[Quantity]]</f>
        <v>32</v>
      </c>
      <c r="J6" s="12">
        <f>Table2121314[[#This Row],[Cost per Unit(BSG)]]*Table2121314[[#This Row],[Quantity]]</f>
        <v>11.2</v>
      </c>
      <c r="K6" s="35">
        <f>Table2121314[[#This Row],[Cost per Unit(Phillipson)]]*Table2121314[[#This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274.5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x14ac:dyDescent="0.25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159000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x14ac:dyDescent="0.25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25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.75" thickBot="1" x14ac:dyDescent="0.3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168000</v>
      </c>
      <c r="E15" s="5">
        <f>SUM(B15:D15)</f>
        <v>182626.5</v>
      </c>
      <c r="F15" s="5"/>
      <c r="G15" s="10"/>
    </row>
    <row r="16" spans="1:11" ht="16.5" thickTop="1" thickBot="1" x14ac:dyDescent="0.3">
      <c r="A16" s="19" t="s">
        <v>86</v>
      </c>
      <c r="B16" s="19">
        <f>SUM(I2:I5)</f>
        <v>35064</v>
      </c>
      <c r="C16" s="19">
        <f>SUM(I6:I7)</f>
        <v>3082</v>
      </c>
      <c r="D16" s="21">
        <f>SUM(I8:I9)</f>
        <v>210000</v>
      </c>
      <c r="E16" s="5">
        <f>SUM(B16:D16)</f>
        <v>248146</v>
      </c>
      <c r="F16" s="5"/>
    </row>
    <row r="17" spans="1:6" ht="16.5" thickTop="1" thickBot="1" x14ac:dyDescent="0.3">
      <c r="A17" s="19" t="s">
        <v>110</v>
      </c>
      <c r="B17" s="19">
        <f>SUM(J2:J5)</f>
        <v>48000</v>
      </c>
      <c r="C17" s="19">
        <f>SUM(J6:J7)</f>
        <v>438.2</v>
      </c>
      <c r="D17" s="21">
        <f>SUM(J8:J9)</f>
        <v>150000</v>
      </c>
      <c r="E17" s="5">
        <f>SUM(B17:D17)</f>
        <v>198438.2</v>
      </c>
      <c r="F17" s="5"/>
    </row>
    <row r="18" spans="1:6" ht="16.5" thickTop="1" thickBot="1" x14ac:dyDescent="0.3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210000</v>
      </c>
      <c r="E18" s="5">
        <f>SUM(B18:D18)</f>
        <v>221850</v>
      </c>
    </row>
    <row r="19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9" width="9.140625" style="19"/>
    <col min="10" max="10" width="22.28515625" style="19" customWidth="1"/>
    <col min="11" max="16384" width="9.140625" style="19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x14ac:dyDescent="0.25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x14ac:dyDescent="0.25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25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25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25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.75" thickBot="1" x14ac:dyDescent="0.3">
      <c r="A16" s="19" t="s">
        <v>85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6.5" thickTop="1" thickBot="1" x14ac:dyDescent="0.3">
      <c r="A17" s="19" t="s">
        <v>86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6.5" thickTop="1" thickBot="1" x14ac:dyDescent="0.3">
      <c r="A18" s="19" t="s">
        <v>110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6.5" thickTop="1" thickBot="1" x14ac:dyDescent="0.3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2" sqref="C2"/>
    </sheetView>
  </sheetViews>
  <sheetFormatPr defaultColWidth="9.140625" defaultRowHeight="15" x14ac:dyDescent="0.25"/>
  <cols>
    <col min="1" max="1" width="29.28515625" style="19" customWidth="1"/>
    <col min="2" max="2" width="38" style="19" customWidth="1"/>
    <col min="3" max="3" width="21.28515625" style="19" customWidth="1"/>
    <col min="4" max="4" width="18" style="19" customWidth="1"/>
    <col min="5" max="5" width="17.85546875" style="19" customWidth="1"/>
    <col min="6" max="6" width="17.85546875" style="24" customWidth="1"/>
    <col min="7" max="8" width="9.140625" style="19"/>
    <col min="9" max="9" width="20.140625" style="19" customWidth="1"/>
    <col min="10" max="10" width="29.7109375" style="19" customWidth="1"/>
    <col min="11" max="16384" width="9.140625" style="19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x14ac:dyDescent="0.25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x14ac:dyDescent="0.25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x14ac:dyDescent="0.25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x14ac:dyDescent="0.25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25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.75" thickBot="1" x14ac:dyDescent="0.3">
      <c r="A15" s="19" t="s">
        <v>85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6.5" thickTop="1" thickBot="1" x14ac:dyDescent="0.3">
      <c r="A16" s="19" t="s">
        <v>86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6.5" thickTop="1" thickBot="1" x14ac:dyDescent="0.3">
      <c r="A17" s="19" t="s">
        <v>110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6.5" thickTop="1" thickBot="1" x14ac:dyDescent="0.3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80" zoomScaleNormal="80" workbookViewId="0">
      <selection activeCell="B3" sqref="B3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x14ac:dyDescent="0.25">
      <c r="A1" t="s">
        <v>58</v>
      </c>
    </row>
    <row r="2" spans="1:11" x14ac:dyDescent="0.25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x14ac:dyDescent="0.25">
      <c r="A3" t="s">
        <v>50</v>
      </c>
      <c r="B3">
        <v>146337.9</v>
      </c>
      <c r="C3">
        <v>18.840229999999998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307967.22911888885</v>
      </c>
      <c r="H3">
        <f t="shared" ref="H3:H15" si="0">G3*50</f>
        <v>15398361.455944443</v>
      </c>
      <c r="I3">
        <v>29262</v>
      </c>
      <c r="J3">
        <f>H3/I3</f>
        <v>526.22382119965971</v>
      </c>
      <c r="K3">
        <v>25</v>
      </c>
    </row>
    <row r="4" spans="1:11" x14ac:dyDescent="0.25">
      <c r="A4" t="s">
        <v>51</v>
      </c>
      <c r="B4">
        <v>146337.9</v>
      </c>
      <c r="C4">
        <v>12.814590000000001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216506.84792333332</v>
      </c>
      <c r="H4" s="19">
        <f t="shared" si="0"/>
        <v>10825342.396166665</v>
      </c>
      <c r="I4">
        <v>29262</v>
      </c>
      <c r="J4" s="13">
        <f t="shared" ref="J4:J7" si="1">H4/I4</f>
        <v>369.94540346410588</v>
      </c>
      <c r="K4">
        <v>50</v>
      </c>
    </row>
    <row r="5" spans="1:11" x14ac:dyDescent="0.25">
      <c r="A5" t="s">
        <v>52</v>
      </c>
      <c r="B5">
        <v>78872.09</v>
      </c>
      <c r="C5">
        <v>14.612120000000001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59300</v>
      </c>
      <c r="G5" s="13">
        <f t="shared" ref="G5:G6" si="2">SUM(B5:F5)</f>
        <v>145045.86878666666</v>
      </c>
      <c r="H5" s="19">
        <f t="shared" si="0"/>
        <v>7252293.4393333327</v>
      </c>
      <c r="I5">
        <v>29262</v>
      </c>
      <c r="J5" s="13">
        <f t="shared" si="1"/>
        <v>247.8399781058483</v>
      </c>
      <c r="K5">
        <v>50</v>
      </c>
    </row>
    <row r="6" spans="1:11" x14ac:dyDescent="0.25">
      <c r="A6" t="s">
        <v>53</v>
      </c>
      <c r="B6">
        <v>78872.09</v>
      </c>
      <c r="C6">
        <v>14.612120000000001</v>
      </c>
      <c r="D6">
        <f>'FTTH WR-WDMPON 100 Mbps'!B15</f>
        <v>5866.833333333333</v>
      </c>
      <c r="E6" s="24">
        <f>'FTTH WR-WDMPON 100 Mbps'!C15</f>
        <v>1560</v>
      </c>
      <c r="F6" s="24">
        <f>'FTTH WR-WDMPON 100 Mbps'!D15</f>
        <v>131778.59999999998</v>
      </c>
      <c r="G6" s="13">
        <f t="shared" si="2"/>
        <v>218092.13545333332</v>
      </c>
      <c r="H6" s="19">
        <f t="shared" si="0"/>
        <v>10904606.772666667</v>
      </c>
      <c r="I6">
        <v>29262</v>
      </c>
      <c r="J6" s="13">
        <f t="shared" si="1"/>
        <v>372.65418538263503</v>
      </c>
      <c r="K6">
        <v>100</v>
      </c>
    </row>
    <row r="7" spans="1:11" x14ac:dyDescent="0.25">
      <c r="A7" t="s">
        <v>54</v>
      </c>
      <c r="B7">
        <v>146337.9</v>
      </c>
      <c r="C7">
        <v>12.814590000000001</v>
      </c>
      <c r="D7">
        <f>'FTTH XGPON 100 Mbps'!B17</f>
        <v>12618.666666666666</v>
      </c>
      <c r="E7" s="24">
        <f>'FTTH XGPON 100 Mbps'!C17</f>
        <v>6501.6</v>
      </c>
      <c r="F7" s="24">
        <f>'FTTH XGPON 100 Mbps'!D17</f>
        <v>122778.6</v>
      </c>
      <c r="G7" s="13">
        <f>SUM(B7:F7)</f>
        <v>288249.58125666669</v>
      </c>
      <c r="H7" s="19">
        <f t="shared" si="0"/>
        <v>14412479.062833335</v>
      </c>
      <c r="I7">
        <v>29262</v>
      </c>
      <c r="J7" s="13">
        <f t="shared" si="1"/>
        <v>492.53226241655852</v>
      </c>
      <c r="K7">
        <v>100</v>
      </c>
    </row>
    <row r="8" spans="1:11" x14ac:dyDescent="0.25">
      <c r="A8" t="s">
        <v>67</v>
      </c>
      <c r="B8" s="13">
        <v>146337.9</v>
      </c>
      <c r="C8" s="13">
        <v>18.840229999999998</v>
      </c>
      <c r="D8" s="13">
        <f>FTTCab_GPON_100!B16</f>
        <v>6426.666666666667</v>
      </c>
      <c r="E8" s="24">
        <f>FTTCab_GPON_100!C16</f>
        <v>195086.4</v>
      </c>
      <c r="F8" s="24">
        <f>FTTCab_GPON_100!D16</f>
        <v>0</v>
      </c>
      <c r="G8">
        <f>SUM(B8:F8)</f>
        <v>347869.80689666665</v>
      </c>
      <c r="H8" s="19">
        <f t="shared" si="0"/>
        <v>17393490.344833333</v>
      </c>
      <c r="I8" s="13">
        <v>29262</v>
      </c>
      <c r="J8">
        <f>H8/I8</f>
        <v>594.40538393935253</v>
      </c>
      <c r="K8" s="13">
        <v>100</v>
      </c>
    </row>
    <row r="9" spans="1:11" x14ac:dyDescent="0.25">
      <c r="A9" t="s">
        <v>68</v>
      </c>
      <c r="B9" s="13">
        <v>146337.9</v>
      </c>
      <c r="C9" s="13">
        <v>12.814590000000001</v>
      </c>
      <c r="D9">
        <f>FTTB_XGPON_100!B16</f>
        <v>12818.666666666666</v>
      </c>
      <c r="E9">
        <v>2002.8</v>
      </c>
      <c r="F9">
        <v>59987.1</v>
      </c>
      <c r="G9">
        <f>SUM(B9:F9)</f>
        <v>221159.28125666664</v>
      </c>
      <c r="H9" s="19">
        <f t="shared" si="0"/>
        <v>11057964.062833332</v>
      </c>
      <c r="I9" s="13">
        <v>29262</v>
      </c>
      <c r="J9">
        <f>H9/I9</f>
        <v>377.89501957601436</v>
      </c>
      <c r="K9" s="13">
        <v>100</v>
      </c>
    </row>
    <row r="10" spans="1:11" x14ac:dyDescent="0.25">
      <c r="A10" s="13" t="s">
        <v>69</v>
      </c>
      <c r="B10" s="13">
        <v>78872.09</v>
      </c>
      <c r="C10" s="13">
        <v>14.612120000000001</v>
      </c>
      <c r="D10">
        <f>FTTB_WRWDM_100!B14</f>
        <v>11216.333333333334</v>
      </c>
      <c r="E10" s="24">
        <f>FTTB_WRWDM_100!C14</f>
        <v>1560</v>
      </c>
      <c r="F10" s="24">
        <f>FTTB_WRWDM_100!D14</f>
        <v>61500</v>
      </c>
      <c r="G10">
        <f>SUM(B10:F10)</f>
        <v>153163.03545333334</v>
      </c>
      <c r="H10" s="19">
        <f t="shared" si="0"/>
        <v>7658151.7726666676</v>
      </c>
      <c r="I10" s="13">
        <v>29262</v>
      </c>
      <c r="J10">
        <f>H10/I10</f>
        <v>261.70978650354272</v>
      </c>
      <c r="K10" s="13">
        <v>100</v>
      </c>
    </row>
    <row r="11" spans="1:11" x14ac:dyDescent="0.25">
      <c r="A11" s="18" t="s">
        <v>70</v>
      </c>
      <c r="B11">
        <v>114876.4</v>
      </c>
      <c r="C11">
        <v>12.59423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215033.99423000001</v>
      </c>
      <c r="H11" s="19">
        <f t="shared" si="0"/>
        <v>10751699.7115</v>
      </c>
      <c r="I11" s="19">
        <v>29262</v>
      </c>
      <c r="J11">
        <f t="shared" ref="J11:J15" si="4">H11/I11</f>
        <v>367.42873732144079</v>
      </c>
      <c r="K11">
        <v>25</v>
      </c>
    </row>
    <row r="12" spans="1:11" x14ac:dyDescent="0.25">
      <c r="A12" s="18" t="s">
        <v>71</v>
      </c>
      <c r="B12">
        <v>115530.5</v>
      </c>
      <c r="C12">
        <v>12.21167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178789.21166999999</v>
      </c>
      <c r="H12" s="19">
        <f t="shared" si="0"/>
        <v>8939460.5834999997</v>
      </c>
      <c r="I12" s="19">
        <v>29262</v>
      </c>
      <c r="J12">
        <f t="shared" si="4"/>
        <v>305.49725184539676</v>
      </c>
      <c r="K12">
        <v>50</v>
      </c>
    </row>
    <row r="13" spans="1:11" x14ac:dyDescent="0.25">
      <c r="A13" s="18" t="s">
        <v>72</v>
      </c>
      <c r="B13">
        <v>115530.5</v>
      </c>
      <c r="C13">
        <v>25.08727</v>
      </c>
      <c r="D13">
        <f>FTTH_Hybridpon_100!B15</f>
        <v>14160</v>
      </c>
      <c r="E13" s="24">
        <f>FTTH_Hybridpon_100!C15</f>
        <v>466.5</v>
      </c>
      <c r="F13" s="24">
        <f>FTTH_Hybridpon_100!D15</f>
        <v>168000</v>
      </c>
      <c r="G13">
        <f t="shared" si="3"/>
        <v>298182.08727000002</v>
      </c>
      <c r="H13" s="19">
        <f t="shared" si="0"/>
        <v>14909104.363500001</v>
      </c>
      <c r="I13" s="19">
        <v>29262</v>
      </c>
      <c r="J13">
        <f t="shared" si="4"/>
        <v>509.50394243387331</v>
      </c>
      <c r="K13">
        <v>100</v>
      </c>
    </row>
    <row r="14" spans="1:11" x14ac:dyDescent="0.25">
      <c r="A14" s="18" t="s">
        <v>73</v>
      </c>
      <c r="B14">
        <v>114876.4</v>
      </c>
      <c r="C14">
        <v>12.59423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247844.99423000001</v>
      </c>
      <c r="H14" s="19">
        <f t="shared" si="0"/>
        <v>12392249.7115</v>
      </c>
      <c r="I14" s="19">
        <v>29262</v>
      </c>
      <c r="J14">
        <f t="shared" si="4"/>
        <v>423.49291611988247</v>
      </c>
      <c r="K14">
        <v>100</v>
      </c>
    </row>
    <row r="15" spans="1:11" x14ac:dyDescent="0.25">
      <c r="A15" s="15" t="s">
        <v>74</v>
      </c>
      <c r="B15" s="17">
        <v>115530.5</v>
      </c>
      <c r="C15" s="17">
        <v>12.21167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196669.21166999999</v>
      </c>
      <c r="H15" s="19">
        <f t="shared" si="0"/>
        <v>9833460.5834999997</v>
      </c>
      <c r="I15" s="21">
        <v>29262</v>
      </c>
      <c r="J15" s="17">
        <f t="shared" si="4"/>
        <v>336.04882043264303</v>
      </c>
      <c r="K15" s="17">
        <v>100</v>
      </c>
    </row>
    <row r="56" spans="3:6" x14ac:dyDescent="0.25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25">
      <c r="C57">
        <f>B3</f>
        <v>146337.9</v>
      </c>
      <c r="D57" s="24">
        <f t="shared" ref="D57:E57" si="5">C3</f>
        <v>18.840229999999998</v>
      </c>
      <c r="E57" s="24">
        <f t="shared" si="5"/>
        <v>3056.8888888888887</v>
      </c>
      <c r="F57">
        <f>E3+F3</f>
        <v>158553.60000000001</v>
      </c>
    </row>
    <row r="58" spans="3:6" x14ac:dyDescent="0.25">
      <c r="C58" s="24">
        <f t="shared" ref="C58:E58" si="6">B4</f>
        <v>146337.9</v>
      </c>
      <c r="D58" s="24">
        <f t="shared" si="6"/>
        <v>12.814590000000001</v>
      </c>
      <c r="E58" s="24">
        <f t="shared" si="6"/>
        <v>6405.333333333333</v>
      </c>
      <c r="F58" s="21">
        <f t="shared" ref="F58:F69" si="7">E4+F4</f>
        <v>63750.8</v>
      </c>
    </row>
    <row r="59" spans="3:6" x14ac:dyDescent="0.25">
      <c r="C59" s="24">
        <f t="shared" ref="C59:E59" si="8">B5</f>
        <v>78872.09</v>
      </c>
      <c r="D59" s="24">
        <f t="shared" si="8"/>
        <v>14.612120000000001</v>
      </c>
      <c r="E59" s="24">
        <f t="shared" si="8"/>
        <v>5299.166666666667</v>
      </c>
      <c r="F59" s="21">
        <f t="shared" si="7"/>
        <v>60860</v>
      </c>
    </row>
    <row r="60" spans="3:6" x14ac:dyDescent="0.25">
      <c r="C60" s="24">
        <f t="shared" ref="C60:E60" si="9">B6</f>
        <v>78872.09</v>
      </c>
      <c r="D60" s="24">
        <f t="shared" si="9"/>
        <v>14.612120000000001</v>
      </c>
      <c r="E60" s="24">
        <f t="shared" si="9"/>
        <v>5866.833333333333</v>
      </c>
      <c r="F60" s="21">
        <f t="shared" si="7"/>
        <v>133338.59999999998</v>
      </c>
    </row>
    <row r="61" spans="3:6" x14ac:dyDescent="0.25">
      <c r="C61" s="24">
        <f t="shared" ref="C61:E61" si="10">B7</f>
        <v>146337.9</v>
      </c>
      <c r="D61" s="24">
        <f t="shared" si="10"/>
        <v>12.814590000000001</v>
      </c>
      <c r="E61" s="24">
        <f t="shared" si="10"/>
        <v>12618.666666666666</v>
      </c>
      <c r="F61" s="21">
        <f t="shared" si="7"/>
        <v>129280.20000000001</v>
      </c>
    </row>
    <row r="62" spans="3:6" x14ac:dyDescent="0.25">
      <c r="C62" s="24">
        <f t="shared" ref="C62:E62" si="11">B8</f>
        <v>146337.9</v>
      </c>
      <c r="D62" s="24">
        <f t="shared" si="11"/>
        <v>18.840229999999998</v>
      </c>
      <c r="E62" s="24">
        <f t="shared" si="11"/>
        <v>6426.666666666667</v>
      </c>
      <c r="F62" s="21">
        <f t="shared" si="7"/>
        <v>195086.4</v>
      </c>
    </row>
    <row r="63" spans="3:6" x14ac:dyDescent="0.25">
      <c r="C63" s="24">
        <f t="shared" ref="C63:E63" si="12">B9</f>
        <v>146337.9</v>
      </c>
      <c r="D63" s="24">
        <f t="shared" si="12"/>
        <v>12.814590000000001</v>
      </c>
      <c r="E63" s="24">
        <f t="shared" si="12"/>
        <v>12818.666666666666</v>
      </c>
      <c r="F63" s="21">
        <f t="shared" si="7"/>
        <v>61989.9</v>
      </c>
    </row>
    <row r="64" spans="3:6" x14ac:dyDescent="0.25">
      <c r="C64" s="24">
        <f t="shared" ref="C64:E64" si="13">B10</f>
        <v>78872.09</v>
      </c>
      <c r="D64" s="24">
        <f t="shared" si="13"/>
        <v>14.612120000000001</v>
      </c>
      <c r="E64" s="24">
        <f t="shared" si="13"/>
        <v>11216.333333333334</v>
      </c>
      <c r="F64" s="21">
        <f t="shared" si="7"/>
        <v>63060</v>
      </c>
    </row>
    <row r="65" spans="3:6" x14ac:dyDescent="0.25">
      <c r="C65" s="24">
        <f t="shared" ref="C65:E65" si="14">B11</f>
        <v>114876.4</v>
      </c>
      <c r="D65" s="24">
        <f t="shared" si="14"/>
        <v>12.59423</v>
      </c>
      <c r="E65" s="24">
        <f t="shared" si="14"/>
        <v>4000</v>
      </c>
      <c r="F65" s="21">
        <f t="shared" si="7"/>
        <v>96145</v>
      </c>
    </row>
    <row r="66" spans="3:6" x14ac:dyDescent="0.25">
      <c r="C66" s="24">
        <f t="shared" ref="C66:E66" si="15">B12</f>
        <v>115530.5</v>
      </c>
      <c r="D66" s="24">
        <f t="shared" si="15"/>
        <v>12.21167</v>
      </c>
      <c r="E66" s="24">
        <f t="shared" si="15"/>
        <v>7280</v>
      </c>
      <c r="F66" s="21">
        <f t="shared" si="7"/>
        <v>55966.5</v>
      </c>
    </row>
    <row r="67" spans="3:6" x14ac:dyDescent="0.25">
      <c r="C67" s="24">
        <f t="shared" ref="C67:E67" si="16">B13</f>
        <v>115530.5</v>
      </c>
      <c r="D67" s="24">
        <f t="shared" si="16"/>
        <v>25.08727</v>
      </c>
      <c r="E67" s="24">
        <f t="shared" si="16"/>
        <v>14160</v>
      </c>
      <c r="F67" s="21">
        <f t="shared" si="7"/>
        <v>168466.5</v>
      </c>
    </row>
    <row r="68" spans="3:6" x14ac:dyDescent="0.25">
      <c r="C68" s="24">
        <f t="shared" ref="C68:E68" si="17">B14</f>
        <v>114876.4</v>
      </c>
      <c r="D68" s="24">
        <f t="shared" si="17"/>
        <v>12.59423</v>
      </c>
      <c r="E68" s="24">
        <f t="shared" si="17"/>
        <v>27600</v>
      </c>
      <c r="F68" s="21">
        <f t="shared" si="7"/>
        <v>105356</v>
      </c>
    </row>
    <row r="69" spans="3:6" x14ac:dyDescent="0.25">
      <c r="C69" s="24">
        <f t="shared" ref="C69:E69" si="18">B15</f>
        <v>115530.5</v>
      </c>
      <c r="D69" s="24">
        <f t="shared" si="18"/>
        <v>12.21167</v>
      </c>
      <c r="E69" s="24">
        <f t="shared" si="18"/>
        <v>14160</v>
      </c>
      <c r="F69" s="21">
        <f t="shared" si="7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G19" zoomScaleNormal="100" workbookViewId="0">
      <selection activeCell="I10" sqref="I10"/>
    </sheetView>
  </sheetViews>
  <sheetFormatPr defaultRowHeight="15" x14ac:dyDescent="0.25"/>
  <cols>
    <col min="1" max="1" width="45" customWidth="1"/>
    <col min="2" max="3" width="45" style="21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x14ac:dyDescent="0.25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25">
      <c r="A2" s="21" t="s">
        <v>50</v>
      </c>
      <c r="B2" s="21">
        <v>154545.71095359759</v>
      </c>
      <c r="C2" s="21">
        <v>942011.40945595957</v>
      </c>
      <c r="D2" s="21">
        <f>35*Table717[[#This Row],[Duct Length]]/50</f>
        <v>108181.99766751831</v>
      </c>
      <c r="E2" s="21">
        <f>E28*0.3/50</f>
        <v>0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497773.99766751833</v>
      </c>
      <c r="J2" s="21">
        <f t="shared" ref="J2:J14" si="0">I2*50</f>
        <v>24888699.883375917</v>
      </c>
      <c r="K2" s="21">
        <v>29262</v>
      </c>
      <c r="L2" s="21">
        <f>J2/K2</f>
        <v>850.54678023976203</v>
      </c>
      <c r="M2" s="21">
        <v>25</v>
      </c>
    </row>
    <row r="3" spans="1:13" x14ac:dyDescent="0.25">
      <c r="A3" s="21" t="s">
        <v>51</v>
      </c>
      <c r="B3" s="21">
        <v>154545.71095359759</v>
      </c>
      <c r="C3" s="21">
        <v>640729.49433380761</v>
      </c>
      <c r="D3" s="24">
        <f>35*Table717[[#This Row],[Duct Length]]/50</f>
        <v>108181.99766751831</v>
      </c>
      <c r="E3" s="24">
        <f t="shared" ref="E3:E14" si="1">E29*0.3/50</f>
        <v>0</v>
      </c>
      <c r="F3" s="24">
        <f>'FTTB XGPON 50 Mbps'!$B$18</f>
        <v>11184</v>
      </c>
      <c r="G3" s="24">
        <f>'FTTB XGPON 50 Mbps'!C$18</f>
        <v>8284</v>
      </c>
      <c r="H3" s="24">
        <f>'FTTB XGPON 50 Mbps'!D$18</f>
        <v>70000</v>
      </c>
      <c r="I3" s="24">
        <f>SUM(Table717[[#This Row],[Duct Cost]:[Building E&amp;I Costs]])</f>
        <v>197649.99766751833</v>
      </c>
      <c r="J3" s="21">
        <f t="shared" si="0"/>
        <v>9882499.8833759166</v>
      </c>
      <c r="K3" s="21">
        <v>29262</v>
      </c>
      <c r="L3" s="21">
        <f t="shared" ref="L3:L6" si="2">J3/K3</f>
        <v>337.72469015706093</v>
      </c>
      <c r="M3" s="21">
        <v>50</v>
      </c>
    </row>
    <row r="4" spans="1:13" x14ac:dyDescent="0.25">
      <c r="A4" s="21" t="s">
        <v>52</v>
      </c>
      <c r="B4" s="21">
        <v>95562.640830078599</v>
      </c>
      <c r="C4" s="21">
        <v>730606.15860891738</v>
      </c>
      <c r="D4" s="24">
        <f>35*Table717[[#This Row],[Duct Length]]/50</f>
        <v>66893.848581055019</v>
      </c>
      <c r="E4" s="24">
        <f t="shared" si="1"/>
        <v>0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158153.848581055</v>
      </c>
      <c r="J4" s="21">
        <f t="shared" si="0"/>
        <v>7907692.4290527506</v>
      </c>
      <c r="K4" s="21">
        <v>29262</v>
      </c>
      <c r="L4" s="21">
        <f t="shared" si="2"/>
        <v>270.23759240833675</v>
      </c>
      <c r="M4" s="21">
        <v>50</v>
      </c>
    </row>
    <row r="5" spans="1:13" x14ac:dyDescent="0.25">
      <c r="A5" s="21" t="s">
        <v>53</v>
      </c>
      <c r="B5" s="21">
        <v>95562.640830078599</v>
      </c>
      <c r="C5" s="21">
        <v>730606.15860891738</v>
      </c>
      <c r="D5" s="24">
        <f>35*Table717[[#This Row],[Duct Length]]/50</f>
        <v>66893.848581055019</v>
      </c>
      <c r="E5" s="24">
        <f t="shared" si="1"/>
        <v>0</v>
      </c>
      <c r="F5" s="24">
        <f>'FTTH WR-WDMPON 100 Mbps'!$B$16</f>
        <v>16000</v>
      </c>
      <c r="G5" s="24">
        <f>'FTTH WR-WDMPON 100 Mbps'!C16</f>
        <v>260</v>
      </c>
      <c r="H5" s="24">
        <f>'FTTH WR-WDMPON 100 Mbps'!D16</f>
        <v>229508</v>
      </c>
      <c r="I5" s="24">
        <f>SUM(Table717[[#This Row],[Duct Cost]:[Building E&amp;I Costs]])</f>
        <v>312661.848581055</v>
      </c>
      <c r="J5" s="21">
        <f t="shared" si="0"/>
        <v>15633092.42905275</v>
      </c>
      <c r="K5" s="21">
        <v>29262</v>
      </c>
      <c r="L5" s="21">
        <f t="shared" si="2"/>
        <v>534.24552077960323</v>
      </c>
      <c r="M5" s="21">
        <v>100</v>
      </c>
    </row>
    <row r="6" spans="1:13" x14ac:dyDescent="0.25">
      <c r="A6" s="21" t="s">
        <v>54</v>
      </c>
      <c r="B6" s="21">
        <v>154545.71095359759</v>
      </c>
      <c r="C6" s="21">
        <v>640729.49433380761</v>
      </c>
      <c r="D6" s="24">
        <f>35*Table717[[#This Row],[Duct Length]]/50</f>
        <v>108181.99766751831</v>
      </c>
      <c r="E6" s="24">
        <f t="shared" si="1"/>
        <v>0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180000</v>
      </c>
      <c r="I6" s="24">
        <f>SUM(Table717[[#This Row],[Duct Cost]:[Building E&amp;I Costs]])</f>
        <v>324117.99766751833</v>
      </c>
      <c r="J6" s="21">
        <f t="shared" si="0"/>
        <v>16205899.883375917</v>
      </c>
      <c r="K6" s="21">
        <v>29262</v>
      </c>
      <c r="L6" s="21">
        <f t="shared" si="2"/>
        <v>553.82065078859671</v>
      </c>
      <c r="M6" s="21">
        <v>100</v>
      </c>
    </row>
    <row r="7" spans="1:13" x14ac:dyDescent="0.25">
      <c r="A7" s="21" t="s">
        <v>67</v>
      </c>
      <c r="B7" s="21">
        <v>154545.71095359759</v>
      </c>
      <c r="C7" s="21">
        <v>942011.40945595957</v>
      </c>
      <c r="D7" s="24">
        <f>35*Table717[[#This Row],[Duct Length]]/50</f>
        <v>108181.99766751831</v>
      </c>
      <c r="E7" s="24">
        <f t="shared" si="1"/>
        <v>0</v>
      </c>
      <c r="F7" s="24">
        <f>FTTCab_GPON_100!$B$17</f>
        <v>7404</v>
      </c>
      <c r="G7" s="24">
        <f>FTTCab_GPON_100!C17</f>
        <v>399960</v>
      </c>
      <c r="H7" s="24">
        <f>FTTCab_GPON_100!D17</f>
        <v>0</v>
      </c>
      <c r="I7" s="24">
        <f>SUM(Table717[[#This Row],[Duct Cost]:[Building E&amp;I Costs]])</f>
        <v>515545.99766751833</v>
      </c>
      <c r="J7" s="21">
        <f t="shared" si="0"/>
        <v>25777299.883375917</v>
      </c>
      <c r="K7" s="21">
        <v>29262</v>
      </c>
      <c r="L7" s="21">
        <f>J7/K7</f>
        <v>880.91380915097795</v>
      </c>
      <c r="M7" s="21">
        <v>100</v>
      </c>
    </row>
    <row r="8" spans="1:13" x14ac:dyDescent="0.25">
      <c r="A8" s="21" t="s">
        <v>68</v>
      </c>
      <c r="B8" s="21">
        <v>154545.71095359759</v>
      </c>
      <c r="C8" s="21">
        <v>640729.49433380761</v>
      </c>
      <c r="D8" s="24">
        <f>35*Table717[[#This Row],[Duct Length]]/50</f>
        <v>108181.99766751831</v>
      </c>
      <c r="E8" s="24">
        <f t="shared" si="1"/>
        <v>0</v>
      </c>
      <c r="F8" s="24">
        <f>FTTB_XGPON_100!$B$17</f>
        <v>19368</v>
      </c>
      <c r="G8" s="24">
        <f>FTTB_XGPON_100!C17</f>
        <v>8284</v>
      </c>
      <c r="H8" s="24">
        <f>FTTB_XGPON_100!D17</f>
        <v>68278</v>
      </c>
      <c r="I8" s="24">
        <f>SUM(Table717[[#This Row],[Duct Cost]:[Building E&amp;I Costs]])</f>
        <v>204111.99766751833</v>
      </c>
      <c r="J8" s="21">
        <f t="shared" si="0"/>
        <v>10205599.883375917</v>
      </c>
      <c r="K8" s="21">
        <v>29262</v>
      </c>
      <c r="L8" s="21">
        <f>J8/K8</f>
        <v>348.76631410620996</v>
      </c>
      <c r="M8" s="21">
        <v>100</v>
      </c>
    </row>
    <row r="9" spans="1:13" x14ac:dyDescent="0.25">
      <c r="A9" s="21" t="s">
        <v>69</v>
      </c>
      <c r="B9" s="21">
        <v>95562.640830078599</v>
      </c>
      <c r="C9" s="21">
        <v>730606.15860891738</v>
      </c>
      <c r="D9" s="24">
        <f>35*Table717[[#This Row],[Duct Length]]/50</f>
        <v>66893.848581055019</v>
      </c>
      <c r="E9" s="24">
        <f t="shared" si="1"/>
        <v>0</v>
      </c>
      <c r="F9" s="24">
        <f>FTTB_WRWDM_100!$B$15</f>
        <v>29000</v>
      </c>
      <c r="G9" s="24">
        <f>FTTB_WRWDM_100!C15</f>
        <v>260</v>
      </c>
      <c r="H9" s="24">
        <f>FTTB_WRWDM_100!D15</f>
        <v>75000</v>
      </c>
      <c r="I9" s="24">
        <f>SUM(Table717[[#This Row],[Duct Cost]:[Building E&amp;I Costs]])</f>
        <v>171153.848581055</v>
      </c>
      <c r="J9" s="21">
        <f t="shared" si="0"/>
        <v>8557692.4290527496</v>
      </c>
      <c r="K9" s="21">
        <v>29262</v>
      </c>
      <c r="L9" s="21">
        <f>J9/K9</f>
        <v>292.4507015601377</v>
      </c>
      <c r="M9" s="21">
        <v>100</v>
      </c>
    </row>
    <row r="10" spans="1:13" x14ac:dyDescent="0.25">
      <c r="A10" s="22" t="s">
        <v>70</v>
      </c>
      <c r="B10" s="16">
        <v>126641.78711580401</v>
      </c>
      <c r="C10" s="16">
        <v>629711.41851421306</v>
      </c>
      <c r="D10" s="24">
        <f>35*Table717[[#This Row],[Duct Length]]/50</f>
        <v>88649.250981062796</v>
      </c>
      <c r="E10" s="24">
        <f t="shared" si="1"/>
        <v>0</v>
      </c>
      <c r="F10" s="24">
        <f>FTTCab_Hybridpon_25!$B$17</f>
        <v>8632</v>
      </c>
      <c r="G10" s="24">
        <f>FTTCab_Hybridpon_25!C17</f>
        <v>381282</v>
      </c>
      <c r="H10" s="24">
        <f>FTTCab_Hybridpon_25!D17</f>
        <v>0</v>
      </c>
      <c r="I10" s="24">
        <f>SUM(Table717[[#This Row],[Duct Cost]:[Building E&amp;I Costs]])</f>
        <v>478563.25098106277</v>
      </c>
      <c r="J10" s="21">
        <f t="shared" si="0"/>
        <v>23928162.54905314</v>
      </c>
      <c r="K10" s="21">
        <v>29262</v>
      </c>
      <c r="L10" s="21">
        <f t="shared" ref="L10:L14" si="3">J10/K10</f>
        <v>817.72136385254396</v>
      </c>
      <c r="M10" s="21">
        <v>25</v>
      </c>
    </row>
    <row r="11" spans="1:13" x14ac:dyDescent="0.25">
      <c r="A11" s="22" t="s">
        <v>71</v>
      </c>
      <c r="B11" s="16">
        <v>127537.82706687541</v>
      </c>
      <c r="C11" s="16">
        <v>610583.51516018598</v>
      </c>
      <c r="D11" s="24">
        <f>35*Table717[[#This Row],[Duct Length]]/50</f>
        <v>89276.478946812786</v>
      </c>
      <c r="E11" s="24">
        <f t="shared" si="1"/>
        <v>0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186390.4789468128</v>
      </c>
      <c r="J11" s="21">
        <f t="shared" si="0"/>
        <v>9319523.9473406393</v>
      </c>
      <c r="K11" s="21">
        <v>29262</v>
      </c>
      <c r="L11" s="21">
        <f t="shared" si="3"/>
        <v>318.48554259246254</v>
      </c>
      <c r="M11" s="21">
        <v>50</v>
      </c>
    </row>
    <row r="12" spans="1:13" x14ac:dyDescent="0.25">
      <c r="A12" s="22" t="s">
        <v>72</v>
      </c>
      <c r="B12" s="16">
        <v>127537.82706687541</v>
      </c>
      <c r="C12" s="16">
        <v>1254363.515160186</v>
      </c>
      <c r="D12" s="24">
        <f>35*Table717[[#This Row],[Duct Length]]/50</f>
        <v>89276.478946812786</v>
      </c>
      <c r="E12" s="24">
        <f t="shared" si="1"/>
        <v>0</v>
      </c>
      <c r="F12" s="24">
        <f>FTTH_Hybridpon_100!$B$16</f>
        <v>35064</v>
      </c>
      <c r="G12" s="24">
        <f>FTTH_Hybridpon_100!C16</f>
        <v>3082</v>
      </c>
      <c r="H12" s="24">
        <f>FTTH_Hybridpon_100!D16</f>
        <v>210000</v>
      </c>
      <c r="I12" s="24">
        <f>SUM(Table717[[#This Row],[Duct Cost]:[Building E&amp;I Costs]])</f>
        <v>337422.4789468128</v>
      </c>
      <c r="J12" s="21">
        <f t="shared" si="0"/>
        <v>16871123.947340641</v>
      </c>
      <c r="K12" s="21">
        <v>29262</v>
      </c>
      <c r="L12" s="21">
        <f t="shared" si="3"/>
        <v>576.55402731667834</v>
      </c>
      <c r="M12" s="21">
        <v>100</v>
      </c>
    </row>
    <row r="13" spans="1:13" x14ac:dyDescent="0.25">
      <c r="A13" s="22" t="s">
        <v>73</v>
      </c>
      <c r="B13" s="16">
        <v>126641.78711580401</v>
      </c>
      <c r="C13" s="16">
        <v>629711.41851421306</v>
      </c>
      <c r="D13" s="24">
        <f>35*Table717[[#This Row],[Duct Length]]/50</f>
        <v>88649.250981062796</v>
      </c>
      <c r="E13" s="24">
        <f t="shared" si="1"/>
        <v>0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333809.25098106277</v>
      </c>
      <c r="J13" s="21">
        <f t="shared" si="0"/>
        <v>16690462.549053138</v>
      </c>
      <c r="K13" s="21">
        <v>29262</v>
      </c>
      <c r="L13" s="21">
        <f t="shared" si="3"/>
        <v>570.38010214794406</v>
      </c>
      <c r="M13" s="21">
        <v>100</v>
      </c>
    </row>
    <row r="14" spans="1:13" x14ac:dyDescent="0.25">
      <c r="A14" s="15" t="s">
        <v>74</v>
      </c>
      <c r="B14" s="16">
        <v>127537.82706687541</v>
      </c>
      <c r="C14" s="16">
        <v>610583.51516018598</v>
      </c>
      <c r="D14" s="24">
        <f>35*Table717[[#This Row],[Duct Length]]/50</f>
        <v>89276.478946812786</v>
      </c>
      <c r="E14" s="24">
        <f t="shared" si="1"/>
        <v>0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202422.4789468128</v>
      </c>
      <c r="J14" s="21">
        <f t="shared" si="0"/>
        <v>10121123.947340639</v>
      </c>
      <c r="K14" s="21">
        <v>29262</v>
      </c>
      <c r="L14" s="17">
        <f t="shared" si="3"/>
        <v>345.87943227874513</v>
      </c>
      <c r="M14" s="17">
        <v>100</v>
      </c>
    </row>
    <row r="28" spans="2:5" x14ac:dyDescent="0.25">
      <c r="B28" s="24"/>
      <c r="C28" s="24"/>
      <c r="D28" s="24"/>
    </row>
    <row r="29" spans="2:5" x14ac:dyDescent="0.25">
      <c r="B29" s="24"/>
      <c r="C29" s="24"/>
      <c r="D29" s="24"/>
      <c r="E29" s="23"/>
    </row>
    <row r="30" spans="2:5" x14ac:dyDescent="0.25">
      <c r="B30" s="24"/>
      <c r="C30" s="24"/>
      <c r="D30" s="24"/>
      <c r="E30" s="23"/>
    </row>
    <row r="31" spans="2:5" x14ac:dyDescent="0.25">
      <c r="B31" s="24"/>
      <c r="C31" s="24"/>
      <c r="D31" s="24"/>
      <c r="E31" s="23"/>
    </row>
    <row r="32" spans="2:5" x14ac:dyDescent="0.25">
      <c r="B32" s="24"/>
      <c r="C32" s="24"/>
      <c r="D32" s="24"/>
      <c r="E32" s="23"/>
    </row>
    <row r="33" spans="2:5" x14ac:dyDescent="0.25">
      <c r="B33" s="24"/>
      <c r="C33" s="24"/>
      <c r="D33" s="24"/>
      <c r="E33" s="23"/>
    </row>
    <row r="34" spans="2:5" x14ac:dyDescent="0.25">
      <c r="B34" s="24"/>
      <c r="C34" s="24"/>
      <c r="D34" s="24"/>
      <c r="E34" s="23"/>
    </row>
    <row r="35" spans="2:5" x14ac:dyDescent="0.25">
      <c r="B35" s="24"/>
      <c r="C35" s="24"/>
      <c r="D35" s="24"/>
      <c r="E35" s="23"/>
    </row>
    <row r="36" spans="2:5" x14ac:dyDescent="0.25">
      <c r="B36" s="24"/>
      <c r="C36" s="24"/>
      <c r="D36" s="24"/>
      <c r="E36" s="23"/>
    </row>
    <row r="37" spans="2:5" x14ac:dyDescent="0.25">
      <c r="B37" s="24"/>
      <c r="C37" s="24"/>
      <c r="D37" s="24"/>
      <c r="E37" s="23"/>
    </row>
    <row r="38" spans="2:5" x14ac:dyDescent="0.25">
      <c r="B38" s="24"/>
      <c r="C38" s="24"/>
      <c r="D38" s="24"/>
      <c r="E38" s="23"/>
    </row>
    <row r="39" spans="2:5" x14ac:dyDescent="0.25">
      <c r="B39" s="24"/>
      <c r="C39" s="24"/>
      <c r="D39" s="24"/>
      <c r="E39" s="23"/>
    </row>
    <row r="40" spans="2:5" x14ac:dyDescent="0.25">
      <c r="B40" s="24"/>
      <c r="C40" s="24"/>
      <c r="D40" s="24"/>
      <c r="E40" s="23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sqref="A1:M14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x14ac:dyDescent="0.25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25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783086.74014850263</v>
      </c>
      <c r="J2" s="24">
        <f t="shared" ref="J2:J14" si="0">I2*50</f>
        <v>39154337.007425129</v>
      </c>
      <c r="K2" s="24">
        <v>29262</v>
      </c>
      <c r="L2" s="24">
        <f>J2/K2</f>
        <v>1338.0608641728224</v>
      </c>
      <c r="M2" s="24">
        <v>25</v>
      </c>
    </row>
    <row r="3" spans="1:13" x14ac:dyDescent="0.2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6" si="1">J3/K3</f>
        <v>835.38574954211117</v>
      </c>
      <c r="M3" s="24">
        <v>50</v>
      </c>
    </row>
    <row r="4" spans="1:13" x14ac:dyDescent="0.2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740.20637583839437</v>
      </c>
      <c r="M4" s="24">
        <v>50</v>
      </c>
    </row>
    <row r="5" spans="1:13" x14ac:dyDescent="0.2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22950</v>
      </c>
      <c r="G5" s="24">
        <f>'FTTH WR-WDMPON 100 Mbps'!C$17</f>
        <v>130</v>
      </c>
      <c r="H5" s="24">
        <f>'FTTH WR-WDMPON 100 Mbps'!D$17</f>
        <v>150754</v>
      </c>
      <c r="I5" s="24">
        <f>SUM(Table7172[[#This Row],[Duct Cost]:[Building E&amp;I Costs]])</f>
        <v>450452.37939566193</v>
      </c>
      <c r="J5" s="24">
        <f t="shared" si="0"/>
        <v>22522618.969783098</v>
      </c>
      <c r="K5" s="24">
        <v>29262</v>
      </c>
      <c r="L5" s="24">
        <f t="shared" si="1"/>
        <v>769.68829778494626</v>
      </c>
      <c r="M5" s="24">
        <v>100</v>
      </c>
    </row>
    <row r="6" spans="1:13" x14ac:dyDescent="0.2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150754</v>
      </c>
      <c r="I6" s="24">
        <f>SUM(Table7172[[#This Row],[Duct Cost]:[Building E&amp;I Costs]])</f>
        <v>652800.75606202509</v>
      </c>
      <c r="J6" s="24">
        <f t="shared" si="0"/>
        <v>32640037.803101253</v>
      </c>
      <c r="K6" s="24">
        <v>29262</v>
      </c>
      <c r="L6" s="24">
        <f t="shared" si="1"/>
        <v>1115.4411114449201</v>
      </c>
      <c r="M6" s="24">
        <v>100</v>
      </c>
    </row>
    <row r="7" spans="1:13" x14ac:dyDescent="0.25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15652</v>
      </c>
      <c r="G7" s="24">
        <f>FTTCab_GPON_100!C$18</f>
        <v>465444</v>
      </c>
      <c r="H7" s="24">
        <f>FTTCab_GPON_100!D$18</f>
        <v>0</v>
      </c>
      <c r="I7" s="24">
        <f>SUM(Table7172[[#This Row],[Duct Cost]:[Building E&amp;I Costs]])</f>
        <v>882409.14014850277</v>
      </c>
      <c r="J7" s="24">
        <f t="shared" si="0"/>
        <v>44120457.007425137</v>
      </c>
      <c r="K7" s="24">
        <v>29262</v>
      </c>
      <c r="L7" s="24">
        <f>J7/K7</f>
        <v>1507.7731189742717</v>
      </c>
      <c r="M7" s="24">
        <v>100</v>
      </c>
    </row>
    <row r="8" spans="1:13" x14ac:dyDescent="0.25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>J8/K8</f>
        <v>857.6863441699561</v>
      </c>
      <c r="M8" s="24">
        <v>100</v>
      </c>
    </row>
    <row r="9" spans="1:13" x14ac:dyDescent="0.25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39200</v>
      </c>
      <c r="G9" s="24">
        <f>FTTB_WRWDM_100!C$16</f>
        <v>130</v>
      </c>
      <c r="H9" s="24">
        <f>FTTB_WRWDM_100!D$16</f>
        <v>133500</v>
      </c>
      <c r="I9" s="24">
        <f>SUM(Table7172[[#This Row],[Duct Cost]:[Building E&amp;I Costs]])</f>
        <v>449448.37939566193</v>
      </c>
      <c r="J9" s="24">
        <f t="shared" si="0"/>
        <v>22472418.969783098</v>
      </c>
      <c r="K9" s="24">
        <v>29262</v>
      </c>
      <c r="L9" s="24">
        <f>J9/K9</f>
        <v>767.97276227814564</v>
      </c>
      <c r="M9" s="24">
        <v>100</v>
      </c>
    </row>
    <row r="10" spans="1:13" x14ac:dyDescent="0.25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542001.60963587556</v>
      </c>
      <c r="J10" s="24">
        <f t="shared" si="0"/>
        <v>27100080.481793776</v>
      </c>
      <c r="K10" s="24">
        <v>29262</v>
      </c>
      <c r="L10" s="24">
        <f t="shared" ref="L10:L14" si="2">J10/K10</f>
        <v>926.11853194565572</v>
      </c>
      <c r="M10" s="24">
        <v>25</v>
      </c>
    </row>
    <row r="11" spans="1:13" x14ac:dyDescent="0.25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2"/>
        <v>783.54053507876881</v>
      </c>
      <c r="M11" s="24">
        <v>50</v>
      </c>
    </row>
    <row r="12" spans="1:13" x14ac:dyDescent="0.25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48000</v>
      </c>
      <c r="G12" s="24">
        <f>FTTH_Hybridpon_100!C$17</f>
        <v>438.2</v>
      </c>
      <c r="H12" s="24">
        <f>FTTH_Hybridpon_100!D$17</f>
        <v>150000</v>
      </c>
      <c r="I12" s="24">
        <f>SUM(Table7172[[#This Row],[Duct Cost]:[Building E&amp;I Costs]])</f>
        <v>621293.77874949854</v>
      </c>
      <c r="J12" s="24">
        <f t="shared" si="0"/>
        <v>31064688.937474929</v>
      </c>
      <c r="K12" s="24">
        <v>29262</v>
      </c>
      <c r="L12" s="24">
        <f t="shared" si="2"/>
        <v>1061.6051171305764</v>
      </c>
      <c r="M12" s="24">
        <v>100</v>
      </c>
    </row>
    <row r="13" spans="1:13" x14ac:dyDescent="0.25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2"/>
        <v>1013.3135288699945</v>
      </c>
      <c r="M13" s="24">
        <v>100</v>
      </c>
    </row>
    <row r="14" spans="1:13" x14ac:dyDescent="0.25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482559.26274949865</v>
      </c>
      <c r="J14" s="24">
        <f t="shared" si="0"/>
        <v>24127963.137474932</v>
      </c>
      <c r="K14" s="24">
        <v>29262</v>
      </c>
      <c r="L14" s="17">
        <f t="shared" si="2"/>
        <v>824.54935197440136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7" sqref="F17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25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25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377226.75237167848</v>
      </c>
      <c r="J2" s="24">
        <f t="shared" ref="J2:J14" si="0">I2*50</f>
        <v>18861337.618583925</v>
      </c>
      <c r="K2" s="24">
        <v>29262</v>
      </c>
      <c r="L2" s="24">
        <f>J2/K2</f>
        <v>644.56761733934536</v>
      </c>
      <c r="M2" s="24">
        <v>25</v>
      </c>
    </row>
    <row r="3" spans="1:13" x14ac:dyDescent="0.25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6" si="1">J3/K3</f>
        <v>282.3953606741602</v>
      </c>
      <c r="M3" s="24">
        <v>50</v>
      </c>
    </row>
    <row r="4" spans="1:13" x14ac:dyDescent="0.25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0</v>
      </c>
      <c r="H4" s="24">
        <f>'FTTB WR-WDMPON 50 Mbps'!D$18</f>
        <v>75000</v>
      </c>
      <c r="I4" s="24">
        <f>SUM(Table717218[[#This Row],[Duct Cost]:[Building E&amp;I Costs]])</f>
        <v>134887.46299989594</v>
      </c>
      <c r="J4" s="24">
        <f t="shared" si="0"/>
        <v>6744373.1499947971</v>
      </c>
      <c r="K4" s="24">
        <v>29262</v>
      </c>
      <c r="L4" s="24">
        <f t="shared" si="1"/>
        <v>230.48230298663103</v>
      </c>
      <c r="M4" s="24">
        <v>50</v>
      </c>
    </row>
    <row r="5" spans="1:13" x14ac:dyDescent="0.25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3900</v>
      </c>
      <c r="G5" s="24">
        <f>'FTTH WR-WDMPON 100 Mbps'!C$18</f>
        <v>130</v>
      </c>
      <c r="H5" s="24">
        <f>'FTTH WR-WDMPON 100 Mbps'!D$18</f>
        <v>210000</v>
      </c>
      <c r="I5" s="24">
        <f>SUM(Table717218[[#This Row],[Duct Cost]:[Building E&amp;I Costs]])</f>
        <v>270017.46299989591</v>
      </c>
      <c r="J5" s="24">
        <f t="shared" si="0"/>
        <v>13500873.149994796</v>
      </c>
      <c r="K5" s="24">
        <v>29262</v>
      </c>
      <c r="L5" s="24">
        <f t="shared" si="1"/>
        <v>461.37902911608217</v>
      </c>
      <c r="M5" s="24">
        <v>100</v>
      </c>
    </row>
    <row r="6" spans="1:13" x14ac:dyDescent="0.25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210000</v>
      </c>
      <c r="I6" s="24">
        <f>SUM(Table717218[[#This Row],[Duct Cost]:[Building E&amp;I Costs]])</f>
        <v>304487.06088094553</v>
      </c>
      <c r="J6" s="24">
        <f t="shared" si="0"/>
        <v>15224353.044047277</v>
      </c>
      <c r="K6" s="24">
        <v>29262</v>
      </c>
      <c r="L6" s="24">
        <f t="shared" si="1"/>
        <v>520.27725528150086</v>
      </c>
      <c r="M6" s="24">
        <v>100</v>
      </c>
    </row>
    <row r="7" spans="1:13" x14ac:dyDescent="0.25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2700</v>
      </c>
      <c r="G7" s="24">
        <f>FTTCab_GPON_100!C$19</f>
        <v>74640</v>
      </c>
      <c r="H7" s="24">
        <f>FTTCab_GPON_100!D$19</f>
        <v>0</v>
      </c>
      <c r="I7" s="24">
        <f>SUM(Table717218[[#This Row],[Duct Cost]:[Building E&amp;I Costs]])</f>
        <v>166446.75237167845</v>
      </c>
      <c r="J7" s="24">
        <f t="shared" si="0"/>
        <v>8322337.6185839223</v>
      </c>
      <c r="K7" s="24">
        <v>29262</v>
      </c>
      <c r="L7" s="24">
        <f>J7/K7</f>
        <v>284.40768295345231</v>
      </c>
      <c r="M7" s="24">
        <v>100</v>
      </c>
    </row>
    <row r="8" spans="1:13" x14ac:dyDescent="0.25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>J8/K8</f>
        <v>289.64879516257525</v>
      </c>
      <c r="M8" s="24">
        <v>100</v>
      </c>
    </row>
    <row r="9" spans="1:13" x14ac:dyDescent="0.25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31200</v>
      </c>
      <c r="G9" s="24">
        <f>FTTB_WRWDM_100!C$17</f>
        <v>1300</v>
      </c>
      <c r="H9" s="24">
        <f>FTTB_WRWDM_100!D$17</f>
        <v>75000</v>
      </c>
      <c r="I9" s="24">
        <f>SUM(Table717218[[#This Row],[Duct Cost]:[Building E&amp;I Costs]])</f>
        <v>163487.46299989594</v>
      </c>
      <c r="J9" s="24">
        <f t="shared" si="0"/>
        <v>8174373.1499947971</v>
      </c>
      <c r="K9" s="24">
        <v>29262</v>
      </c>
      <c r="L9" s="24">
        <f>J9/K9</f>
        <v>279.35114312059318</v>
      </c>
      <c r="M9" s="24">
        <v>100</v>
      </c>
    </row>
    <row r="10" spans="1:13" x14ac:dyDescent="0.25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ref="L10:L14" si="2">J10/K10</f>
        <v>402.93697210310205</v>
      </c>
      <c r="M10" s="24">
        <v>25</v>
      </c>
    </row>
    <row r="11" spans="1:13" x14ac:dyDescent="0.25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2"/>
        <v>288.82839127037425</v>
      </c>
      <c r="M11" s="24">
        <v>50</v>
      </c>
    </row>
    <row r="12" spans="1:13" x14ac:dyDescent="0.25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210000</v>
      </c>
      <c r="I12" s="24">
        <f>SUM(Table717218[[#This Row],[Duct Cost]:[Building E&amp;I Costs]])</f>
        <v>298246.6077070738</v>
      </c>
      <c r="J12" s="24">
        <f t="shared" si="0"/>
        <v>14912330.38535369</v>
      </c>
      <c r="K12" s="24">
        <v>29262</v>
      </c>
      <c r="L12" s="24">
        <f t="shared" si="2"/>
        <v>509.61418855012266</v>
      </c>
      <c r="M12" s="24">
        <v>100</v>
      </c>
    </row>
    <row r="13" spans="1:13" x14ac:dyDescent="0.25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2"/>
        <v>428.82378776847014</v>
      </c>
      <c r="M13" s="24">
        <v>100</v>
      </c>
    </row>
    <row r="14" spans="1:13" x14ac:dyDescent="0.25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159383.92770707383</v>
      </c>
      <c r="J14" s="24">
        <f t="shared" si="0"/>
        <v>7969196.3853536919</v>
      </c>
      <c r="K14" s="24">
        <v>29262</v>
      </c>
      <c r="L14" s="17">
        <f t="shared" si="2"/>
        <v>272.33942947692202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6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C10" sqref="C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x14ac:dyDescent="0.2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x14ac:dyDescent="0.25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x14ac:dyDescent="0.2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25">
      <c r="A11" s="6"/>
      <c r="B11" s="6"/>
      <c r="C11" s="4"/>
      <c r="D11" s="4"/>
      <c r="E11" s="4"/>
      <c r="F11" s="4"/>
      <c r="G11" s="4"/>
      <c r="H11" s="11"/>
    </row>
    <row r="17" spans="1:10" x14ac:dyDescent="0.25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ht="15.75" thickBot="1" x14ac:dyDescent="0.3">
      <c r="A18" t="s">
        <v>85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6.5" thickTop="1" thickBot="1" x14ac:dyDescent="0.3">
      <c r="A19" t="s">
        <v>86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6.5" thickTop="1" thickBot="1" x14ac:dyDescent="0.3">
      <c r="A20" t="s">
        <v>110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6.5" thickTop="1" thickBot="1" x14ac:dyDescent="0.3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ht="15.75" thickTop="1" x14ac:dyDescent="0.25"/>
    <row r="32" spans="1:10" x14ac:dyDescent="0.25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36" sqref="F36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7560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</f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x14ac:dyDescent="0.25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2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25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25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.75" thickBot="1" x14ac:dyDescent="0.3">
      <c r="A17" t="s">
        <v>85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6.5" thickTop="1" thickBot="1" x14ac:dyDescent="0.3">
      <c r="A18" t="s">
        <v>86</v>
      </c>
      <c r="B18">
        <f>SUM(I2:I5)</f>
        <v>11184</v>
      </c>
      <c r="C18">
        <f>SUM(I6:I8)</f>
        <v>8284</v>
      </c>
      <c r="D18" s="21">
        <f>SUM(I9:I10)</f>
        <v>70000</v>
      </c>
      <c r="E18" s="5">
        <f>SUM(B18:D18)</f>
        <v>89468</v>
      </c>
      <c r="F18" s="5"/>
    </row>
    <row r="19" spans="1:7" ht="16.5" thickTop="1" thickBot="1" x14ac:dyDescent="0.3">
      <c r="A19" t="s">
        <v>110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6.5" thickTop="1" thickBot="1" x14ac:dyDescent="0.3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ht="15.75" thickTop="1" x14ac:dyDescent="0.2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10" sqref="G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1" customWidth="1"/>
    <col min="5" max="6" width="21.28515625" style="24" customWidth="1"/>
    <col min="7" max="7" width="18" customWidth="1"/>
    <col min="8" max="8" width="17.85546875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2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0</v>
      </c>
    </row>
    <row r="9" spans="1:11" x14ac:dyDescent="0.2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25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9300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25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2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.75" thickBot="1" x14ac:dyDescent="0.3">
      <c r="A15" t="s">
        <v>85</v>
      </c>
      <c r="B15" s="9">
        <f>SUM(H2:H7)</f>
        <v>5299.166666666667</v>
      </c>
      <c r="C15" s="9">
        <f>SUM(H8:H8)</f>
        <v>1560</v>
      </c>
      <c r="D15" s="10">
        <f>SUM(H9:H11)</f>
        <v>59300</v>
      </c>
      <c r="E15" s="5">
        <f>SUM(B15:D15)</f>
        <v>66159.166666666672</v>
      </c>
      <c r="F15" s="5"/>
      <c r="G15" s="10"/>
    </row>
    <row r="16" spans="1:11" ht="16.5" thickTop="1" thickBot="1" x14ac:dyDescent="0.3">
      <c r="A16" t="s">
        <v>86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6.5" thickTop="1" thickBot="1" x14ac:dyDescent="0.3">
      <c r="A17" t="s">
        <v>110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6.5" thickTop="1" thickBot="1" x14ac:dyDescent="0.3">
      <c r="A18" t="s">
        <v>6</v>
      </c>
      <c r="B18">
        <f>SUM(K2:K7)</f>
        <v>3900</v>
      </c>
      <c r="C18">
        <f>K8</f>
        <v>0</v>
      </c>
      <c r="D18" s="21">
        <f>SUM(K9:K10)</f>
        <v>75000</v>
      </c>
      <c r="E18" s="5">
        <f t="shared" si="0"/>
        <v>78900</v>
      </c>
    </row>
    <row r="19" spans="1:6" ht="15.75" thickTop="1" x14ac:dyDescent="0.2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B2" sqref="B2:B10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4" customWidth="1"/>
    <col min="10" max="10" width="29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Table2456[[#This Row],[Cost per Unit (OASE)]]*Table2456[[#This Row],[Quantity]]</f>
        <v>48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Table2456[[#This Row],[Cost per Unit (OASE)]]*Table2456[[#This Row],[Quantity]]</f>
        <v>1105</v>
      </c>
      <c r="I3" s="12">
        <f>Table2456[[#This Row],[Cost per Unit(Rokkas)]]*Table2456[[#This Row],[Quantity]]</f>
        <v>13000</v>
      </c>
      <c r="J3" s="12">
        <f>Table2456[[#This Row],[Cost per Unit (BSG)]]*Table2456[[#This Row],[Quantity]]</f>
        <v>22750</v>
      </c>
      <c r="K3" s="35">
        <f>Table2456[[#This Row],[Cost per Unit(Phillipson)]]*Table2456[[#This Row],[Quantity]]</f>
        <v>3900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Table2456[[#This Row],[Cost per Unit (OASE)]]*Table2456[[#This Row],[Quantity]]</f>
        <v>4095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Table2456[[#This Row],[Cost per Unit (OASE)]]*Table2456[[#This Row],[Quantity]]</f>
        <v>149.5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Table2456[[#This Row],[Cost per Unit (OASE)]]*Table2456[[#This Row],[Quantity]]</f>
        <v>1560</v>
      </c>
      <c r="I8" s="12">
        <f>Table2456[[#This Row],[Cost per Unit(Rokkas)]]*Table2456[[#This Row],[Quantity]]</f>
        <v>260</v>
      </c>
      <c r="J8" s="12">
        <f>Table2456[[#This Row],[Cost per Unit (BSG)]]*Table2456[[#This Row],[Quantity]]</f>
        <v>130</v>
      </c>
      <c r="K8" s="35">
        <f>Table2456[[#This Row],[Cost per Unit(Phillipson)]]*Table2456[[#This Row],[Quantity]]</f>
        <v>130</v>
      </c>
    </row>
    <row r="9" spans="1:11" x14ac:dyDescent="0.25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4877</v>
      </c>
      <c r="H9" s="4">
        <f>Table2456[[#This Row],[Cost per Unit (OASE)]]*Table2456[[#This Row],[Quantity]]</f>
        <v>8778.6</v>
      </c>
      <c r="I9" s="12">
        <f>Table2456[[#This Row],[Cost per Unit(Rokkas)]]*Table2456[[#This Row],[Quantity]]</f>
        <v>19508</v>
      </c>
      <c r="J9" s="12">
        <f>Table2456[[#This Row],[Cost per Unit (BSG)]]*Table2456[[#This Row],[Quantity]]</f>
        <v>9754</v>
      </c>
      <c r="K9" s="35">
        <f>Table2456[[#This Row],[Cost per Unit(Phillipson)]]*Table2456[[#This Row],[Quantity]]</f>
        <v>0</v>
      </c>
    </row>
    <row r="10" spans="1:11" x14ac:dyDescent="0.25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30000</v>
      </c>
      <c r="H10" s="4">
        <f>Table2456[[#This Row],[Cost per Unit (OASE)]]*Table2456[[#This Row],[Quantity]]</f>
        <v>122999.99999999999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141000</v>
      </c>
      <c r="K10" s="35">
        <f>Table2456[[#This Row],[Cost per Unit(Phillipson)]]*Table2456[[#This Row],[Quantity]]</f>
        <v>210000</v>
      </c>
    </row>
    <row r="11" spans="1:11" x14ac:dyDescent="0.25">
      <c r="A11" s="6"/>
      <c r="B11" s="6"/>
      <c r="C11" s="4"/>
      <c r="D11" s="4"/>
      <c r="E11" s="8"/>
      <c r="F11" s="36"/>
    </row>
    <row r="14" spans="1:11" x14ac:dyDescent="0.2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.75" thickBot="1" x14ac:dyDescent="0.3">
      <c r="A15" t="s">
        <v>85</v>
      </c>
      <c r="B15" s="9">
        <f>SUM(H2:H7)</f>
        <v>5866.833333333333</v>
      </c>
      <c r="C15" s="9">
        <f>SUM(H8:H8)</f>
        <v>1560</v>
      </c>
      <c r="D15" s="10">
        <f>SUM(H9:H10)</f>
        <v>131778.59999999998</v>
      </c>
      <c r="E15" s="5">
        <f>SUM(B15:D15)</f>
        <v>139205.43333333332</v>
      </c>
      <c r="F15" s="5"/>
      <c r="J15" s="28"/>
    </row>
    <row r="16" spans="1:11" ht="16.5" thickTop="1" thickBot="1" x14ac:dyDescent="0.3">
      <c r="A16" t="s">
        <v>89</v>
      </c>
      <c r="B16">
        <f>SUM(I2:I7)</f>
        <v>16000</v>
      </c>
      <c r="C16">
        <f>SUM(I8)</f>
        <v>260</v>
      </c>
      <c r="D16">
        <f>SUM(I9:I10)</f>
        <v>229508</v>
      </c>
      <c r="E16" s="5">
        <f>SUM(B16:D16)</f>
        <v>245768</v>
      </c>
      <c r="F16" s="5"/>
      <c r="J16" s="29"/>
    </row>
    <row r="17" spans="1:10" ht="16.5" thickTop="1" thickBot="1" x14ac:dyDescent="0.3">
      <c r="A17" t="s">
        <v>110</v>
      </c>
      <c r="B17">
        <f>SUM(J2:J7)</f>
        <v>22950</v>
      </c>
      <c r="C17">
        <f>SUM(J8)</f>
        <v>130</v>
      </c>
      <c r="D17">
        <f>SUM(J9:J10)</f>
        <v>150754</v>
      </c>
      <c r="E17" s="5">
        <f>SUM(B17:D17)</f>
        <v>173834</v>
      </c>
      <c r="F17" s="5"/>
      <c r="J17" s="28"/>
    </row>
    <row r="18" spans="1:10" ht="16.5" thickTop="1" thickBot="1" x14ac:dyDescent="0.3">
      <c r="A18" t="s">
        <v>6</v>
      </c>
      <c r="B18">
        <f>SUM(K2:K7)</f>
        <v>3900</v>
      </c>
      <c r="C18" s="24">
        <f>SUM(K8)</f>
        <v>130</v>
      </c>
      <c r="D18" s="24">
        <f>SUM(K10:K11)</f>
        <v>210000</v>
      </c>
      <c r="E18" s="5">
        <f>SUM(B18:D18)</f>
        <v>214030</v>
      </c>
      <c r="J18" s="29"/>
    </row>
    <row r="19" spans="1:10" ht="15.75" thickTop="1" x14ac:dyDescent="0.25">
      <c r="J19" s="28"/>
    </row>
    <row r="20" spans="1:10" x14ac:dyDescent="0.25">
      <c r="J20" s="29"/>
    </row>
    <row r="21" spans="1:10" x14ac:dyDescent="0.25">
      <c r="J21" s="28"/>
    </row>
    <row r="22" spans="1:10" x14ac:dyDescent="0.25">
      <c r="J22" s="29"/>
    </row>
    <row r="23" spans="1:10" x14ac:dyDescent="0.25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B2" sqref="B2:B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4" customWidth="1"/>
    <col min="8" max="8" width="18.85546875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3744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3744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x14ac:dyDescent="0.25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25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30000</v>
      </c>
      <c r="H10" s="4">
        <f>Table247[[#This Row],[Cost per Unit (OASE)]]*Table247[[#This Row],[Quantity]]</f>
        <v>114000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141000</v>
      </c>
      <c r="K10" s="35">
        <f>Table247[[#This Row],[Cost per Unit(Phillipson)]]*Table247[[#This Row],[Quantity]]</f>
        <v>210000</v>
      </c>
    </row>
    <row r="11" spans="1:11" x14ac:dyDescent="0.25">
      <c r="A11" s="6"/>
      <c r="B11" s="6"/>
      <c r="C11" s="4"/>
      <c r="D11" s="4"/>
      <c r="E11" s="8"/>
      <c r="F11" s="36"/>
    </row>
    <row r="16" spans="1:11" x14ac:dyDescent="0.25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ht="15.75" thickBot="1" x14ac:dyDescent="0.3">
      <c r="A17" t="s">
        <v>85</v>
      </c>
      <c r="B17" s="9">
        <f>SUM(H2:H5)</f>
        <v>12618.666666666666</v>
      </c>
      <c r="C17" s="9">
        <f>SUM(H6:H8)</f>
        <v>6501.6</v>
      </c>
      <c r="D17" s="10">
        <f>SUM(H9:H10)</f>
        <v>122778.6</v>
      </c>
      <c r="E17" s="5">
        <f>SUM(B17:D17)</f>
        <v>141898.86666666667</v>
      </c>
      <c r="F17" s="5"/>
    </row>
    <row r="18" spans="1:6" ht="16.5" thickTop="1" thickBot="1" x14ac:dyDescent="0.3">
      <c r="A18" t="s">
        <v>86</v>
      </c>
      <c r="B18">
        <f>SUM(I2:I5)</f>
        <v>19368</v>
      </c>
      <c r="C18">
        <f>SUM(I6:I8)</f>
        <v>16568</v>
      </c>
      <c r="D18">
        <f>SUM(I9:I10)</f>
        <v>180000</v>
      </c>
      <c r="E18" s="5">
        <f>SUM(B18:D18)</f>
        <v>215936</v>
      </c>
      <c r="F18" s="5"/>
    </row>
    <row r="19" spans="1:6" ht="16.5" thickTop="1" thickBot="1" x14ac:dyDescent="0.3">
      <c r="A19" t="s">
        <v>110</v>
      </c>
      <c r="B19">
        <f>SUM(J2:J5)</f>
        <v>93800</v>
      </c>
      <c r="C19">
        <f>SUM(J6:J8)</f>
        <v>64840</v>
      </c>
      <c r="D19">
        <f>SUM(J9:J10)</f>
        <v>150754</v>
      </c>
      <c r="E19" s="5">
        <f>SUM(B19:D19)</f>
        <v>309394</v>
      </c>
      <c r="F19" s="5"/>
    </row>
    <row r="20" spans="1:6" ht="16.5" thickTop="1" thickBot="1" x14ac:dyDescent="0.3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210000</v>
      </c>
      <c r="E20" s="5">
        <f>SUM(B20:D20)</f>
        <v>217188</v>
      </c>
    </row>
    <row r="21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G2" sqref="G2:G10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4" customWidth="1"/>
    <col min="7" max="7" width="16" customWidth="1"/>
    <col min="8" max="8" width="17.42578125" customWidth="1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54</v>
      </c>
      <c r="H2" s="4">
        <f>Table29[[#This Row],[Cost per Unit (OASE)]]*Table29[[#This Row],[Quantity]]</f>
        <v>4320</v>
      </c>
      <c r="I2" s="12">
        <f t="shared" ref="I2:I11" si="0">D2*G2</f>
        <v>3780</v>
      </c>
      <c r="J2" s="12">
        <f>Table29[[#This Row],[Cost per Unit(BSG)]]*Table29[[#This Row],[Quantity]]</f>
        <v>15552</v>
      </c>
      <c r="K2" s="35">
        <f>Table29[[#This Row],[Cost per Unit (Phillipson)]]*Table29[[#This Row],[Quantity]]</f>
        <v>2700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156</f>
        <v>156</v>
      </c>
      <c r="H3" s="4">
        <f>Table29[[#This Row],[Cost per Unit (OASE)]]*Table29[[#This Row],[Quantity]]</f>
        <v>1872</v>
      </c>
      <c r="I3" s="12">
        <f t="shared" si="0"/>
        <v>624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Table29[[#This Row],[Cost per Unit (OASE)]]*Table29[[#This Row],[Quantity]]</f>
        <v>561.6</v>
      </c>
      <c r="I6" s="12">
        <f t="shared" si="0"/>
        <v>3120</v>
      </c>
      <c r="J6" s="12">
        <f>Table29[[#This Row],[Cost per Unit(BSG)]]*Table29[[#This Row],[Quantity]]</f>
        <v>436.79999999999995</v>
      </c>
      <c r="K6" s="35">
        <f>Table29[[#This Row],[Cost per Unit (Phillipson)]]*Table29[[#This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Table29[[#This Row],[Cost per Unit (OASE)]]*Table29[[#This Row],[Quantity]]</f>
        <v>3744</v>
      </c>
      <c r="I7" s="12">
        <f t="shared" si="0"/>
        <v>1248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x14ac:dyDescent="0.25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1244</v>
      </c>
      <c r="H9" s="4">
        <f>Table29[[#This Row],[Cost per Unit (OASE)]]*Table29[[#This Row],[Quantity]]</f>
        <v>1492.8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0</v>
      </c>
    </row>
    <row r="10" spans="1:11" x14ac:dyDescent="0.25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184112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25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25">
      <c r="A12" s="6"/>
      <c r="B12" s="6"/>
      <c r="C12" s="4"/>
      <c r="D12" s="4"/>
      <c r="E12" s="4"/>
      <c r="F12" s="12"/>
    </row>
    <row r="13" spans="1:11" x14ac:dyDescent="0.25">
      <c r="A13" s="6"/>
      <c r="B13" s="6"/>
      <c r="C13" s="4"/>
      <c r="D13" s="4"/>
      <c r="E13" s="4"/>
      <c r="F13" s="12"/>
    </row>
    <row r="15" spans="1:11" x14ac:dyDescent="0.25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.75" thickBot="1" x14ac:dyDescent="0.3">
      <c r="A16" t="s">
        <v>85</v>
      </c>
      <c r="B16" s="20">
        <f>SUM(H1:H5)</f>
        <v>6426.666666666667</v>
      </c>
      <c r="C16" s="20">
        <f>SUM(H5:H10)</f>
        <v>195086.4</v>
      </c>
      <c r="D16" s="10">
        <f>SUM(H11)</f>
        <v>0</v>
      </c>
      <c r="E16" s="5">
        <f>SUM(B16:D16)</f>
        <v>201513.06666666665</v>
      </c>
      <c r="F16" s="5"/>
    </row>
    <row r="17" spans="1:6" ht="16.5" thickTop="1" thickBot="1" x14ac:dyDescent="0.3">
      <c r="A17" t="s">
        <v>86</v>
      </c>
      <c r="B17">
        <f>SUM(I2:I5)</f>
        <v>7404</v>
      </c>
      <c r="C17">
        <f>SUM(I6:I10)</f>
        <v>399960</v>
      </c>
      <c r="D17">
        <v>0</v>
      </c>
      <c r="E17" s="5">
        <f>SUM(B17:D17)</f>
        <v>407364</v>
      </c>
      <c r="F17" s="5"/>
    </row>
    <row r="18" spans="1:6" ht="16.5" thickTop="1" thickBot="1" x14ac:dyDescent="0.3">
      <c r="A18" t="s">
        <v>110</v>
      </c>
      <c r="B18">
        <f>SUM(J2:J5)</f>
        <v>15652</v>
      </c>
      <c r="C18">
        <f>SUM(J6:J10)</f>
        <v>465444</v>
      </c>
      <c r="D18">
        <v>0</v>
      </c>
      <c r="E18" s="5">
        <f>SUM(B18:D18)</f>
        <v>481096</v>
      </c>
      <c r="F18" s="5"/>
    </row>
    <row r="19" spans="1:6" ht="16.5" thickTop="1" thickBot="1" x14ac:dyDescent="0.3">
      <c r="A19" t="s">
        <v>6</v>
      </c>
      <c r="B19" s="24">
        <f>SUM(K2:K5)</f>
        <v>2700</v>
      </c>
      <c r="C19" s="24">
        <f>SUM(K6:K10)</f>
        <v>74640</v>
      </c>
      <c r="D19" s="24">
        <v>0</v>
      </c>
      <c r="E19" s="5">
        <f>SUM(B19:D19)</f>
        <v>77340</v>
      </c>
    </row>
    <row r="20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40625" defaultRowHeight="15" x14ac:dyDescent="0.25"/>
  <cols>
    <col min="1" max="1" width="29.28515625" style="13" customWidth="1"/>
    <col min="2" max="2" width="38" style="13" customWidth="1"/>
    <col min="3" max="3" width="21.28515625" style="13" customWidth="1"/>
    <col min="4" max="4" width="18" style="13" customWidth="1"/>
    <col min="5" max="5" width="17.85546875" style="13" customWidth="1"/>
    <col min="6" max="6" width="17.85546875" style="24" customWidth="1"/>
    <col min="7" max="7" width="24.42578125" style="13" customWidth="1"/>
    <col min="8" max="8" width="25.5703125" style="13" customWidth="1"/>
    <col min="9" max="16384" width="9.140625" style="13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3744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25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x14ac:dyDescent="0.25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x14ac:dyDescent="0.25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11217.099999999999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25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.75" thickBot="1" x14ac:dyDescent="0.3">
      <c r="A16" s="13" t="s">
        <v>85</v>
      </c>
      <c r="B16" s="14">
        <f>SUM(H2:H5)</f>
        <v>12818.666666666666</v>
      </c>
      <c r="C16" s="14">
        <f>SUM(H6:H8)</f>
        <v>2002.8</v>
      </c>
      <c r="D16" s="10">
        <f>SUM(H9:H10)</f>
        <v>59987.1</v>
      </c>
      <c r="E16" s="5">
        <f>SUM(B16:D16)</f>
        <v>74808.566666666666</v>
      </c>
      <c r="F16" s="5"/>
    </row>
    <row r="17" spans="1:6" ht="16.5" thickTop="1" thickBot="1" x14ac:dyDescent="0.3">
      <c r="A17" s="13" t="s">
        <v>86</v>
      </c>
      <c r="B17" s="13">
        <f>SUM(I2:I5)</f>
        <v>19368</v>
      </c>
      <c r="C17" s="13">
        <f>SUM(I6:I8)</f>
        <v>8284</v>
      </c>
      <c r="D17" s="13">
        <f>SUM(I9:I10)</f>
        <v>68278</v>
      </c>
      <c r="E17" s="5">
        <f>SUM(B17:D17)</f>
        <v>95930</v>
      </c>
      <c r="F17" s="5"/>
    </row>
    <row r="18" spans="1:6" ht="16.5" thickTop="1" thickBot="1" x14ac:dyDescent="0.3">
      <c r="A18" s="13" t="s">
        <v>110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6.5" thickTop="1" thickBot="1" x14ac:dyDescent="0.3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2018-06-18T12:55:08Z</dcterms:created>
  <dcterms:modified xsi:type="dcterms:W3CDTF">2018-06-28T15:27:23Z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