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9365" windowHeight="9225" tabRatio="961" firstSheet="8" activeTab="1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45621"/>
</workbook>
</file>

<file path=xl/calcChain.xml><?xml version="1.0" encoding="utf-8"?>
<calcChain xmlns="http://schemas.openxmlformats.org/spreadsheetml/2006/main">
  <c r="F10" i="6" l="1"/>
  <c r="E10" i="6"/>
  <c r="D10" i="6"/>
  <c r="C10" i="6"/>
  <c r="F8" i="13" l="1"/>
  <c r="D8" i="13"/>
  <c r="E8" i="13"/>
  <c r="C8" i="13"/>
  <c r="G2" i="5" l="1"/>
  <c r="G3" i="5"/>
  <c r="G4" i="5"/>
  <c r="G5" i="5"/>
  <c r="G8" i="5"/>
  <c r="C7" i="5"/>
  <c r="J4" i="7" l="1"/>
  <c r="J5" i="7"/>
  <c r="J8" i="7"/>
  <c r="J9" i="7"/>
  <c r="J10" i="7"/>
  <c r="J11" i="7"/>
  <c r="J12" i="7"/>
  <c r="J14" i="7"/>
  <c r="J15" i="7"/>
  <c r="J3" i="7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2" i="16"/>
  <c r="G87" i="16"/>
  <c r="G85" i="16"/>
  <c r="G7" i="14" l="1"/>
  <c r="G9" i="14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E9" i="9"/>
  <c r="C9" i="9"/>
  <c r="C9" i="3"/>
  <c r="F10" i="5"/>
  <c r="D10" i="5"/>
  <c r="C9" i="2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G51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I4" i="19" s="1"/>
  <c r="L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60" i="19" l="1"/>
  <c r="I14" i="19"/>
  <c r="L14" i="19" s="1"/>
  <c r="D56" i="19"/>
  <c r="I10" i="19"/>
  <c r="L10" i="19" s="1"/>
  <c r="D52" i="19"/>
  <c r="I6" i="19"/>
  <c r="L6" i="19" s="1"/>
  <c r="D59" i="19"/>
  <c r="I13" i="19"/>
  <c r="L13" i="19" s="1"/>
  <c r="D51" i="19"/>
  <c r="D58" i="19"/>
  <c r="D54" i="19"/>
  <c r="I8" i="19"/>
  <c r="L8" i="19" s="1"/>
  <c r="D48" i="19"/>
  <c r="I2" i="19"/>
  <c r="L2" i="19" s="1"/>
  <c r="D57" i="19"/>
  <c r="I11" i="19"/>
  <c r="L11" i="19" s="1"/>
  <c r="D53" i="19"/>
  <c r="D49" i="19"/>
  <c r="I3" i="19"/>
  <c r="L3" i="19" s="1"/>
  <c r="G58" i="19"/>
  <c r="D19" i="9"/>
  <c r="H8" i="19" s="1"/>
  <c r="B18" i="5"/>
  <c r="F5" i="19" s="1"/>
  <c r="F51" i="19" s="1"/>
  <c r="B18" i="15"/>
  <c r="F14" i="19" s="1"/>
  <c r="F60" i="19" s="1"/>
  <c r="C18" i="15"/>
  <c r="G14" i="19" s="1"/>
  <c r="G60" i="19" s="1"/>
  <c r="D18" i="15"/>
  <c r="H14" i="19" s="1"/>
  <c r="D18" i="13"/>
  <c r="H12" i="19" s="1"/>
  <c r="I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F13" i="19"/>
  <c r="F59" i="19" s="1"/>
  <c r="F11" i="19"/>
  <c r="F10" i="19"/>
  <c r="F56" i="19" s="1"/>
  <c r="F12" i="19"/>
  <c r="F58" i="19" s="1"/>
  <c r="E18" i="13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5" l="1"/>
  <c r="I5" i="19"/>
  <c r="L5" i="19" s="1"/>
  <c r="J12" i="19"/>
  <c r="L12" i="19"/>
  <c r="J11" i="19"/>
  <c r="F57" i="19"/>
  <c r="J4" i="19"/>
  <c r="F50" i="19"/>
  <c r="E18" i="4"/>
  <c r="E18" i="15"/>
  <c r="J14" i="19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I58" i="17" s="1"/>
  <c r="B17" i="13"/>
  <c r="F12" i="17" s="1"/>
  <c r="H56" i="17" s="1"/>
  <c r="D17" i="13"/>
  <c r="H12" i="17" s="1"/>
  <c r="C17" i="13"/>
  <c r="G12" i="17" s="1"/>
  <c r="I56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J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J5" i="19" l="1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B18" i="9"/>
  <c r="F8" i="17" s="1"/>
  <c r="H52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6" i="9"/>
  <c r="H6" i="3"/>
  <c r="C17" i="3" s="1"/>
  <c r="E4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H50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47" i="17" s="1"/>
  <c r="H2" i="9"/>
  <c r="K2" i="9"/>
  <c r="I9" i="11"/>
  <c r="C17" i="11" s="1"/>
  <c r="G10" i="16" s="1"/>
  <c r="I64" i="16" s="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5" i="17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J11" i="17" l="1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E61" i="7" s="1"/>
  <c r="I66" i="16"/>
  <c r="I65" i="16"/>
  <c r="C16" i="8"/>
  <c r="E8" i="7" s="1"/>
  <c r="F62" i="7" s="1"/>
  <c r="C18" i="9"/>
  <c r="G8" i="17" s="1"/>
  <c r="C16" i="9"/>
  <c r="G10" i="7"/>
  <c r="H10" i="7" s="1"/>
  <c r="E64" i="7"/>
  <c r="C16" i="14"/>
  <c r="E14" i="7" s="1"/>
  <c r="F68" i="7" s="1"/>
  <c r="B20" i="6"/>
  <c r="G4" i="7"/>
  <c r="H4" i="7" s="1"/>
  <c r="E58" i="7"/>
  <c r="I2" i="16"/>
  <c r="B16" i="9"/>
  <c r="C20" i="2"/>
  <c r="G2" i="17" s="1"/>
  <c r="I46" i="17" s="1"/>
  <c r="B19" i="9"/>
  <c r="F8" i="19" s="1"/>
  <c r="F54" i="19" s="1"/>
  <c r="C19" i="9"/>
  <c r="G8" i="19" s="1"/>
  <c r="G54" i="19" s="1"/>
  <c r="I5" i="16"/>
  <c r="I14" i="16"/>
  <c r="C17" i="14"/>
  <c r="G13" i="16" s="1"/>
  <c r="I10" i="16"/>
  <c r="G10" i="17"/>
  <c r="E18" i="11"/>
  <c r="E18" i="14"/>
  <c r="G13" i="17"/>
  <c r="F2" i="17"/>
  <c r="H46" i="17" s="1"/>
  <c r="E20" i="2"/>
  <c r="C19" i="8"/>
  <c r="G7" i="19" s="1"/>
  <c r="G6" i="7"/>
  <c r="F2" i="19"/>
  <c r="F48" i="19" s="1"/>
  <c r="F6" i="19"/>
  <c r="F52" i="19" s="1"/>
  <c r="C19" i="11"/>
  <c r="F7" i="19"/>
  <c r="F53" i="19" s="1"/>
  <c r="C18" i="8"/>
  <c r="G7" i="17" s="1"/>
  <c r="C21" i="2"/>
  <c r="G2" i="19" s="1"/>
  <c r="G48" i="19" s="1"/>
  <c r="E17" i="10"/>
  <c r="F9" i="19"/>
  <c r="I9" i="19" s="1"/>
  <c r="L9" i="19" s="1"/>
  <c r="C20" i="6"/>
  <c r="G6" i="19" s="1"/>
  <c r="G52" i="19" s="1"/>
  <c r="E19" i="3"/>
  <c r="E18" i="8"/>
  <c r="C19" i="14"/>
  <c r="F3" i="19"/>
  <c r="E20" i="3"/>
  <c r="F60" i="7"/>
  <c r="B18" i="6"/>
  <c r="F6" i="16" s="1"/>
  <c r="H60" i="16" s="1"/>
  <c r="I3" i="17"/>
  <c r="E16" i="10"/>
  <c r="F9" i="17"/>
  <c r="C19" i="6"/>
  <c r="E16" i="15"/>
  <c r="G15" i="7"/>
  <c r="H15" i="7" s="1"/>
  <c r="F69" i="7"/>
  <c r="F67" i="7"/>
  <c r="G13" i="7"/>
  <c r="E16" i="13"/>
  <c r="F12" i="16"/>
  <c r="F11" i="16"/>
  <c r="E16" i="12"/>
  <c r="E15" i="12"/>
  <c r="D12" i="7"/>
  <c r="G11" i="7"/>
  <c r="H11" i="7" s="1"/>
  <c r="E15" i="10"/>
  <c r="F9" i="16"/>
  <c r="E16" i="9"/>
  <c r="D9" i="7"/>
  <c r="D8" i="7"/>
  <c r="F61" i="7"/>
  <c r="C18" i="6"/>
  <c r="G6" i="16" s="1"/>
  <c r="G5" i="7"/>
  <c r="H5" i="7" s="1"/>
  <c r="F59" i="7"/>
  <c r="F4" i="16"/>
  <c r="E16" i="4"/>
  <c r="F58" i="7"/>
  <c r="I3" i="16"/>
  <c r="G3" i="7"/>
  <c r="H3" i="7" s="1"/>
  <c r="E17" i="11"/>
  <c r="E15" i="15"/>
  <c r="C17" i="9"/>
  <c r="G8" i="16" s="1"/>
  <c r="C17" i="8"/>
  <c r="E15" i="5"/>
  <c r="E18" i="3"/>
  <c r="E16" i="5"/>
  <c r="E15" i="13"/>
  <c r="E14" i="10"/>
  <c r="E16" i="11"/>
  <c r="E17" i="6"/>
  <c r="E15" i="4"/>
  <c r="E17" i="3"/>
  <c r="E18" i="2"/>
  <c r="H13" i="7" l="1"/>
  <c r="J13" i="7"/>
  <c r="H6" i="7"/>
  <c r="J6" i="7"/>
  <c r="J14" i="16"/>
  <c r="L14" i="16"/>
  <c r="J3" i="16"/>
  <c r="L3" i="16"/>
  <c r="J5" i="16"/>
  <c r="L5" i="16"/>
  <c r="J10" i="16"/>
  <c r="L10" i="16"/>
  <c r="J2" i="16"/>
  <c r="L2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J8" i="19"/>
  <c r="I9" i="16"/>
  <c r="H63" i="16"/>
  <c r="I8" i="16"/>
  <c r="I62" i="16"/>
  <c r="G14" i="7"/>
  <c r="H14" i="7" s="1"/>
  <c r="E18" i="9"/>
  <c r="I6" i="16"/>
  <c r="I60" i="16"/>
  <c r="I11" i="16"/>
  <c r="H65" i="16"/>
  <c r="G9" i="7"/>
  <c r="H9" i="7" s="1"/>
  <c r="E63" i="7"/>
  <c r="G12" i="7"/>
  <c r="H12" i="7" s="1"/>
  <c r="E66" i="7"/>
  <c r="E21" i="2"/>
  <c r="I2" i="17"/>
  <c r="G8" i="7"/>
  <c r="H8" i="7" s="1"/>
  <c r="E62" i="7"/>
  <c r="J6" i="19"/>
  <c r="E20" i="6"/>
  <c r="E19" i="8"/>
  <c r="G6" i="17"/>
  <c r="E19" i="6"/>
  <c r="G13" i="19"/>
  <c r="E19" i="14"/>
  <c r="G10" i="19"/>
  <c r="E19" i="11"/>
  <c r="J2" i="19"/>
  <c r="E17" i="8"/>
  <c r="G7" i="16"/>
  <c r="H7" i="7" l="1"/>
  <c r="J7" i="7"/>
  <c r="J8" i="16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<sst xmlns="http://schemas.openxmlformats.org/spreadsheetml/2006/main" count="651" uniqueCount="136">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</sst>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7264"/>
        <c:axId val="137345216"/>
      </c:barChart>
      <c:catAx>
        <c:axId val="5306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345216"/>
        <c:crosses val="autoZero"/>
        <c:auto val="1"/>
        <c:lblAlgn val="ctr"/>
        <c:lblOffset val="100"/>
        <c:noMultiLvlLbl val="0"/>
      </c:catAx>
      <c:valAx>
        <c:axId val="13734521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67264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68960"/>
        <c:axId val="203646656"/>
        <c:axId val="0"/>
      </c:bar3DChart>
      <c:catAx>
        <c:axId val="1985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646656"/>
        <c:crosses val="autoZero"/>
        <c:auto val="1"/>
        <c:lblAlgn val="ctr"/>
        <c:lblOffset val="100"/>
        <c:noMultiLvlLbl val="0"/>
      </c:catAx>
      <c:valAx>
        <c:axId val="2036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896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4992"/>
        <c:axId val="203648960"/>
      </c:barChart>
      <c:catAx>
        <c:axId val="19880499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203648960"/>
        <c:crosses val="autoZero"/>
        <c:auto val="1"/>
        <c:lblAlgn val="ctr"/>
        <c:lblOffset val="100"/>
        <c:noMultiLvlLbl val="0"/>
      </c:catAx>
      <c:valAx>
        <c:axId val="203648960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9880499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8806016"/>
        <c:axId val="203651264"/>
      </c:lineChart>
      <c:catAx>
        <c:axId val="1988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651264"/>
        <c:crosses val="autoZero"/>
        <c:auto val="1"/>
        <c:lblAlgn val="ctr"/>
        <c:lblOffset val="100"/>
        <c:noMultiLvlLbl val="1"/>
      </c:catAx>
      <c:valAx>
        <c:axId val="20365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11584"/>
        <c:axId val="203874304"/>
      </c:barChart>
      <c:catAx>
        <c:axId val="19981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874304"/>
        <c:crosses val="autoZero"/>
        <c:auto val="1"/>
        <c:lblAlgn val="ctr"/>
        <c:lblOffset val="100"/>
        <c:noMultiLvlLbl val="0"/>
      </c:catAx>
      <c:valAx>
        <c:axId val="20387430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1158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812608"/>
        <c:axId val="203876608"/>
        <c:axId val="0"/>
      </c:bar3DChart>
      <c:catAx>
        <c:axId val="19981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876608"/>
        <c:crosses val="autoZero"/>
        <c:auto val="1"/>
        <c:lblAlgn val="ctr"/>
        <c:lblOffset val="100"/>
        <c:noMultiLvlLbl val="0"/>
      </c:catAx>
      <c:valAx>
        <c:axId val="2038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126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9814656"/>
        <c:axId val="203878912"/>
      </c:lineChart>
      <c:catAx>
        <c:axId val="1998146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3878912"/>
        <c:crosses val="autoZero"/>
        <c:auto val="1"/>
        <c:lblAlgn val="ctr"/>
        <c:lblOffset val="100"/>
        <c:noMultiLvlLbl val="0"/>
      </c:catAx>
      <c:valAx>
        <c:axId val="203878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85376"/>
        <c:axId val="203881216"/>
      </c:barChart>
      <c:catAx>
        <c:axId val="2004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881216"/>
        <c:crosses val="autoZero"/>
        <c:auto val="1"/>
        <c:lblAlgn val="ctr"/>
        <c:lblOffset val="100"/>
        <c:noMultiLvlLbl val="0"/>
      </c:catAx>
      <c:valAx>
        <c:axId val="20388121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Millions of Euros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8537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86400"/>
        <c:axId val="46933120"/>
      </c:barChart>
      <c:catAx>
        <c:axId val="20048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33120"/>
        <c:crosses val="autoZero"/>
        <c:auto val="1"/>
        <c:lblAlgn val="ctr"/>
        <c:lblOffset val="100"/>
        <c:noMultiLvlLbl val="0"/>
      </c:catAx>
      <c:valAx>
        <c:axId val="4693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864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0713728"/>
        <c:axId val="46936000"/>
      </c:lineChart>
      <c:catAx>
        <c:axId val="2007137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46936000"/>
        <c:crosses val="autoZero"/>
        <c:auto val="1"/>
        <c:lblAlgn val="ctr"/>
        <c:lblOffset val="100"/>
        <c:noMultiLvlLbl val="0"/>
      </c:catAx>
      <c:valAx>
        <c:axId val="4693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19104"/>
        <c:axId val="174825472"/>
      </c:barChart>
      <c:catAx>
        <c:axId val="1263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25472"/>
        <c:crosses val="autoZero"/>
        <c:auto val="1"/>
        <c:lblAlgn val="ctr"/>
        <c:lblOffset val="100"/>
        <c:noMultiLvlLbl val="0"/>
      </c:catAx>
      <c:valAx>
        <c:axId val="17482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191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108000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65184"/>
        <c:axId val="104210432"/>
      </c:barChart>
      <c:catAx>
        <c:axId val="1343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10432"/>
        <c:crosses val="autoZero"/>
        <c:auto val="1"/>
        <c:lblAlgn val="ctr"/>
        <c:lblOffset val="100"/>
        <c:noMultiLvlLbl val="0"/>
      </c:catAx>
      <c:valAx>
        <c:axId val="1042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51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66720"/>
        <c:axId val="174829504"/>
      </c:barChart>
      <c:catAx>
        <c:axId val="13436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29504"/>
        <c:crosses val="autoZero"/>
        <c:auto val="1"/>
        <c:lblAlgn val="ctr"/>
        <c:lblOffset val="100"/>
        <c:noMultiLvlLbl val="0"/>
      </c:catAx>
      <c:valAx>
        <c:axId val="1748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672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68768"/>
        <c:axId val="174831808"/>
      </c:barChart>
      <c:catAx>
        <c:axId val="1343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831808"/>
        <c:crosses val="autoZero"/>
        <c:auto val="1"/>
        <c:lblAlgn val="ctr"/>
        <c:lblOffset val="100"/>
        <c:noMultiLvlLbl val="0"/>
      </c:catAx>
      <c:valAx>
        <c:axId val="1748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87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07232"/>
        <c:axId val="200032832"/>
      </c:barChart>
      <c:catAx>
        <c:axId val="1670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032832"/>
        <c:crosses val="autoZero"/>
        <c:auto val="1"/>
        <c:lblAlgn val="ctr"/>
        <c:lblOffset val="100"/>
        <c:noMultiLvlLbl val="0"/>
      </c:catAx>
      <c:valAx>
        <c:axId val="2000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7007744"/>
        <c:axId val="200035136"/>
      </c:lineChart>
      <c:catAx>
        <c:axId val="1670077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0035136"/>
        <c:crosses val="autoZero"/>
        <c:auto val="1"/>
        <c:lblAlgn val="ctr"/>
        <c:lblOffset val="100"/>
        <c:noMultiLvlLbl val="0"/>
      </c:catAx>
      <c:valAx>
        <c:axId val="20003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of different Technologies (Munich OASE)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108000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475392"/>
        <c:axId val="200405504"/>
      </c:barChart>
      <c:catAx>
        <c:axId val="19647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05504"/>
        <c:crosses val="autoZero"/>
        <c:auto val="1"/>
        <c:lblAlgn val="ctr"/>
        <c:lblOffset val="100"/>
        <c:noMultiLvlLbl val="0"/>
      </c:catAx>
      <c:valAx>
        <c:axId val="20040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Millions of 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7539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7808"/>
        <c:axId val="200408384"/>
      </c:scatterChart>
      <c:valAx>
        <c:axId val="200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08384"/>
        <c:crosses val="autoZero"/>
        <c:crossBetween val="midCat"/>
      </c:valAx>
      <c:valAx>
        <c:axId val="2004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0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108857</xdr:rowOff>
    </xdr:from>
    <xdr:to>
      <xdr:col>20</xdr:col>
      <xdr:colOff>149677</xdr:colOff>
      <xdr:row>69</xdr:row>
      <xdr:rowOff>24766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1278730</xdr:colOff>
      <xdr:row>14</xdr:row>
      <xdr:rowOff>166687</xdr:rowOff>
    </xdr:from>
    <xdr:to>
      <xdr:col>5</xdr:col>
      <xdr:colOff>1762125</xdr:colOff>
      <xdr:row>53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G3/I3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>
      <calculatedColumnFormula>B75+C75+D75</calculatedColumnFormula>
    </tableColumn>
    <tableColumn id="12" name="Fiber Length" dataCellStyle="Heading 4">
      <calculatedColumnFormula>E75+F75+G75</calculatedColumnFormula>
    </tableColumn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B11" sqref="B11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93</v>
      </c>
    </row>
    <row r="10" spans="1:8" ht="14.45" x14ac:dyDescent="0.3">
      <c r="A10" t="s">
        <v>94</v>
      </c>
      <c r="B10" t="s">
        <v>97</v>
      </c>
      <c r="C10" t="s">
        <v>96</v>
      </c>
      <c r="D10" t="s">
        <v>95</v>
      </c>
      <c r="E10" t="s">
        <v>101</v>
      </c>
    </row>
    <row r="11" spans="1:8" ht="195.75" x14ac:dyDescent="0.25">
      <c r="A11" s="25" t="s">
        <v>99</v>
      </c>
      <c r="B11" s="26" t="s">
        <v>98</v>
      </c>
      <c r="C11" t="s">
        <v>102</v>
      </c>
      <c r="D11" s="32">
        <v>42348</v>
      </c>
      <c r="E11" s="26" t="s">
        <v>100</v>
      </c>
    </row>
    <row r="12" spans="1:8" ht="88.9" x14ac:dyDescent="0.3">
      <c r="A12" s="25" t="s">
        <v>103</v>
      </c>
      <c r="B12" t="s">
        <v>104</v>
      </c>
      <c r="C12" t="s">
        <v>105</v>
      </c>
      <c r="D12" s="27">
        <v>41161</v>
      </c>
      <c r="E12" t="s">
        <v>106</v>
      </c>
    </row>
    <row r="13" spans="1:8" ht="130.5" x14ac:dyDescent="0.25">
      <c r="A13" s="25" t="s">
        <v>115</v>
      </c>
      <c r="B13" t="s">
        <v>118</v>
      </c>
      <c r="C13" t="s">
        <v>117</v>
      </c>
      <c r="D13" s="27">
        <v>41589</v>
      </c>
      <c r="E13" t="s">
        <v>116</v>
      </c>
    </row>
  </sheetData>
  <hyperlinks>
    <hyperlink ref="E11" r:id="rId1" display="https://ieeexplore.ieee.org/xpl/mostRecentIssue.jsp?punumber=7347193"/>
    <hyperlink ref="B11" r:id="rId2"/>
  </hyperlinks>
  <pageMargins left="0.7" right="0.7" top="0.75" bottom="0.75" header="0.3" footer="0.3"/>
  <pageSetup paperSize="9" orientation="portrait" verticalDpi="0" r:id="rId3"/>
  <headerFooter>
    <oddFooter>&amp;LUnrestricted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7800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83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84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85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109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7800</v>
      </c>
      <c r="C17" s="24">
        <f>SUM(K8)</f>
        <v>1300</v>
      </c>
      <c r="D17" s="24">
        <f>SUM(K9:K10)</f>
        <v>75000</v>
      </c>
      <c r="E17" s="5">
        <f>SUM(B17:D17)</f>
        <v>84100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84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85</v>
      </c>
      <c r="B17" s="19">
        <f>SUM(I2:I5)</f>
        <v>8632</v>
      </c>
      <c r="C17" s="19">
        <f>SUM(I6:I9)</f>
        <v>216582</v>
      </c>
      <c r="D17" s="21">
        <v>0</v>
      </c>
      <c r="E17" s="5">
        <f>SUM(B17:D17)</f>
        <v>225214</v>
      </c>
      <c r="F17" s="5"/>
    </row>
    <row r="18" spans="1:6" ht="15.6" thickTop="1" thickBot="1" x14ac:dyDescent="0.35">
      <c r="A18" s="19" t="s">
        <v>109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123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76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109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f>3.3</f>
        <v>3.3</v>
      </c>
      <c r="D8" s="4">
        <f>5</f>
        <v>5</v>
      </c>
      <c r="E8" s="4">
        <f>3</f>
        <v>3</v>
      </c>
      <c r="F8" s="4">
        <f>5</f>
        <v>5</v>
      </c>
      <c r="G8" s="4">
        <v>30000</v>
      </c>
      <c r="H8" s="4">
        <f>Table2121314[[#This Row],[Cost per Unit (OASE)]]*Table2121314[[#This Row],[Quantity]]</f>
        <v>99000</v>
      </c>
      <c r="I8" s="12">
        <f>Table2121314[[#This Row],[Cost per Unit (Rokkas)]]*Table2121314[[#This Row],[Quantity]]</f>
        <v>150000</v>
      </c>
      <c r="J8" s="12">
        <f>Table2121314[[#This Row],[Cost per Unit(BSG)]]*Table2121314[[#This Row],[Quantity]]</f>
        <v>90000</v>
      </c>
      <c r="K8" s="35">
        <f>Table2121314[[#This Row],[Cost per Unit(Phillipson)]]*Table2121314[[#This Row],[Quantity]]</f>
        <v>150000</v>
      </c>
    </row>
    <row r="9" spans="1:11" ht="14.45" x14ac:dyDescent="0.3">
      <c r="A9" s="6" t="s">
        <v>76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108000</v>
      </c>
      <c r="E15" s="5">
        <f>SUM(B15:D15)</f>
        <v>122626.5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21">
        <f>SUM(I8:I9)</f>
        <v>150000</v>
      </c>
      <c r="E16" s="5">
        <f>SUM(B16:D16)</f>
        <v>188146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21">
        <f>SUM(J8:J9)</f>
        <v>90000</v>
      </c>
      <c r="E17" s="5">
        <f>SUM(B17:D17)</f>
        <v>138438.20000000001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150000</v>
      </c>
      <c r="E18" s="5">
        <f>SUM(B18:D18)</f>
        <v>161850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7" width="18.28515625" style="19" customWidth="1"/>
    <col min="8" max="8" width="9.140625" style="19"/>
    <col min="9" max="9" width="22.42578125" style="19" customWidth="1"/>
    <col min="10" max="10" width="22.28515625" style="19" customWidth="1"/>
    <col min="11" max="11" width="20.7109375" style="19" customWidth="1"/>
    <col min="12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</f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84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85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109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35" sqref="E35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="80" zoomScaleNormal="80" workbookViewId="0">
      <selection activeCell="F26" sqref="F26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114</v>
      </c>
      <c r="K2" t="s">
        <v>59</v>
      </c>
    </row>
    <row r="3" spans="1:11" ht="14.45" x14ac:dyDescent="0.3">
      <c r="A3" t="s">
        <v>50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257876.76484436693</v>
      </c>
      <c r="H3">
        <f t="shared" ref="H3:H15" si="0">G3*50</f>
        <v>12893838.242218347</v>
      </c>
      <c r="I3">
        <v>29262</v>
      </c>
      <c r="J3">
        <f>G3/I3</f>
        <v>8.812684192617283</v>
      </c>
      <c r="K3">
        <v>25</v>
      </c>
    </row>
    <row r="4" spans="1:11" ht="14.45" x14ac:dyDescent="0.3">
      <c r="A4" t="s">
        <v>51</v>
      </c>
      <c r="B4">
        <v>146337.87420813384</v>
      </c>
      <c r="C4">
        <v>12.814589886676153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216506.82213135384</v>
      </c>
      <c r="H4" s="19">
        <f t="shared" si="0"/>
        <v>10825341.106567692</v>
      </c>
      <c r="I4">
        <v>29262</v>
      </c>
      <c r="J4" s="24">
        <f t="shared" ref="J4:J15" si="1">G4/I4</f>
        <v>7.398907187866647</v>
      </c>
      <c r="K4">
        <v>50</v>
      </c>
    </row>
    <row r="5" spans="1:11" ht="14.45" x14ac:dyDescent="0.3">
      <c r="A5" t="s">
        <v>52</v>
      </c>
      <c r="B5">
        <v>78872.086550701642</v>
      </c>
      <c r="C5">
        <v>14.612123172178348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145045.86534054048</v>
      </c>
      <c r="H5" s="19">
        <f t="shared" si="0"/>
        <v>7252293.2670270242</v>
      </c>
      <c r="I5">
        <v>29262</v>
      </c>
      <c r="J5" s="24">
        <f t="shared" si="1"/>
        <v>4.9567994443490013</v>
      </c>
      <c r="K5">
        <v>50</v>
      </c>
    </row>
    <row r="6" spans="1:11" ht="14.45" x14ac:dyDescent="0.3">
      <c r="A6" t="s">
        <v>53</v>
      </c>
      <c r="B6">
        <v>78872.086550701642</v>
      </c>
      <c r="C6">
        <v>14.612123172178348</v>
      </c>
      <c r="D6">
        <f>'FTTH WR-WDMPON 100 Mbps'!B15</f>
        <v>41616.833333333336</v>
      </c>
      <c r="E6" s="24">
        <f>'FTTH WR-WDMPON 100 Mbps'!C15</f>
        <v>10920</v>
      </c>
      <c r="F6" s="24">
        <f>'FTTH WR-WDMPON 100 Mbps'!D15</f>
        <v>150000</v>
      </c>
      <c r="G6" s="13">
        <f t="shared" si="2"/>
        <v>281423.53200720716</v>
      </c>
      <c r="H6" s="19">
        <f t="shared" si="0"/>
        <v>14071176.600360358</v>
      </c>
      <c r="I6">
        <v>29262</v>
      </c>
      <c r="J6" s="24">
        <f t="shared" si="1"/>
        <v>9.6173717451714573</v>
      </c>
      <c r="K6">
        <v>100</v>
      </c>
    </row>
    <row r="7" spans="1:11" ht="14.45" x14ac:dyDescent="0.3">
      <c r="A7" t="s">
        <v>54</v>
      </c>
      <c r="B7">
        <v>146337.87420813384</v>
      </c>
      <c r="C7">
        <v>12.814589886676153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62778.6</v>
      </c>
      <c r="G7" s="13">
        <f>SUM(B7:F7)</f>
        <v>228249.55546468718</v>
      </c>
      <c r="H7" s="19">
        <f t="shared" si="0"/>
        <v>11412477.773234358</v>
      </c>
      <c r="I7">
        <v>29262</v>
      </c>
      <c r="J7" s="24">
        <f t="shared" si="1"/>
        <v>7.8002035221340709</v>
      </c>
      <c r="K7">
        <v>100</v>
      </c>
    </row>
    <row r="8" spans="1:11" ht="14.45" x14ac:dyDescent="0.3">
      <c r="A8" t="s">
        <v>66</v>
      </c>
      <c r="B8" s="13">
        <v>96261.143172944852</v>
      </c>
      <c r="C8" s="13">
        <v>5.1327825331856927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297779.34262214473</v>
      </c>
      <c r="H8" s="19">
        <f t="shared" si="0"/>
        <v>14888967.131107237</v>
      </c>
      <c r="I8" s="13">
        <v>29262</v>
      </c>
      <c r="J8" s="24">
        <f t="shared" si="1"/>
        <v>10.176315447411138</v>
      </c>
      <c r="K8" s="13">
        <v>100</v>
      </c>
    </row>
    <row r="9" spans="1:11" ht="14.45" x14ac:dyDescent="0.3">
      <c r="A9" t="s">
        <v>67</v>
      </c>
      <c r="B9" s="13">
        <v>146337.87420813384</v>
      </c>
      <c r="C9" s="13">
        <v>12.814589886676153</v>
      </c>
      <c r="D9">
        <f>FTTB_XGPON_100!B16</f>
        <v>12818.666666666666</v>
      </c>
      <c r="E9">
        <v>2002.8</v>
      </c>
      <c r="F9">
        <v>59987.1</v>
      </c>
      <c r="G9">
        <f>SUM(B9:F9)</f>
        <v>221159.25546468716</v>
      </c>
      <c r="H9" s="19">
        <f t="shared" si="0"/>
        <v>11057962.773234358</v>
      </c>
      <c r="I9" s="13">
        <v>29262</v>
      </c>
      <c r="J9" s="24">
        <f t="shared" si="1"/>
        <v>7.557899510104817</v>
      </c>
      <c r="K9" s="13">
        <v>100</v>
      </c>
    </row>
    <row r="10" spans="1:11" ht="14.45" x14ac:dyDescent="0.3">
      <c r="A10" s="13" t="s">
        <v>68</v>
      </c>
      <c r="B10" s="13">
        <v>78872.086550701642</v>
      </c>
      <c r="C10" s="13">
        <v>14.612123172178348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153163.03200720716</v>
      </c>
      <c r="H10" s="19">
        <f t="shared" si="0"/>
        <v>7658151.6003603581</v>
      </c>
      <c r="I10" s="13">
        <v>29262</v>
      </c>
      <c r="J10" s="24">
        <f t="shared" si="1"/>
        <v>5.2341956123028899</v>
      </c>
      <c r="K10" s="13">
        <v>100</v>
      </c>
    </row>
    <row r="11" spans="1:11" ht="14.45" x14ac:dyDescent="0.3">
      <c r="A11" s="18" t="s">
        <v>69</v>
      </c>
      <c r="B11">
        <v>114876.35990534152</v>
      </c>
      <c r="C11">
        <v>12.594228370284263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215033.95413371181</v>
      </c>
      <c r="H11" s="19">
        <f t="shared" si="0"/>
        <v>10751697.706685591</v>
      </c>
      <c r="I11" s="19">
        <v>29262</v>
      </c>
      <c r="J11" s="24">
        <f t="shared" si="1"/>
        <v>7.3485733761776988</v>
      </c>
      <c r="K11">
        <v>25</v>
      </c>
    </row>
    <row r="12" spans="1:11" ht="14.45" x14ac:dyDescent="0.3">
      <c r="A12" s="18" t="s">
        <v>70</v>
      </c>
      <c r="B12">
        <v>115530.46906962365</v>
      </c>
      <c r="C12">
        <v>12.211670303203721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178789.18073992687</v>
      </c>
      <c r="H12" s="19">
        <f t="shared" si="0"/>
        <v>8939459.0369963441</v>
      </c>
      <c r="I12" s="19">
        <v>29262</v>
      </c>
      <c r="J12" s="24">
        <f t="shared" si="1"/>
        <v>6.1099439799031803</v>
      </c>
      <c r="K12">
        <v>50</v>
      </c>
    </row>
    <row r="13" spans="1:11" ht="14.45" x14ac:dyDescent="0.3">
      <c r="A13" s="18" t="s">
        <v>71</v>
      </c>
      <c r="B13">
        <v>115530.46906962365</v>
      </c>
      <c r="C13">
        <v>10.331648594515361</v>
      </c>
      <c r="D13">
        <f>FTTH_Hybridpon_100!B15</f>
        <v>14160</v>
      </c>
      <c r="E13" s="24">
        <f>FTTH_Hybridpon_100!C15</f>
        <v>466.5</v>
      </c>
      <c r="F13" s="24">
        <f>FTTH_Hybridpon_100!D15</f>
        <v>108000</v>
      </c>
      <c r="G13">
        <f t="shared" si="3"/>
        <v>238167.30071821815</v>
      </c>
      <c r="H13" s="19">
        <f t="shared" si="0"/>
        <v>11908365.035910908</v>
      </c>
      <c r="I13" s="19">
        <v>29262</v>
      </c>
      <c r="J13" s="24">
        <f t="shared" si="1"/>
        <v>8.139132688067054</v>
      </c>
      <c r="K13">
        <v>100</v>
      </c>
    </row>
    <row r="14" spans="1:11" ht="14.45" x14ac:dyDescent="0.3">
      <c r="A14" s="18" t="s">
        <v>72</v>
      </c>
      <c r="B14">
        <v>114876.35990534152</v>
      </c>
      <c r="C14">
        <v>12.594228370284263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247844.95413371181</v>
      </c>
      <c r="H14" s="19">
        <f t="shared" si="0"/>
        <v>12392247.706685591</v>
      </c>
      <c r="I14" s="19">
        <v>29262</v>
      </c>
      <c r="J14" s="24">
        <f t="shared" si="1"/>
        <v>8.4698569521465323</v>
      </c>
      <c r="K14">
        <v>100</v>
      </c>
    </row>
    <row r="15" spans="1:11" ht="14.45" x14ac:dyDescent="0.3">
      <c r="A15" s="15" t="s">
        <v>73</v>
      </c>
      <c r="B15" s="17">
        <v>115530.46906962365</v>
      </c>
      <c r="C15" s="17">
        <v>9.5120485945153614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196666.48111821816</v>
      </c>
      <c r="H15" s="19">
        <f t="shared" si="0"/>
        <v>9833324.0559109077</v>
      </c>
      <c r="I15" s="21">
        <v>29262</v>
      </c>
      <c r="J15" s="24">
        <f t="shared" si="1"/>
        <v>6.7208830947378226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79</v>
      </c>
      <c r="F56" s="22" t="s">
        <v>3</v>
      </c>
    </row>
    <row r="57" spans="3:6" x14ac:dyDescent="0.25">
      <c r="C57">
        <f>B3</f>
        <v>96261.143172944852</v>
      </c>
      <c r="D57" s="24">
        <f t="shared" ref="D57:E57" si="4">C3</f>
        <v>5.1327825331856927</v>
      </c>
      <c r="E57" s="24">
        <f t="shared" si="4"/>
        <v>3056.8888888888887</v>
      </c>
      <c r="F57">
        <f>E3+F3</f>
        <v>158553.60000000001</v>
      </c>
    </row>
    <row r="58" spans="3:6" x14ac:dyDescent="0.25">
      <c r="C58" s="24">
        <f t="shared" ref="C58:E58" si="5">B4</f>
        <v>146337.87420813384</v>
      </c>
      <c r="D58" s="24">
        <f t="shared" si="5"/>
        <v>12.814589886676153</v>
      </c>
      <c r="E58" s="24">
        <f t="shared" si="5"/>
        <v>6405.333333333333</v>
      </c>
      <c r="F58" s="21">
        <f t="shared" ref="F58:F69" si="6">E4+F4</f>
        <v>63750.8</v>
      </c>
    </row>
    <row r="59" spans="3:6" x14ac:dyDescent="0.25">
      <c r="C59" s="24">
        <f t="shared" ref="C59:E59" si="7">B5</f>
        <v>78872.086550701642</v>
      </c>
      <c r="D59" s="24">
        <f t="shared" si="7"/>
        <v>14.612123172178348</v>
      </c>
      <c r="E59" s="24">
        <f t="shared" si="7"/>
        <v>5299.166666666667</v>
      </c>
      <c r="F59" s="21">
        <f t="shared" si="6"/>
        <v>60860</v>
      </c>
    </row>
    <row r="60" spans="3:6" x14ac:dyDescent="0.25">
      <c r="C60" s="24">
        <f t="shared" ref="C60:E60" si="8">B6</f>
        <v>78872.086550701642</v>
      </c>
      <c r="D60" s="24">
        <f t="shared" si="8"/>
        <v>14.612123172178348</v>
      </c>
      <c r="E60" s="24">
        <f t="shared" si="8"/>
        <v>41616.833333333336</v>
      </c>
      <c r="F60" s="21">
        <f t="shared" si="6"/>
        <v>160920</v>
      </c>
    </row>
    <row r="61" spans="3:6" x14ac:dyDescent="0.25">
      <c r="C61" s="24">
        <f t="shared" ref="C61:E61" si="9">B7</f>
        <v>146337.87420813384</v>
      </c>
      <c r="D61" s="24">
        <f t="shared" si="9"/>
        <v>12.814589886676153</v>
      </c>
      <c r="E61" s="24">
        <f t="shared" si="9"/>
        <v>12618.666666666666</v>
      </c>
      <c r="F61" s="21">
        <f t="shared" si="6"/>
        <v>69280.2</v>
      </c>
    </row>
    <row r="62" spans="3:6" x14ac:dyDescent="0.25">
      <c r="C62" s="24">
        <f t="shared" ref="C62:E62" si="10">B8</f>
        <v>96261.143172944852</v>
      </c>
      <c r="D62" s="24">
        <f t="shared" si="10"/>
        <v>5.1327825331856927</v>
      </c>
      <c r="E62" s="24">
        <f t="shared" si="10"/>
        <v>6426.666666666667</v>
      </c>
      <c r="F62" s="21">
        <f t="shared" si="6"/>
        <v>195086.4</v>
      </c>
    </row>
    <row r="63" spans="3:6" x14ac:dyDescent="0.25">
      <c r="C63" s="24">
        <f t="shared" ref="C63:E63" si="11">B9</f>
        <v>146337.87420813384</v>
      </c>
      <c r="D63" s="24">
        <f t="shared" si="11"/>
        <v>12.814589886676153</v>
      </c>
      <c r="E63" s="24">
        <f t="shared" si="11"/>
        <v>12818.666666666666</v>
      </c>
      <c r="F63" s="21">
        <f t="shared" si="6"/>
        <v>61989.9</v>
      </c>
    </row>
    <row r="64" spans="3:6" x14ac:dyDescent="0.25">
      <c r="C64" s="24">
        <f t="shared" ref="C64:E64" si="12">B10</f>
        <v>78872.086550701642</v>
      </c>
      <c r="D64" s="24">
        <f t="shared" si="12"/>
        <v>14.612123172178348</v>
      </c>
      <c r="E64" s="24">
        <f t="shared" si="12"/>
        <v>11216.333333333334</v>
      </c>
      <c r="F64" s="21">
        <f t="shared" si="6"/>
        <v>63060</v>
      </c>
    </row>
    <row r="65" spans="3:6" x14ac:dyDescent="0.25">
      <c r="C65" s="24">
        <f t="shared" ref="C65:E65" si="13">B11</f>
        <v>114876.35990534152</v>
      </c>
      <c r="D65" s="24">
        <f t="shared" si="13"/>
        <v>12.594228370284263</v>
      </c>
      <c r="E65" s="24">
        <f t="shared" si="13"/>
        <v>4000</v>
      </c>
      <c r="F65" s="21">
        <f t="shared" si="6"/>
        <v>96145</v>
      </c>
    </row>
    <row r="66" spans="3:6" x14ac:dyDescent="0.25">
      <c r="C66" s="24">
        <f t="shared" ref="C66:E66" si="14">B12</f>
        <v>115530.46906962365</v>
      </c>
      <c r="D66" s="24">
        <f t="shared" si="14"/>
        <v>12.211670303203721</v>
      </c>
      <c r="E66" s="24">
        <f t="shared" si="14"/>
        <v>7280</v>
      </c>
      <c r="F66" s="21">
        <f t="shared" si="6"/>
        <v>55966.5</v>
      </c>
    </row>
    <row r="67" spans="3:6" x14ac:dyDescent="0.25">
      <c r="C67" s="24">
        <f t="shared" ref="C67:E67" si="15">B13</f>
        <v>115530.46906962365</v>
      </c>
      <c r="D67" s="24">
        <f t="shared" si="15"/>
        <v>10.331648594515361</v>
      </c>
      <c r="E67" s="24">
        <f t="shared" si="15"/>
        <v>14160</v>
      </c>
      <c r="F67" s="21">
        <f t="shared" si="6"/>
        <v>108466.5</v>
      </c>
    </row>
    <row r="68" spans="3:6" x14ac:dyDescent="0.25">
      <c r="C68" s="24">
        <f t="shared" ref="C68:E68" si="16">B14</f>
        <v>114876.35990534152</v>
      </c>
      <c r="D68" s="24">
        <f t="shared" si="16"/>
        <v>12.594228370284263</v>
      </c>
      <c r="E68" s="24">
        <f t="shared" si="16"/>
        <v>27600</v>
      </c>
      <c r="F68" s="21">
        <f t="shared" si="6"/>
        <v>105356</v>
      </c>
    </row>
    <row r="69" spans="3:6" x14ac:dyDescent="0.25">
      <c r="C69" s="24">
        <f t="shared" ref="C69:E69" si="17">B15</f>
        <v>115530.46906962365</v>
      </c>
      <c r="D69" s="24">
        <f t="shared" si="17"/>
        <v>9.5120485945153614</v>
      </c>
      <c r="E69" s="24">
        <f t="shared" si="17"/>
        <v>14160</v>
      </c>
      <c r="F69" s="21">
        <f t="shared" si="6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6" zoomScaleNormal="100" workbookViewId="0">
      <selection activeCell="T28" sqref="T28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89</v>
      </c>
      <c r="C1" s="21" t="s">
        <v>90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92</v>
      </c>
      <c r="K1" s="21" t="s">
        <v>57</v>
      </c>
      <c r="L1" s="21" t="s">
        <v>91</v>
      </c>
      <c r="M1" s="21" t="s">
        <v>59</v>
      </c>
    </row>
    <row r="2" spans="1:13" ht="14.45" x14ac:dyDescent="0.3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451295.0492430462</v>
      </c>
      <c r="J2" s="21">
        <f t="shared" ref="J2:J14" si="0">I2*50</f>
        <v>22564752.46215231</v>
      </c>
      <c r="K2" s="21">
        <v>29262</v>
      </c>
      <c r="L2" s="21">
        <f>I2/K2</f>
        <v>15.422563366927967</v>
      </c>
      <c r="M2" s="21">
        <v>25</v>
      </c>
    </row>
    <row r="3" spans="1:13" ht="14.45" x14ac:dyDescent="0.3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4">
        <f t="shared" ref="L3:L14" si="3">I3/K3</f>
        <v>6.8858715957050496</v>
      </c>
      <c r="M3" s="21">
        <v>50</v>
      </c>
    </row>
    <row r="4" spans="1:13" ht="14.45" x14ac:dyDescent="0.3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4">
        <f t="shared" si="3"/>
        <v>5.5545583190728083</v>
      </c>
      <c r="M4" s="21">
        <v>50</v>
      </c>
    </row>
    <row r="5" spans="1:13" ht="14.45" x14ac:dyDescent="0.3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109000</v>
      </c>
      <c r="G5" s="24">
        <f>'FTTH WR-WDMPON 100 Mbps'!C16</f>
        <v>1820</v>
      </c>
      <c r="H5" s="24">
        <f>'FTTH WR-WDMPON 100 Mbps'!D16</f>
        <v>210000</v>
      </c>
      <c r="I5" s="24">
        <f>SUM(Table717[[#This Row],[Duct Cost]:[Building E&amp;I Costs]])</f>
        <v>392097.48553270852</v>
      </c>
      <c r="J5" s="21">
        <f t="shared" si="0"/>
        <v>19604874.276635427</v>
      </c>
      <c r="K5" s="21">
        <v>29262</v>
      </c>
      <c r="L5" s="24">
        <f t="shared" si="3"/>
        <v>13.399544991207318</v>
      </c>
      <c r="M5" s="21">
        <v>100</v>
      </c>
    </row>
    <row r="6" spans="1:13" ht="14.45" x14ac:dyDescent="0.3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120000</v>
      </c>
      <c r="I6" s="24">
        <f>SUM(Table717[[#This Row],[Duct Cost]:[Building E&amp;I Costs]])</f>
        <v>267962.37463352119</v>
      </c>
      <c r="J6" s="21">
        <f t="shared" si="0"/>
        <v>13398118.731676059</v>
      </c>
      <c r="K6" s="21">
        <v>29262</v>
      </c>
      <c r="L6" s="24">
        <f t="shared" si="3"/>
        <v>9.1573499635541378</v>
      </c>
      <c r="M6" s="21">
        <v>100</v>
      </c>
    </row>
    <row r="7" spans="1:13" ht="14.45" x14ac:dyDescent="0.3">
      <c r="A7" s="21" t="s">
        <v>66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469067.0492430462</v>
      </c>
      <c r="J7" s="21">
        <f t="shared" si="0"/>
        <v>23453352.46215231</v>
      </c>
      <c r="K7" s="21">
        <v>29262</v>
      </c>
      <c r="L7" s="24">
        <f t="shared" si="3"/>
        <v>16.029903945152288</v>
      </c>
      <c r="M7" s="21">
        <v>100</v>
      </c>
    </row>
    <row r="8" spans="1:13" ht="14.45" x14ac:dyDescent="0.3">
      <c r="A8" s="21" t="s">
        <v>67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4">
        <f t="shared" si="3"/>
        <v>7.1067040746880306</v>
      </c>
      <c r="M8" s="21">
        <v>100</v>
      </c>
    </row>
    <row r="9" spans="1:13" ht="14.45" x14ac:dyDescent="0.3">
      <c r="A9" s="21" t="s">
        <v>68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4">
        <f t="shared" si="3"/>
        <v>5.9988205021088277</v>
      </c>
      <c r="M9" s="21">
        <v>100</v>
      </c>
    </row>
    <row r="10" spans="1:13" ht="14.45" x14ac:dyDescent="0.3">
      <c r="A10" s="22" t="s">
        <v>69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216582</v>
      </c>
      <c r="H10" s="24">
        <f>FTTCab_Hybridpon_25!D17</f>
        <v>0</v>
      </c>
      <c r="I10" s="24">
        <f>SUM(Table717[[#This Row],[Duct Cost]:[Building E&amp;I Costs]])</f>
        <v>317641.51949214807</v>
      </c>
      <c r="J10" s="21">
        <f t="shared" si="0"/>
        <v>15882075.974607404</v>
      </c>
      <c r="K10" s="21">
        <v>29262</v>
      </c>
      <c r="L10" s="24">
        <f t="shared" si="3"/>
        <v>10.855085759420001</v>
      </c>
      <c r="M10" s="21">
        <v>25</v>
      </c>
    </row>
    <row r="11" spans="1:13" ht="14.45" x14ac:dyDescent="0.3">
      <c r="A11" s="22" t="s">
        <v>70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4">
        <f t="shared" si="3"/>
        <v>6.4949073897127301</v>
      </c>
      <c r="M11" s="21">
        <v>50</v>
      </c>
    </row>
    <row r="12" spans="1:13" ht="14.45" x14ac:dyDescent="0.3">
      <c r="A12" s="22" t="s">
        <v>71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150000</v>
      </c>
      <c r="I12" s="24">
        <f>SUM(Table717[[#This Row],[Duct Cost]:[Building E&amp;I Costs]])</f>
        <v>294072.20615263691</v>
      </c>
      <c r="J12" s="21">
        <f t="shared" si="0"/>
        <v>14703610.307631845</v>
      </c>
      <c r="K12" s="21">
        <v>29262</v>
      </c>
      <c r="L12" s="24">
        <f t="shared" si="3"/>
        <v>10.049627713506831</v>
      </c>
      <c r="M12" s="21">
        <v>100</v>
      </c>
    </row>
    <row r="13" spans="1:13" ht="14.45" x14ac:dyDescent="0.3">
      <c r="A13" s="22" t="s">
        <v>72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4">
        <f t="shared" si="3"/>
        <v>11.536720644253574</v>
      </c>
      <c r="M13" s="21">
        <v>100</v>
      </c>
    </row>
    <row r="14" spans="1:13" ht="14.45" x14ac:dyDescent="0.3">
      <c r="A14" s="15" t="s">
        <v>73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203875.19169874041</v>
      </c>
      <c r="J14" s="21">
        <f t="shared" si="0"/>
        <v>10193759.584937021</v>
      </c>
      <c r="K14" s="21">
        <v>29262</v>
      </c>
      <c r="L14" s="24">
        <f t="shared" si="3"/>
        <v>6.9672336716130276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ht="14.45" x14ac:dyDescent="0.3">
      <c r="B31" s="24"/>
      <c r="C31" s="24"/>
      <c r="D31" s="24"/>
      <c r="E31" s="23"/>
    </row>
    <row r="32" spans="2:5" ht="14.45" x14ac:dyDescent="0.3">
      <c r="B32" s="24"/>
      <c r="C32" s="24"/>
      <c r="D32" s="24"/>
      <c r="E32" s="23"/>
    </row>
    <row r="33" spans="2:5" ht="14.45" x14ac:dyDescent="0.3">
      <c r="B33" s="24"/>
      <c r="C33" s="24"/>
      <c r="D33" s="24"/>
      <c r="E33" s="23"/>
    </row>
    <row r="34" spans="2:5" ht="14.45" x14ac:dyDescent="0.3">
      <c r="B34" s="24"/>
      <c r="C34" s="24"/>
      <c r="D34" s="24"/>
      <c r="E34" s="23"/>
    </row>
    <row r="35" spans="2:5" ht="14.45" x14ac:dyDescent="0.3">
      <c r="B35" s="24"/>
      <c r="C35" s="24"/>
      <c r="D35" s="24"/>
      <c r="E35" s="23"/>
    </row>
    <row r="36" spans="2:5" ht="14.45" x14ac:dyDescent="0.3">
      <c r="B36" s="24"/>
      <c r="C36" s="24"/>
      <c r="D36" s="24"/>
      <c r="E36" s="23"/>
    </row>
    <row r="37" spans="2:5" ht="14.45" x14ac:dyDescent="0.3">
      <c r="B37" s="24"/>
      <c r="C37" s="24"/>
      <c r="D37" s="24"/>
      <c r="E37" s="23"/>
    </row>
    <row r="38" spans="2:5" ht="14.45" x14ac:dyDescent="0.3">
      <c r="B38" s="24"/>
      <c r="C38" s="24"/>
      <c r="D38" s="24"/>
      <c r="E38" s="23"/>
    </row>
    <row r="39" spans="2:5" ht="14.45" x14ac:dyDescent="0.3">
      <c r="B39" s="24"/>
      <c r="C39" s="24"/>
      <c r="D39" s="24"/>
      <c r="E39" s="23"/>
    </row>
    <row r="40" spans="2:5" ht="14.45" x14ac:dyDescent="0.3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128</v>
      </c>
      <c r="I55" t="s">
        <v>3</v>
      </c>
    </row>
    <row r="56" spans="6:9" x14ac:dyDescent="0.2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382544</v>
      </c>
    </row>
    <row r="57" spans="6:9" x14ac:dyDescent="0.2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11184</v>
      </c>
      <c r="I57" s="24">
        <f t="shared" ref="I57:I68" si="6">G3+H3</f>
        <v>78284</v>
      </c>
    </row>
    <row r="58" spans="6:9" x14ac:dyDescent="0.25">
      <c r="F58" s="24">
        <f t="shared" si="5"/>
        <v>66893.848581055019</v>
      </c>
      <c r="G58" s="24">
        <f t="shared" si="4"/>
        <v>4383.6369516535042</v>
      </c>
      <c r="H58" s="24">
        <f t="shared" si="4"/>
        <v>16000</v>
      </c>
      <c r="I58" s="24">
        <f t="shared" si="6"/>
        <v>75260</v>
      </c>
    </row>
    <row r="59" spans="6:9" x14ac:dyDescent="0.25">
      <c r="F59" s="24">
        <f t="shared" si="5"/>
        <v>66893.848581055019</v>
      </c>
      <c r="G59" s="24">
        <f t="shared" si="4"/>
        <v>4383.6369516535042</v>
      </c>
      <c r="H59" s="24">
        <f t="shared" si="4"/>
        <v>109000</v>
      </c>
      <c r="I59" s="24">
        <f t="shared" si="6"/>
        <v>211820</v>
      </c>
    </row>
    <row r="60" spans="6:9" x14ac:dyDescent="0.25">
      <c r="F60" s="24">
        <f t="shared" si="5"/>
        <v>108181.99766751831</v>
      </c>
      <c r="G60" s="24">
        <f t="shared" si="4"/>
        <v>3844.3769660028456</v>
      </c>
      <c r="H60" s="24">
        <f t="shared" si="4"/>
        <v>19368</v>
      </c>
      <c r="I60" s="24">
        <f t="shared" si="6"/>
        <v>136568</v>
      </c>
    </row>
    <row r="61" spans="6:9" x14ac:dyDescent="0.25">
      <c r="F61" s="24">
        <f t="shared" si="5"/>
        <v>60163.214483090531</v>
      </c>
      <c r="G61" s="24">
        <f t="shared" si="4"/>
        <v>1539.8347599557078</v>
      </c>
      <c r="H61" s="24">
        <f t="shared" si="4"/>
        <v>7404</v>
      </c>
      <c r="I61" s="24">
        <f t="shared" si="6"/>
        <v>399960</v>
      </c>
    </row>
    <row r="62" spans="6:9" x14ac:dyDescent="0.25">
      <c r="F62" s="24">
        <f t="shared" si="5"/>
        <v>108181.99766751831</v>
      </c>
      <c r="G62" s="24">
        <f t="shared" si="4"/>
        <v>3844.3769660028456</v>
      </c>
      <c r="H62" s="24">
        <f t="shared" si="4"/>
        <v>19368</v>
      </c>
      <c r="I62" s="24">
        <f t="shared" si="6"/>
        <v>76562</v>
      </c>
    </row>
    <row r="63" spans="6:9" x14ac:dyDescent="0.25">
      <c r="F63" s="24">
        <f t="shared" si="5"/>
        <v>66893.848581055019</v>
      </c>
      <c r="G63" s="24">
        <f t="shared" si="4"/>
        <v>4383.6369516535042</v>
      </c>
      <c r="H63" s="24">
        <f t="shared" si="4"/>
        <v>29000</v>
      </c>
      <c r="I63" s="24">
        <f t="shared" si="6"/>
        <v>75260</v>
      </c>
    </row>
    <row r="64" spans="6:9" x14ac:dyDescent="0.25">
      <c r="F64" s="24">
        <f t="shared" si="5"/>
        <v>88649.250981062796</v>
      </c>
      <c r="G64" s="24">
        <f t="shared" si="4"/>
        <v>3778.2685110852781</v>
      </c>
      <c r="H64" s="24">
        <f t="shared" si="4"/>
        <v>8632</v>
      </c>
      <c r="I64" s="24">
        <f t="shared" si="6"/>
        <v>216582</v>
      </c>
    </row>
    <row r="65" spans="2:9" x14ac:dyDescent="0.25">
      <c r="F65" s="24">
        <f t="shared" si="5"/>
        <v>89276.478946812786</v>
      </c>
      <c r="G65" s="24">
        <f t="shared" si="4"/>
        <v>3663.5010909611156</v>
      </c>
      <c r="H65" s="24">
        <f t="shared" si="4"/>
        <v>19032</v>
      </c>
      <c r="I65" s="24">
        <f t="shared" si="6"/>
        <v>78082</v>
      </c>
    </row>
    <row r="66" spans="2:9" x14ac:dyDescent="0.25">
      <c r="F66" s="24">
        <f t="shared" si="5"/>
        <v>89276.478946812786</v>
      </c>
      <c r="G66" s="24">
        <f t="shared" si="4"/>
        <v>16649.727205824103</v>
      </c>
      <c r="H66" s="24">
        <f t="shared" si="4"/>
        <v>35064</v>
      </c>
      <c r="I66" s="24">
        <f t="shared" si="6"/>
        <v>153082</v>
      </c>
    </row>
    <row r="67" spans="2:9" x14ac:dyDescent="0.25">
      <c r="F67" s="24">
        <f t="shared" si="5"/>
        <v>88649.250981062796</v>
      </c>
      <c r="G67" s="24">
        <f t="shared" si="4"/>
        <v>3778.2685110852781</v>
      </c>
      <c r="H67" s="24">
        <f t="shared" si="4"/>
        <v>25528</v>
      </c>
      <c r="I67" s="24">
        <f t="shared" si="6"/>
        <v>219632</v>
      </c>
    </row>
    <row r="68" spans="2:9" x14ac:dyDescent="0.25">
      <c r="F68" s="24">
        <f t="shared" si="5"/>
        <v>89276.478946812786</v>
      </c>
      <c r="G68" s="24">
        <f t="shared" si="4"/>
        <v>1452.7127519276221</v>
      </c>
      <c r="H68" s="24">
        <f t="shared" si="4"/>
        <v>35064</v>
      </c>
      <c r="I68" s="24">
        <f t="shared" si="6"/>
        <v>78082</v>
      </c>
    </row>
    <row r="69" spans="2:9" x14ac:dyDescent="0.25">
      <c r="F69" s="24">
        <f t="shared" si="5"/>
        <v>0</v>
      </c>
    </row>
    <row r="70" spans="2:9" x14ac:dyDescent="0.25">
      <c r="F70" s="24">
        <f t="shared" si="5"/>
        <v>0</v>
      </c>
    </row>
    <row r="71" spans="2:9" x14ac:dyDescent="0.25">
      <c r="F71" s="24">
        <f t="shared" si="5"/>
        <v>0</v>
      </c>
    </row>
    <row r="72" spans="2:9" x14ac:dyDescent="0.25">
      <c r="F72" s="24">
        <f t="shared" si="5"/>
        <v>0</v>
      </c>
    </row>
    <row r="73" spans="2:9" x14ac:dyDescent="0.25">
      <c r="F73" s="24">
        <f t="shared" si="5"/>
        <v>0</v>
      </c>
    </row>
    <row r="74" spans="2:9" x14ac:dyDescent="0.25">
      <c r="B74" s="21" t="s">
        <v>129</v>
      </c>
      <c r="C74" s="21" t="s">
        <v>130</v>
      </c>
      <c r="D74" t="s">
        <v>131</v>
      </c>
      <c r="E74" t="s">
        <v>132</v>
      </c>
      <c r="F74" s="24" t="s">
        <v>133</v>
      </c>
      <c r="G74" t="s">
        <v>134</v>
      </c>
    </row>
    <row r="75" spans="2:9" x14ac:dyDescent="0.2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2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2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2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2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2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2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2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2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2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2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2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2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25">
      <c r="F88" s="24">
        <f t="shared" si="5"/>
        <v>0</v>
      </c>
    </row>
    <row r="89" spans="2:7" x14ac:dyDescent="0.25">
      <c r="F89" s="24">
        <f t="shared" si="5"/>
        <v>0</v>
      </c>
    </row>
    <row r="90" spans="2:7" x14ac:dyDescent="0.25">
      <c r="F90" s="24">
        <f t="shared" si="5"/>
        <v>0</v>
      </c>
    </row>
    <row r="91" spans="2:7" x14ac:dyDescent="0.25">
      <c r="F91" s="24">
        <f t="shared" si="5"/>
        <v>0</v>
      </c>
    </row>
    <row r="92" spans="2:7" x14ac:dyDescent="0.25">
      <c r="F92" s="24">
        <f t="shared" si="5"/>
        <v>0</v>
      </c>
    </row>
    <row r="93" spans="2:7" x14ac:dyDescent="0.25">
      <c r="F93" s="24">
        <f t="shared" si="5"/>
        <v>0</v>
      </c>
    </row>
    <row r="94" spans="2:7" x14ac:dyDescent="0.25">
      <c r="F94" s="24">
        <f t="shared" si="5"/>
        <v>0</v>
      </c>
    </row>
    <row r="95" spans="2:7" x14ac:dyDescent="0.25">
      <c r="F95" s="24">
        <f t="shared" si="5"/>
        <v>0</v>
      </c>
    </row>
    <row r="96" spans="2:7" x14ac:dyDescent="0.25">
      <c r="F96" s="24">
        <f t="shared" si="5"/>
        <v>0</v>
      </c>
    </row>
    <row r="97" spans="6:6" x14ac:dyDescent="0.25">
      <c r="F97" s="24">
        <f t="shared" si="5"/>
        <v>0</v>
      </c>
    </row>
    <row r="98" spans="6:6" x14ac:dyDescent="0.25">
      <c r="F98" s="24">
        <f t="shared" si="5"/>
        <v>0</v>
      </c>
    </row>
    <row r="99" spans="6:6" x14ac:dyDescent="0.25">
      <c r="F99" s="24">
        <f t="shared" si="5"/>
        <v>0</v>
      </c>
    </row>
    <row r="100" spans="6:6" x14ac:dyDescent="0.25">
      <c r="F100" s="24">
        <f t="shared" si="5"/>
        <v>0</v>
      </c>
    </row>
    <row r="101" spans="6:6" x14ac:dyDescent="0.25">
      <c r="F101" s="24">
        <f t="shared" si="5"/>
        <v>0</v>
      </c>
    </row>
    <row r="102" spans="6:6" x14ac:dyDescent="0.25">
      <c r="F102" s="24">
        <f t="shared" si="5"/>
        <v>0</v>
      </c>
    </row>
    <row r="103" spans="6:6" x14ac:dyDescent="0.25">
      <c r="F103" s="24">
        <f t="shared" si="5"/>
        <v>0</v>
      </c>
    </row>
    <row r="104" spans="6:6" x14ac:dyDescent="0.25">
      <c r="F104" s="24">
        <f t="shared" si="5"/>
        <v>0</v>
      </c>
    </row>
    <row r="105" spans="6:6" x14ac:dyDescent="0.25">
      <c r="F105" s="24">
        <f t="shared" si="5"/>
        <v>0</v>
      </c>
    </row>
    <row r="106" spans="6:6" x14ac:dyDescent="0.25">
      <c r="F106" s="24">
        <f t="shared" si="5"/>
        <v>0</v>
      </c>
    </row>
    <row r="107" spans="6:6" x14ac:dyDescent="0.25">
      <c r="F107" s="24">
        <f t="shared" si="5"/>
        <v>0</v>
      </c>
    </row>
    <row r="108" spans="6:6" x14ac:dyDescent="0.25">
      <c r="F108" s="24">
        <f t="shared" si="5"/>
        <v>0</v>
      </c>
    </row>
    <row r="109" spans="6:6" x14ac:dyDescent="0.25">
      <c r="F109" s="24">
        <f t="shared" si="5"/>
        <v>0</v>
      </c>
    </row>
    <row r="110" spans="6:6" x14ac:dyDescent="0.25">
      <c r="F110" s="24">
        <f t="shared" si="5"/>
        <v>0</v>
      </c>
    </row>
    <row r="111" spans="6:6" x14ac:dyDescent="0.25">
      <c r="F111" s="24">
        <f t="shared" si="5"/>
        <v>0</v>
      </c>
    </row>
    <row r="112" spans="6:6" x14ac:dyDescent="0.25">
      <c r="F112" s="24">
        <f t="shared" si="5"/>
        <v>0</v>
      </c>
    </row>
    <row r="113" spans="6:6" x14ac:dyDescent="0.25">
      <c r="F113" s="24">
        <f t="shared" si="5"/>
        <v>0</v>
      </c>
    </row>
    <row r="114" spans="6:6" x14ac:dyDescent="0.25">
      <c r="F114" s="24">
        <f t="shared" si="5"/>
        <v>0</v>
      </c>
    </row>
    <row r="115" spans="6:6" x14ac:dyDescent="0.25">
      <c r="F115" s="24">
        <f t="shared" si="5"/>
        <v>0</v>
      </c>
    </row>
    <row r="116" spans="6:6" x14ac:dyDescent="0.25">
      <c r="F116" s="24">
        <f t="shared" si="5"/>
        <v>0</v>
      </c>
    </row>
    <row r="117" spans="6:6" x14ac:dyDescent="0.25">
      <c r="F117" s="24">
        <f t="shared" si="5"/>
        <v>0</v>
      </c>
    </row>
    <row r="118" spans="6:6" x14ac:dyDescent="0.25">
      <c r="F118" s="24">
        <f t="shared" si="5"/>
        <v>0</v>
      </c>
    </row>
    <row r="119" spans="6:6" x14ac:dyDescent="0.25">
      <c r="F119" s="24">
        <f t="shared" si="5"/>
        <v>0</v>
      </c>
    </row>
    <row r="120" spans="6:6" x14ac:dyDescent="0.25">
      <c r="F120" s="24">
        <f t="shared" si="5"/>
        <v>0</v>
      </c>
    </row>
    <row r="121" spans="6:6" x14ac:dyDescent="0.25">
      <c r="F121" s="24">
        <f t="shared" ref="F121:F184" si="7">D67</f>
        <v>0</v>
      </c>
    </row>
    <row r="122" spans="6:6" x14ac:dyDescent="0.25">
      <c r="F122" s="24">
        <f t="shared" si="7"/>
        <v>0</v>
      </c>
    </row>
    <row r="123" spans="6:6" x14ac:dyDescent="0.25">
      <c r="F123" s="24">
        <f t="shared" si="7"/>
        <v>0</v>
      </c>
    </row>
    <row r="124" spans="6:6" x14ac:dyDescent="0.25">
      <c r="F124" s="24">
        <f t="shared" si="7"/>
        <v>0</v>
      </c>
    </row>
    <row r="125" spans="6:6" x14ac:dyDescent="0.25">
      <c r="F125" s="24">
        <f t="shared" si="7"/>
        <v>0</v>
      </c>
    </row>
    <row r="126" spans="6:6" x14ac:dyDescent="0.25">
      <c r="F126" s="24">
        <f t="shared" si="7"/>
        <v>0</v>
      </c>
    </row>
    <row r="127" spans="6:6" x14ac:dyDescent="0.25">
      <c r="F127" s="24">
        <f t="shared" si="7"/>
        <v>0</v>
      </c>
    </row>
    <row r="128" spans="6:6" x14ac:dyDescent="0.25">
      <c r="F128" s="24" t="str">
        <f t="shared" si="7"/>
        <v>LMF Duct Length</v>
      </c>
    </row>
    <row r="129" spans="6:6" x14ac:dyDescent="0.25">
      <c r="F129" s="24">
        <f t="shared" si="7"/>
        <v>0</v>
      </c>
    </row>
    <row r="130" spans="6:6" x14ac:dyDescent="0.25">
      <c r="F130" s="24">
        <f t="shared" si="7"/>
        <v>68598.261692039698</v>
      </c>
    </row>
    <row r="131" spans="6:6" x14ac:dyDescent="0.25">
      <c r="F131" s="24">
        <f t="shared" si="7"/>
        <v>72200.182510221493</v>
      </c>
    </row>
    <row r="132" spans="6:6" x14ac:dyDescent="0.25">
      <c r="F132" s="24">
        <f t="shared" si="7"/>
        <v>72200.182510221493</v>
      </c>
    </row>
    <row r="133" spans="6:6" x14ac:dyDescent="0.25">
      <c r="F133" s="24">
        <f t="shared" si="7"/>
        <v>68598.261692039698</v>
      </c>
    </row>
    <row r="134" spans="6:6" x14ac:dyDescent="0.25">
      <c r="F134" s="24">
        <f t="shared" si="7"/>
        <v>0</v>
      </c>
    </row>
    <row r="135" spans="6:6" x14ac:dyDescent="0.25">
      <c r="F135" s="24">
        <f t="shared" si="7"/>
        <v>68598.261692039698</v>
      </c>
    </row>
    <row r="136" spans="6:6" x14ac:dyDescent="0.25">
      <c r="F136" s="24">
        <f t="shared" si="7"/>
        <v>72200.182510221493</v>
      </c>
    </row>
    <row r="137" spans="6:6" x14ac:dyDescent="0.25">
      <c r="F137" s="24">
        <f t="shared" si="7"/>
        <v>69134.465806048596</v>
      </c>
    </row>
    <row r="138" spans="6:6" x14ac:dyDescent="0.25">
      <c r="F138" s="24">
        <f t="shared" si="7"/>
        <v>70030.505757120001</v>
      </c>
    </row>
    <row r="139" spans="6:6" x14ac:dyDescent="0.25">
      <c r="F139" s="24">
        <f t="shared" si="7"/>
        <v>70030.505757120001</v>
      </c>
    </row>
    <row r="140" spans="6:6" x14ac:dyDescent="0.25">
      <c r="F140" s="24">
        <f t="shared" si="7"/>
        <v>69134.465806048596</v>
      </c>
    </row>
    <row r="141" spans="6:6" x14ac:dyDescent="0.25">
      <c r="F141" s="24">
        <f t="shared" si="7"/>
        <v>70030.505757120001</v>
      </c>
    </row>
    <row r="142" spans="6:6" x14ac:dyDescent="0.25">
      <c r="F142" s="24">
        <f t="shared" si="7"/>
        <v>0</v>
      </c>
    </row>
    <row r="143" spans="6:6" x14ac:dyDescent="0.25">
      <c r="F143" s="24">
        <f t="shared" si="7"/>
        <v>0</v>
      </c>
    </row>
    <row r="144" spans="6:6" x14ac:dyDescent="0.25">
      <c r="F144" s="24">
        <f t="shared" si="7"/>
        <v>0</v>
      </c>
    </row>
    <row r="145" spans="6:6" x14ac:dyDescent="0.25">
      <c r="F145" s="24">
        <f t="shared" si="7"/>
        <v>0</v>
      </c>
    </row>
    <row r="146" spans="6:6" x14ac:dyDescent="0.25">
      <c r="F146" s="24">
        <f t="shared" si="7"/>
        <v>0</v>
      </c>
    </row>
    <row r="147" spans="6:6" x14ac:dyDescent="0.25">
      <c r="F147" s="24">
        <f t="shared" si="7"/>
        <v>0</v>
      </c>
    </row>
    <row r="148" spans="6:6" x14ac:dyDescent="0.25">
      <c r="F148" s="24">
        <f t="shared" si="7"/>
        <v>0</v>
      </c>
    </row>
    <row r="149" spans="6:6" x14ac:dyDescent="0.25">
      <c r="F149" s="24">
        <f t="shared" si="7"/>
        <v>0</v>
      </c>
    </row>
    <row r="150" spans="6:6" x14ac:dyDescent="0.25">
      <c r="F150" s="24">
        <f t="shared" si="7"/>
        <v>0</v>
      </c>
    </row>
    <row r="151" spans="6:6" x14ac:dyDescent="0.25">
      <c r="F151" s="24">
        <f t="shared" si="7"/>
        <v>0</v>
      </c>
    </row>
    <row r="152" spans="6:6" x14ac:dyDescent="0.25">
      <c r="F152" s="24">
        <f t="shared" si="7"/>
        <v>0</v>
      </c>
    </row>
    <row r="153" spans="6:6" x14ac:dyDescent="0.25">
      <c r="F153" s="24">
        <f t="shared" si="7"/>
        <v>0</v>
      </c>
    </row>
    <row r="154" spans="6:6" x14ac:dyDescent="0.25">
      <c r="F154" s="24">
        <f t="shared" si="7"/>
        <v>0</v>
      </c>
    </row>
    <row r="155" spans="6:6" x14ac:dyDescent="0.25">
      <c r="F155" s="24">
        <f t="shared" si="7"/>
        <v>0</v>
      </c>
    </row>
    <row r="156" spans="6:6" x14ac:dyDescent="0.25">
      <c r="F156" s="24">
        <f t="shared" si="7"/>
        <v>0</v>
      </c>
    </row>
    <row r="157" spans="6:6" x14ac:dyDescent="0.25">
      <c r="F157" s="24">
        <f t="shared" si="7"/>
        <v>0</v>
      </c>
    </row>
    <row r="158" spans="6:6" x14ac:dyDescent="0.25">
      <c r="F158" s="24">
        <f t="shared" si="7"/>
        <v>0</v>
      </c>
    </row>
    <row r="159" spans="6:6" x14ac:dyDescent="0.25">
      <c r="F159" s="24">
        <f t="shared" si="7"/>
        <v>0</v>
      </c>
    </row>
    <row r="160" spans="6:6" x14ac:dyDescent="0.25">
      <c r="F160" s="24">
        <f t="shared" si="7"/>
        <v>0</v>
      </c>
    </row>
    <row r="161" spans="6:6" x14ac:dyDescent="0.25">
      <c r="F161" s="24">
        <f t="shared" si="7"/>
        <v>0</v>
      </c>
    </row>
    <row r="162" spans="6:6" x14ac:dyDescent="0.25">
      <c r="F162" s="24">
        <f t="shared" si="7"/>
        <v>0</v>
      </c>
    </row>
    <row r="163" spans="6:6" x14ac:dyDescent="0.25">
      <c r="F163" s="24">
        <f t="shared" si="7"/>
        <v>0</v>
      </c>
    </row>
    <row r="164" spans="6:6" x14ac:dyDescent="0.25">
      <c r="F164" s="24">
        <f t="shared" si="7"/>
        <v>0</v>
      </c>
    </row>
    <row r="165" spans="6:6" x14ac:dyDescent="0.25">
      <c r="F165" s="24">
        <f t="shared" si="7"/>
        <v>0</v>
      </c>
    </row>
    <row r="166" spans="6:6" x14ac:dyDescent="0.25">
      <c r="F166" s="24">
        <f t="shared" si="7"/>
        <v>0</v>
      </c>
    </row>
    <row r="167" spans="6:6" x14ac:dyDescent="0.25">
      <c r="F167" s="24">
        <f t="shared" si="7"/>
        <v>0</v>
      </c>
    </row>
    <row r="168" spans="6:6" x14ac:dyDescent="0.25">
      <c r="F168" s="24">
        <f t="shared" si="7"/>
        <v>0</v>
      </c>
    </row>
    <row r="169" spans="6:6" x14ac:dyDescent="0.25">
      <c r="F169" s="24">
        <f t="shared" si="7"/>
        <v>0</v>
      </c>
    </row>
    <row r="170" spans="6:6" x14ac:dyDescent="0.25">
      <c r="F170" s="24">
        <f t="shared" si="7"/>
        <v>0</v>
      </c>
    </row>
    <row r="171" spans="6:6" x14ac:dyDescent="0.25">
      <c r="F171" s="24">
        <f t="shared" si="7"/>
        <v>0</v>
      </c>
    </row>
    <row r="172" spans="6:6" x14ac:dyDescent="0.25">
      <c r="F172" s="24">
        <f t="shared" si="7"/>
        <v>0</v>
      </c>
    </row>
    <row r="173" spans="6:6" x14ac:dyDescent="0.25">
      <c r="F173" s="24">
        <f t="shared" si="7"/>
        <v>0</v>
      </c>
    </row>
    <row r="174" spans="6:6" x14ac:dyDescent="0.25">
      <c r="F174" s="24">
        <f t="shared" si="7"/>
        <v>0</v>
      </c>
    </row>
    <row r="175" spans="6:6" x14ac:dyDescent="0.25">
      <c r="F175" s="24">
        <f t="shared" si="7"/>
        <v>0</v>
      </c>
    </row>
    <row r="176" spans="6:6" x14ac:dyDescent="0.25">
      <c r="F176" s="24">
        <f t="shared" si="7"/>
        <v>0</v>
      </c>
    </row>
    <row r="177" spans="6:6" x14ac:dyDescent="0.25">
      <c r="F177" s="24">
        <f t="shared" si="7"/>
        <v>0</v>
      </c>
    </row>
    <row r="178" spans="6:6" x14ac:dyDescent="0.25">
      <c r="F178" s="24">
        <f t="shared" si="7"/>
        <v>0</v>
      </c>
    </row>
    <row r="179" spans="6:6" x14ac:dyDescent="0.25">
      <c r="F179" s="24">
        <f t="shared" si="7"/>
        <v>0</v>
      </c>
    </row>
    <row r="180" spans="6:6" x14ac:dyDescent="0.25">
      <c r="F180" s="24">
        <f t="shared" si="7"/>
        <v>0</v>
      </c>
    </row>
    <row r="181" spans="6:6" x14ac:dyDescent="0.25">
      <c r="F181" s="24">
        <f t="shared" si="7"/>
        <v>0</v>
      </c>
    </row>
    <row r="182" spans="6:6" x14ac:dyDescent="0.25">
      <c r="F182" s="24">
        <f t="shared" si="7"/>
        <v>0</v>
      </c>
    </row>
    <row r="183" spans="6:6" x14ac:dyDescent="0.25">
      <c r="F183" s="24">
        <f t="shared" si="7"/>
        <v>0</v>
      </c>
    </row>
    <row r="184" spans="6:6" x14ac:dyDescent="0.25">
      <c r="F184" s="24">
        <f t="shared" si="7"/>
        <v>0</v>
      </c>
    </row>
    <row r="185" spans="6:6" x14ac:dyDescent="0.25">
      <c r="F185" s="24">
        <f t="shared" ref="F185:F239" si="8">D131</f>
        <v>0</v>
      </c>
    </row>
    <row r="186" spans="6:6" x14ac:dyDescent="0.25">
      <c r="F186" s="24">
        <f t="shared" si="8"/>
        <v>0</v>
      </c>
    </row>
    <row r="187" spans="6:6" x14ac:dyDescent="0.25">
      <c r="F187" s="24">
        <f t="shared" si="8"/>
        <v>0</v>
      </c>
    </row>
    <row r="188" spans="6:6" x14ac:dyDescent="0.25">
      <c r="F188" s="24">
        <f t="shared" si="8"/>
        <v>0</v>
      </c>
    </row>
    <row r="189" spans="6:6" x14ac:dyDescent="0.25">
      <c r="F189" s="24">
        <f t="shared" si="8"/>
        <v>0</v>
      </c>
    </row>
    <row r="190" spans="6:6" x14ac:dyDescent="0.25">
      <c r="F190" s="24">
        <f t="shared" si="8"/>
        <v>0</v>
      </c>
    </row>
    <row r="191" spans="6:6" x14ac:dyDescent="0.25">
      <c r="F191" s="24">
        <f t="shared" si="8"/>
        <v>0</v>
      </c>
    </row>
    <row r="192" spans="6:6" x14ac:dyDescent="0.25">
      <c r="F192" s="24">
        <f t="shared" si="8"/>
        <v>0</v>
      </c>
    </row>
    <row r="193" spans="6:6" x14ac:dyDescent="0.25">
      <c r="F193" s="24">
        <f t="shared" si="8"/>
        <v>0</v>
      </c>
    </row>
    <row r="194" spans="6:6" x14ac:dyDescent="0.25">
      <c r="F194" s="24">
        <f t="shared" si="8"/>
        <v>0</v>
      </c>
    </row>
    <row r="195" spans="6:6" x14ac:dyDescent="0.25">
      <c r="F195" s="24">
        <f t="shared" si="8"/>
        <v>0</v>
      </c>
    </row>
    <row r="196" spans="6:6" x14ac:dyDescent="0.25">
      <c r="F196" s="24">
        <f t="shared" si="8"/>
        <v>0</v>
      </c>
    </row>
    <row r="197" spans="6:6" x14ac:dyDescent="0.25">
      <c r="F197" s="24">
        <f t="shared" si="8"/>
        <v>0</v>
      </c>
    </row>
    <row r="198" spans="6:6" x14ac:dyDescent="0.25">
      <c r="F198" s="24">
        <f t="shared" si="8"/>
        <v>0</v>
      </c>
    </row>
    <row r="199" spans="6:6" x14ac:dyDescent="0.25">
      <c r="F199" s="24">
        <f t="shared" si="8"/>
        <v>0</v>
      </c>
    </row>
    <row r="200" spans="6:6" x14ac:dyDescent="0.25">
      <c r="F200" s="24">
        <f t="shared" si="8"/>
        <v>0</v>
      </c>
    </row>
    <row r="201" spans="6:6" x14ac:dyDescent="0.25">
      <c r="F201" s="24">
        <f t="shared" si="8"/>
        <v>0</v>
      </c>
    </row>
    <row r="202" spans="6:6" x14ac:dyDescent="0.25">
      <c r="F202" s="24">
        <f t="shared" si="8"/>
        <v>0</v>
      </c>
    </row>
    <row r="203" spans="6:6" x14ac:dyDescent="0.25">
      <c r="F203" s="24">
        <f t="shared" si="8"/>
        <v>0</v>
      </c>
    </row>
    <row r="204" spans="6:6" x14ac:dyDescent="0.25">
      <c r="F204" s="24">
        <f t="shared" si="8"/>
        <v>0</v>
      </c>
    </row>
    <row r="205" spans="6:6" x14ac:dyDescent="0.25">
      <c r="F205" s="24">
        <f t="shared" si="8"/>
        <v>0</v>
      </c>
    </row>
    <row r="206" spans="6:6" x14ac:dyDescent="0.25">
      <c r="F206" s="24">
        <f t="shared" si="8"/>
        <v>0</v>
      </c>
    </row>
    <row r="207" spans="6:6" x14ac:dyDescent="0.25">
      <c r="F207" s="24">
        <f t="shared" si="8"/>
        <v>0</v>
      </c>
    </row>
    <row r="208" spans="6:6" x14ac:dyDescent="0.25">
      <c r="F208" s="24">
        <f t="shared" si="8"/>
        <v>0</v>
      </c>
    </row>
    <row r="209" spans="6:6" x14ac:dyDescent="0.25">
      <c r="F209" s="24">
        <f t="shared" si="8"/>
        <v>0</v>
      </c>
    </row>
    <row r="210" spans="6:6" x14ac:dyDescent="0.25">
      <c r="F210" s="24">
        <f t="shared" si="8"/>
        <v>0</v>
      </c>
    </row>
    <row r="211" spans="6:6" x14ac:dyDescent="0.25">
      <c r="F211" s="24">
        <f t="shared" si="8"/>
        <v>0</v>
      </c>
    </row>
    <row r="212" spans="6:6" x14ac:dyDescent="0.25">
      <c r="F212" s="24">
        <f t="shared" si="8"/>
        <v>0</v>
      </c>
    </row>
    <row r="213" spans="6:6" x14ac:dyDescent="0.25">
      <c r="F213" s="24">
        <f t="shared" si="8"/>
        <v>0</v>
      </c>
    </row>
    <row r="214" spans="6:6" x14ac:dyDescent="0.25">
      <c r="F214" s="24">
        <f t="shared" si="8"/>
        <v>0</v>
      </c>
    </row>
    <row r="215" spans="6:6" x14ac:dyDescent="0.25">
      <c r="F215" s="24">
        <f t="shared" si="8"/>
        <v>0</v>
      </c>
    </row>
    <row r="216" spans="6:6" x14ac:dyDescent="0.25">
      <c r="F216" s="24">
        <f t="shared" si="8"/>
        <v>0</v>
      </c>
    </row>
    <row r="217" spans="6:6" x14ac:dyDescent="0.25">
      <c r="F217" s="24">
        <f t="shared" si="8"/>
        <v>0</v>
      </c>
    </row>
    <row r="218" spans="6:6" x14ac:dyDescent="0.25">
      <c r="F218" s="24">
        <f t="shared" si="8"/>
        <v>0</v>
      </c>
    </row>
    <row r="219" spans="6:6" x14ac:dyDescent="0.25">
      <c r="F219" s="24">
        <f t="shared" si="8"/>
        <v>0</v>
      </c>
    </row>
    <row r="220" spans="6:6" x14ac:dyDescent="0.25">
      <c r="F220" s="24">
        <f t="shared" si="8"/>
        <v>0</v>
      </c>
    </row>
    <row r="221" spans="6:6" x14ac:dyDescent="0.25">
      <c r="F221" s="24">
        <f t="shared" si="8"/>
        <v>0</v>
      </c>
    </row>
    <row r="222" spans="6:6" x14ac:dyDescent="0.25">
      <c r="F222" s="24">
        <f t="shared" si="8"/>
        <v>0</v>
      </c>
    </row>
    <row r="223" spans="6:6" x14ac:dyDescent="0.25">
      <c r="F223" s="24">
        <f t="shared" si="8"/>
        <v>0</v>
      </c>
    </row>
    <row r="224" spans="6:6" x14ac:dyDescent="0.25">
      <c r="F224" s="24">
        <f t="shared" si="8"/>
        <v>0</v>
      </c>
    </row>
    <row r="225" spans="6:6" x14ac:dyDescent="0.25">
      <c r="F225" s="24">
        <f t="shared" si="8"/>
        <v>0</v>
      </c>
    </row>
    <row r="226" spans="6:6" x14ac:dyDescent="0.25">
      <c r="F226" s="24">
        <f t="shared" si="8"/>
        <v>0</v>
      </c>
    </row>
    <row r="227" spans="6:6" x14ac:dyDescent="0.25">
      <c r="F227" s="24">
        <f t="shared" si="8"/>
        <v>0</v>
      </c>
    </row>
    <row r="228" spans="6:6" x14ac:dyDescent="0.25">
      <c r="F228" s="24">
        <f t="shared" si="8"/>
        <v>0</v>
      </c>
    </row>
    <row r="229" spans="6:6" x14ac:dyDescent="0.25">
      <c r="F229" s="24">
        <f t="shared" si="8"/>
        <v>0</v>
      </c>
    </row>
    <row r="230" spans="6:6" x14ac:dyDescent="0.25">
      <c r="F230" s="24">
        <f t="shared" si="8"/>
        <v>0</v>
      </c>
    </row>
    <row r="231" spans="6:6" x14ac:dyDescent="0.25">
      <c r="F231" s="24">
        <f t="shared" si="8"/>
        <v>0</v>
      </c>
    </row>
    <row r="232" spans="6:6" x14ac:dyDescent="0.25">
      <c r="F232" s="24">
        <f t="shared" si="8"/>
        <v>0</v>
      </c>
    </row>
    <row r="233" spans="6:6" x14ac:dyDescent="0.25">
      <c r="F233" s="24">
        <f t="shared" si="8"/>
        <v>0</v>
      </c>
    </row>
    <row r="234" spans="6:6" x14ac:dyDescent="0.25">
      <c r="F234" s="24">
        <f t="shared" si="8"/>
        <v>0</v>
      </c>
    </row>
    <row r="235" spans="6:6" x14ac:dyDescent="0.25">
      <c r="F235" s="24">
        <f t="shared" si="8"/>
        <v>0</v>
      </c>
    </row>
    <row r="236" spans="6:6" x14ac:dyDescent="0.25">
      <c r="F236" s="24">
        <f t="shared" si="8"/>
        <v>0</v>
      </c>
    </row>
    <row r="237" spans="6:6" x14ac:dyDescent="0.25">
      <c r="F237" s="24">
        <f t="shared" si="8"/>
        <v>0</v>
      </c>
    </row>
    <row r="238" spans="6:6" x14ac:dyDescent="0.25">
      <c r="F238" s="24">
        <f t="shared" si="8"/>
        <v>0</v>
      </c>
    </row>
    <row r="239" spans="6:6" x14ac:dyDescent="0.2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90" zoomScaleNormal="90" workbookViewId="0">
      <selection activeCell="D43" sqref="D43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ht="14.45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111</v>
      </c>
      <c r="K1" s="24" t="s">
        <v>57</v>
      </c>
      <c r="L1" s="24" t="s">
        <v>112</v>
      </c>
      <c r="M1" s="24" t="s">
        <v>59</v>
      </c>
    </row>
    <row r="2" spans="1:13" x14ac:dyDescent="0.25">
      <c r="A2" s="24" t="s">
        <v>50</v>
      </c>
      <c r="B2" s="24">
        <v>85947.449261557893</v>
      </c>
      <c r="C2" s="24">
        <v>942011.40945595957</v>
      </c>
      <c r="D2" s="24">
        <f>71.26*Table7172[[#This Row],[Duct Length]]/50</f>
        <v>122492.30468757232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685320.49758500769</v>
      </c>
      <c r="J2" s="24">
        <f t="shared" ref="J2:J14" si="0">I2*50</f>
        <v>34266024.879250385</v>
      </c>
      <c r="K2" s="24">
        <v>29262</v>
      </c>
      <c r="L2" s="24">
        <f>I2/K2</f>
        <v>23.420152333572815</v>
      </c>
      <c r="M2" s="24">
        <v>25</v>
      </c>
    </row>
    <row r="3" spans="1:13" x14ac:dyDescent="0.2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14" si="1">I3/K3</f>
        <v>16.707714990842224</v>
      </c>
      <c r="M3" s="24">
        <v>50</v>
      </c>
    </row>
    <row r="4" spans="1:13" x14ac:dyDescent="0.2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14.804127516767888</v>
      </c>
      <c r="M4" s="24">
        <v>50</v>
      </c>
    </row>
    <row r="5" spans="1:13" x14ac:dyDescent="0.2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160450</v>
      </c>
      <c r="G5" s="24">
        <f>'FTTH WR-WDMPON 100 Mbps'!C$17</f>
        <v>910</v>
      </c>
      <c r="H5" s="24">
        <f>'FTTH WR-WDMPON 100 Mbps'!D$17</f>
        <v>210000</v>
      </c>
      <c r="I5" s="24">
        <f>SUM(Table7172[[#This Row],[Duct Cost]:[Building E&amp;I Costs]])</f>
        <v>647978.37939566188</v>
      </c>
      <c r="J5" s="24">
        <f t="shared" si="0"/>
        <v>32398918.969783094</v>
      </c>
      <c r="K5" s="24">
        <v>29262</v>
      </c>
      <c r="L5" s="24">
        <f t="shared" si="1"/>
        <v>22.144022260804519</v>
      </c>
      <c r="M5" s="24">
        <v>100</v>
      </c>
    </row>
    <row r="6" spans="1:13" x14ac:dyDescent="0.2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90754</v>
      </c>
      <c r="I6" s="24">
        <f>SUM(Table7172[[#This Row],[Duct Cost]:[Building E&amp;I Costs]])</f>
        <v>592800.75606202509</v>
      </c>
      <c r="J6" s="24">
        <f t="shared" si="0"/>
        <v>29640037.803101253</v>
      </c>
      <c r="K6" s="24">
        <v>29262</v>
      </c>
      <c r="L6" s="24">
        <f t="shared" si="1"/>
        <v>20.258381384116774</v>
      </c>
      <c r="M6" s="24">
        <v>100</v>
      </c>
    </row>
    <row r="7" spans="1:13" x14ac:dyDescent="0.25">
      <c r="A7" s="24" t="s">
        <v>66</v>
      </c>
      <c r="B7" s="24">
        <v>85947.449261557893</v>
      </c>
      <c r="C7" s="24">
        <v>942011.40945595957</v>
      </c>
      <c r="D7" s="24">
        <f>71.26*Table7172[[#This Row],[Duct Length]]/50</f>
        <v>122492.30468757232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784642.89758500771</v>
      </c>
      <c r="J7" s="24">
        <f t="shared" si="0"/>
        <v>39232144.879250385</v>
      </c>
      <c r="K7" s="24">
        <v>29262</v>
      </c>
      <c r="L7" s="24">
        <f t="shared" si="1"/>
        <v>26.814397429601794</v>
      </c>
      <c r="M7" s="24">
        <v>100</v>
      </c>
    </row>
    <row r="8" spans="1:13" x14ac:dyDescent="0.25">
      <c r="A8" s="24" t="s">
        <v>67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 t="shared" si="1"/>
        <v>17.153726883399123</v>
      </c>
      <c r="M8" s="24">
        <v>100</v>
      </c>
    </row>
    <row r="9" spans="1:13" x14ac:dyDescent="0.25">
      <c r="A9" s="24" t="s">
        <v>68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 t="shared" si="1"/>
        <v>15.359455245562913</v>
      </c>
      <c r="M9" s="24">
        <v>100</v>
      </c>
    </row>
    <row r="10" spans="1:13" x14ac:dyDescent="0.25">
      <c r="A10" s="22" t="s">
        <v>69</v>
      </c>
      <c r="B10" s="16">
        <v>57507.321309755403</v>
      </c>
      <c r="C10" s="16">
        <v>629711.41851421306</v>
      </c>
      <c r="D10" s="24">
        <f>71.26*Table7172[[#This Row],[Duct Length]]/50</f>
        <v>81959.434330663411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443471.16896909516</v>
      </c>
      <c r="J10" s="24">
        <f t="shared" si="0"/>
        <v>22173558.448454756</v>
      </c>
      <c r="K10" s="24">
        <v>29262</v>
      </c>
      <c r="L10" s="24">
        <f t="shared" si="1"/>
        <v>15.155189972288127</v>
      </c>
      <c r="M10" s="24">
        <v>25</v>
      </c>
    </row>
    <row r="11" spans="1:13" x14ac:dyDescent="0.25">
      <c r="A11" s="22" t="s">
        <v>70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1"/>
        <v>15.670810701575377</v>
      </c>
      <c r="M11" s="24">
        <v>50</v>
      </c>
    </row>
    <row r="12" spans="1:13" x14ac:dyDescent="0.25">
      <c r="A12" s="22" t="s">
        <v>71</v>
      </c>
      <c r="B12" s="16">
        <v>127537.82706687541</v>
      </c>
      <c r="C12" s="16">
        <v>516582.42972576799</v>
      </c>
      <c r="D12" s="24">
        <f>71.26*Table7172[[#This Row],[Duct Length]]/50</f>
        <v>181766.91113571086</v>
      </c>
      <c r="E12" s="24">
        <f>9.61*Table7172[[#This Row],[Fiber Length]]/50</f>
        <v>99287.142993292597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90000</v>
      </c>
      <c r="I12" s="24">
        <f>SUM(Table7172[[#This Row],[Duct Cost]:[Building E&amp;I Costs]])</f>
        <v>419492.25412900344</v>
      </c>
      <c r="J12" s="24">
        <f t="shared" si="0"/>
        <v>20974612.706450172</v>
      </c>
      <c r="K12" s="24">
        <v>29262</v>
      </c>
      <c r="L12" s="24">
        <f t="shared" si="1"/>
        <v>14.335734198927053</v>
      </c>
      <c r="M12" s="24">
        <v>100</v>
      </c>
    </row>
    <row r="13" spans="1:13" x14ac:dyDescent="0.25">
      <c r="A13" s="22" t="s">
        <v>72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1"/>
        <v>20.26627057739989</v>
      </c>
      <c r="M13" s="24">
        <v>100</v>
      </c>
    </row>
    <row r="14" spans="1:13" x14ac:dyDescent="0.25">
      <c r="A14" s="15" t="s">
        <v>73</v>
      </c>
      <c r="B14" s="16">
        <v>127537.82706687541</v>
      </c>
      <c r="C14" s="16">
        <v>475602.42972576804</v>
      </c>
      <c r="D14" s="24">
        <f>71.26*Table7172[[#This Row],[Duct Length]]/50</f>
        <v>181766.91113571086</v>
      </c>
      <c r="E14" s="24">
        <f>9.61*Table7172[[#This Row],[Fiber Length]]/50</f>
        <v>91410.786993292611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456615.89812900347</v>
      </c>
      <c r="J14" s="24">
        <f t="shared" si="0"/>
        <v>22830794.906450175</v>
      </c>
      <c r="K14" s="24">
        <v>29262</v>
      </c>
      <c r="L14" s="24">
        <f t="shared" si="1"/>
        <v>15.604398131672594</v>
      </c>
      <c r="M14" s="17">
        <v>100</v>
      </c>
    </row>
    <row r="45" spans="6:9" x14ac:dyDescent="0.25">
      <c r="F45" t="s">
        <v>1</v>
      </c>
      <c r="G45" t="s">
        <v>2</v>
      </c>
      <c r="H45" t="s">
        <v>128</v>
      </c>
      <c r="I45" t="s">
        <v>3</v>
      </c>
    </row>
    <row r="46" spans="6:9" x14ac:dyDescent="0.25">
      <c r="F46">
        <f>D2</f>
        <v>122492.30468757232</v>
      </c>
      <c r="G46" s="24">
        <f t="shared" ref="G46:H58" si="2">E2</f>
        <v>181054.59289743542</v>
      </c>
      <c r="H46" s="24">
        <f t="shared" si="2"/>
        <v>11620</v>
      </c>
      <c r="I46">
        <f>G2+H2</f>
        <v>370153.6</v>
      </c>
    </row>
    <row r="47" spans="6:9" x14ac:dyDescent="0.2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16300</v>
      </c>
      <c r="I47" s="24">
        <f t="shared" ref="I47:I58" si="4">G3+H3</f>
        <v>129194.4</v>
      </c>
    </row>
    <row r="48" spans="6:9" x14ac:dyDescent="0.25">
      <c r="F48" s="24">
        <f t="shared" si="3"/>
        <v>136195.87571102803</v>
      </c>
      <c r="G48" s="24">
        <f t="shared" si="2"/>
        <v>140422.50368463391</v>
      </c>
      <c r="H48" s="24">
        <f t="shared" si="2"/>
        <v>22950</v>
      </c>
      <c r="I48" s="24">
        <f t="shared" si="4"/>
        <v>133630</v>
      </c>
    </row>
    <row r="49" spans="6:9" x14ac:dyDescent="0.25">
      <c r="F49" s="24">
        <f t="shared" si="3"/>
        <v>136195.87571102803</v>
      </c>
      <c r="G49" s="24">
        <f t="shared" si="2"/>
        <v>140422.50368463391</v>
      </c>
      <c r="H49" s="24">
        <f t="shared" si="2"/>
        <v>160450</v>
      </c>
      <c r="I49" s="24">
        <f t="shared" si="4"/>
        <v>210910</v>
      </c>
    </row>
    <row r="50" spans="6:9" x14ac:dyDescent="0.25">
      <c r="F50" s="24">
        <f t="shared" si="3"/>
        <v>220258.5472510673</v>
      </c>
      <c r="G50" s="24">
        <f t="shared" si="2"/>
        <v>123148.20881095782</v>
      </c>
      <c r="H50" s="24">
        <f t="shared" si="2"/>
        <v>93800</v>
      </c>
      <c r="I50" s="24">
        <f t="shared" si="4"/>
        <v>155594</v>
      </c>
    </row>
    <row r="51" spans="6:9" x14ac:dyDescent="0.25">
      <c r="F51" s="24">
        <f t="shared" si="3"/>
        <v>122492.30468757232</v>
      </c>
      <c r="G51" s="24">
        <f t="shared" si="2"/>
        <v>181054.59289743542</v>
      </c>
      <c r="H51" s="24">
        <f t="shared" si="2"/>
        <v>15652</v>
      </c>
      <c r="I51" s="24">
        <f t="shared" si="4"/>
        <v>465444</v>
      </c>
    </row>
    <row r="52" spans="6:9" x14ac:dyDescent="0.25">
      <c r="F52" s="24">
        <f t="shared" si="3"/>
        <v>220258.5472510673</v>
      </c>
      <c r="G52" s="24">
        <f t="shared" si="2"/>
        <v>123148.20881095782</v>
      </c>
      <c r="H52" s="24">
        <f t="shared" si="2"/>
        <v>32500</v>
      </c>
      <c r="I52" s="24">
        <f t="shared" si="4"/>
        <v>126045.59999999999</v>
      </c>
    </row>
    <row r="53" spans="6:9" x14ac:dyDescent="0.25">
      <c r="F53" s="24">
        <f t="shared" si="3"/>
        <v>136195.87571102803</v>
      </c>
      <c r="G53" s="24">
        <f t="shared" si="2"/>
        <v>140422.50368463391</v>
      </c>
      <c r="H53" s="24">
        <f t="shared" si="2"/>
        <v>39200</v>
      </c>
      <c r="I53" s="24">
        <f t="shared" si="4"/>
        <v>133630</v>
      </c>
    </row>
    <row r="54" spans="6:9" x14ac:dyDescent="0.25">
      <c r="F54" s="24">
        <f t="shared" si="3"/>
        <v>81959.434330663411</v>
      </c>
      <c r="G54" s="24">
        <f t="shared" si="2"/>
        <v>121030.53463843174</v>
      </c>
      <c r="H54" s="24">
        <f t="shared" si="2"/>
        <v>11720</v>
      </c>
      <c r="I54" s="24">
        <f t="shared" si="4"/>
        <v>228761.2</v>
      </c>
    </row>
    <row r="55" spans="6:9" x14ac:dyDescent="0.25">
      <c r="F55" s="24">
        <f t="shared" si="3"/>
        <v>181766.91113571086</v>
      </c>
      <c r="G55" s="24">
        <f t="shared" si="2"/>
        <v>117354.15161378775</v>
      </c>
      <c r="H55" s="24">
        <f t="shared" si="2"/>
        <v>24000</v>
      </c>
      <c r="I55" s="24">
        <f t="shared" si="4"/>
        <v>135438.20000000001</v>
      </c>
    </row>
    <row r="56" spans="6:9" x14ac:dyDescent="0.25">
      <c r="F56" s="24">
        <f t="shared" si="3"/>
        <v>181766.91113571086</v>
      </c>
      <c r="G56" s="24">
        <f t="shared" si="2"/>
        <v>99287.142993292597</v>
      </c>
      <c r="H56" s="24">
        <f t="shared" si="2"/>
        <v>48000</v>
      </c>
      <c r="I56" s="24">
        <f t="shared" si="4"/>
        <v>90438.2</v>
      </c>
    </row>
    <row r="57" spans="6:9" x14ac:dyDescent="0.25">
      <c r="F57" s="24">
        <f t="shared" si="3"/>
        <v>180489.8749974439</v>
      </c>
      <c r="G57" s="24">
        <f t="shared" si="2"/>
        <v>121030.53463843174</v>
      </c>
      <c r="H57" s="24">
        <f t="shared" si="2"/>
        <v>46280</v>
      </c>
      <c r="I57" s="24">
        <f t="shared" si="4"/>
        <v>245231.2</v>
      </c>
    </row>
    <row r="58" spans="6:9" x14ac:dyDescent="0.25">
      <c r="F58" s="24">
        <f t="shared" si="3"/>
        <v>181766.91113571086</v>
      </c>
      <c r="G58" s="24">
        <f t="shared" si="2"/>
        <v>91410.786993292611</v>
      </c>
      <c r="H58" s="24">
        <f t="shared" si="2"/>
        <v>48000</v>
      </c>
      <c r="I58" s="24">
        <f t="shared" si="4"/>
        <v>135438.20000000001</v>
      </c>
    </row>
    <row r="59" spans="6:9" x14ac:dyDescent="0.2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16" sqref="E16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124</v>
      </c>
      <c r="K1" s="24" t="s">
        <v>57</v>
      </c>
      <c r="L1" s="24" t="s">
        <v>127</v>
      </c>
      <c r="M1" s="24" t="s">
        <v>59</v>
      </c>
    </row>
    <row r="2" spans="1:13" x14ac:dyDescent="0.3">
      <c r="A2" s="24" t="s">
        <v>50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336071.45736119698</v>
      </c>
      <c r="J2" s="24">
        <f t="shared" ref="J2:J14" si="0">I2*50</f>
        <v>16803572.868059848</v>
      </c>
      <c r="K2" s="24">
        <v>29262</v>
      </c>
      <c r="L2" s="24">
        <f>I2/K2</f>
        <v>11.484910715644761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14" si="1">I3/K3</f>
        <v>5.6479072134832045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130</v>
      </c>
      <c r="H4" s="24">
        <f>'FTTB WR-WDMPON 50 Mbps'!D$18</f>
        <v>75000</v>
      </c>
      <c r="I4" s="24">
        <f>SUM(Table717218[[#This Row],[Duct Cost]:[Building E&amp;I Costs]])</f>
        <v>135017.46299989594</v>
      </c>
      <c r="J4" s="24">
        <f t="shared" si="0"/>
        <v>6750873.1499947971</v>
      </c>
      <c r="K4" s="24">
        <v>29262</v>
      </c>
      <c r="L4" s="24">
        <f t="shared" si="1"/>
        <v>4.6140886815629809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27300</v>
      </c>
      <c r="G5" s="24">
        <f>'FTTH WR-WDMPON 100 Mbps'!C$18</f>
        <v>910</v>
      </c>
      <c r="H5" s="24">
        <f>'FTTH WR-WDMPON 100 Mbps'!D$18</f>
        <v>210000</v>
      </c>
      <c r="I5" s="24">
        <f>SUM(Table717218[[#This Row],[Duct Cost]:[Building E&amp;I Costs]])</f>
        <v>294197.46299989591</v>
      </c>
      <c r="J5" s="24">
        <f t="shared" si="0"/>
        <v>14709873.149994796</v>
      </c>
      <c r="K5" s="24">
        <v>29262</v>
      </c>
      <c r="L5" s="24">
        <f t="shared" si="1"/>
        <v>10.053908242768639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150000</v>
      </c>
      <c r="I6" s="24">
        <f>SUM(Table717218[[#This Row],[Duct Cost]:[Building E&amp;I Costs]])</f>
        <v>244487.06088094553</v>
      </c>
      <c r="J6" s="24">
        <f t="shared" si="0"/>
        <v>12224353.044047277</v>
      </c>
      <c r="K6" s="24">
        <v>29262</v>
      </c>
      <c r="L6" s="24">
        <f t="shared" si="1"/>
        <v>8.3551042608483872</v>
      </c>
      <c r="M6" s="24">
        <v>100</v>
      </c>
    </row>
    <row r="7" spans="1:13" x14ac:dyDescent="0.3">
      <c r="A7" s="24" t="s">
        <v>66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2700</v>
      </c>
      <c r="G7" s="24">
        <f>FTTCab_GPON_100!C$19</f>
        <v>323440</v>
      </c>
      <c r="H7" s="24">
        <f>FTTCab_GPON_100!D$19</f>
        <v>0</v>
      </c>
      <c r="I7" s="24">
        <f>SUM(Table717218[[#This Row],[Duct Cost]:[Building E&amp;I Costs]])</f>
        <v>374091.45736119698</v>
      </c>
      <c r="J7" s="24">
        <f t="shared" si="0"/>
        <v>18704572.868059848</v>
      </c>
      <c r="K7" s="24">
        <v>29262</v>
      </c>
      <c r="L7" s="24">
        <f t="shared" si="1"/>
        <v>12.784206730954718</v>
      </c>
      <c r="M7" s="24">
        <v>100</v>
      </c>
    </row>
    <row r="8" spans="1:13" x14ac:dyDescent="0.3">
      <c r="A8" s="24" t="s">
        <v>67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 t="shared" si="1"/>
        <v>5.7929759032515049</v>
      </c>
      <c r="M8" s="24">
        <v>100</v>
      </c>
    </row>
    <row r="9" spans="1:13" x14ac:dyDescent="0.3">
      <c r="A9" s="24" t="s">
        <v>68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7800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140087.46299989594</v>
      </c>
      <c r="J9" s="24">
        <f t="shared" si="0"/>
        <v>7004373.1499947971</v>
      </c>
      <c r="K9" s="24">
        <v>29262</v>
      </c>
      <c r="L9" s="24">
        <f t="shared" si="1"/>
        <v>4.7873509329470281</v>
      </c>
      <c r="M9" s="24">
        <v>100</v>
      </c>
    </row>
    <row r="10" spans="1:13" x14ac:dyDescent="0.3">
      <c r="A10" s="22" t="s">
        <v>69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si="1"/>
        <v>8.0587394420620413</v>
      </c>
      <c r="M10" s="24">
        <v>25</v>
      </c>
    </row>
    <row r="11" spans="1:13" x14ac:dyDescent="0.3">
      <c r="A11" s="22" t="s">
        <v>70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1"/>
        <v>5.7765678254074855</v>
      </c>
      <c r="M11" s="24">
        <v>50</v>
      </c>
    </row>
    <row r="12" spans="1:13" x14ac:dyDescent="0.3">
      <c r="A12" s="22" t="s">
        <v>71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150000</v>
      </c>
      <c r="I12" s="24">
        <f>SUM(Table717218[[#This Row],[Duct Cost]:[Building E&amp;I Costs]])</f>
        <v>247370.15382193681</v>
      </c>
      <c r="J12" s="24">
        <f t="shared" si="0"/>
        <v>12368507.69109684</v>
      </c>
      <c r="K12" s="24">
        <v>29262</v>
      </c>
      <c r="L12" s="24">
        <f t="shared" si="1"/>
        <v>8.4536311196068894</v>
      </c>
      <c r="M12" s="24">
        <v>100</v>
      </c>
    </row>
    <row r="13" spans="1:13" x14ac:dyDescent="0.3">
      <c r="A13" s="22" t="s">
        <v>72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1"/>
        <v>8.5764757553694029</v>
      </c>
      <c r="M13" s="24">
        <v>100</v>
      </c>
    </row>
    <row r="14" spans="1:13" x14ac:dyDescent="0.3">
      <c r="A14" s="15" t="s">
        <v>73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157173.13936804034</v>
      </c>
      <c r="J14" s="24">
        <f t="shared" si="0"/>
        <v>7858656.9684020169</v>
      </c>
      <c r="K14" s="24">
        <v>29262</v>
      </c>
      <c r="L14" s="24">
        <f t="shared" si="1"/>
        <v>5.3712370777130864</v>
      </c>
      <c r="M14" s="17">
        <v>100</v>
      </c>
    </row>
    <row r="47" spans="4:7" x14ac:dyDescent="0.25">
      <c r="D47" s="24" t="s">
        <v>1</v>
      </c>
      <c r="E47" s="24" t="s">
        <v>2</v>
      </c>
      <c r="F47" s="24" t="s">
        <v>128</v>
      </c>
      <c r="G47" s="24" t="s">
        <v>3</v>
      </c>
    </row>
    <row r="48" spans="4:7" x14ac:dyDescent="0.2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286120</v>
      </c>
    </row>
    <row r="49" spans="4:7" x14ac:dyDescent="0.2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2970</v>
      </c>
      <c r="G49" s="24">
        <f t="shared" ref="G49:G60" si="4">G3+H3</f>
        <v>75000</v>
      </c>
    </row>
    <row r="50" spans="4:7" x14ac:dyDescent="0.2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3900</v>
      </c>
      <c r="G50" s="24">
        <f t="shared" si="4"/>
        <v>75130</v>
      </c>
    </row>
    <row r="51" spans="4:7" x14ac:dyDescent="0.2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27300</v>
      </c>
      <c r="G51" s="24">
        <f t="shared" si="4"/>
        <v>210910</v>
      </c>
    </row>
    <row r="52" spans="4:7" x14ac:dyDescent="0.2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5940</v>
      </c>
      <c r="G52" s="24">
        <f t="shared" si="4"/>
        <v>151248</v>
      </c>
    </row>
    <row r="53" spans="4:7" x14ac:dyDescent="0.2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2700</v>
      </c>
      <c r="G53" s="24">
        <f t="shared" si="4"/>
        <v>323440</v>
      </c>
    </row>
    <row r="54" spans="4:7" x14ac:dyDescent="0.2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5940</v>
      </c>
      <c r="G54" s="24">
        <f t="shared" si="4"/>
        <v>76275</v>
      </c>
    </row>
    <row r="55" spans="4:7" x14ac:dyDescent="0.2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7800</v>
      </c>
      <c r="G55" s="24">
        <f t="shared" si="4"/>
        <v>76300</v>
      </c>
    </row>
    <row r="56" spans="4:7" x14ac:dyDescent="0.2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2000</v>
      </c>
      <c r="G56" s="24">
        <f t="shared" si="4"/>
        <v>161650</v>
      </c>
    </row>
    <row r="57" spans="4:7" x14ac:dyDescent="0.2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4400</v>
      </c>
      <c r="G57" s="24">
        <f t="shared" si="4"/>
        <v>92100</v>
      </c>
    </row>
    <row r="58" spans="4:7" x14ac:dyDescent="0.2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8800</v>
      </c>
      <c r="G58" s="24">
        <f t="shared" si="4"/>
        <v>153050</v>
      </c>
    </row>
    <row r="59" spans="4:7" x14ac:dyDescent="0.2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8000</v>
      </c>
      <c r="G59" s="24">
        <f t="shared" si="4"/>
        <v>170800</v>
      </c>
    </row>
    <row r="60" spans="4:7" x14ac:dyDescent="0.2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8800</v>
      </c>
      <c r="G60" s="24">
        <f t="shared" si="4"/>
        <v>78050</v>
      </c>
    </row>
    <row r="61" spans="4:7" x14ac:dyDescent="0.2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52" sqref="Z52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activeCell="B47" sqref="B47"/>
      <selection pane="topRight" activeCell="B47" sqref="B47"/>
      <selection pane="bottomLeft" activeCell="B47" sqref="B47"/>
      <selection pane="bottomRight"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119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125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83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84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85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109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84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85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109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130</v>
      </c>
    </row>
    <row r="9" spans="1:11" ht="14.45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87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84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85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109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130</v>
      </c>
      <c r="D18" s="21">
        <f>SUM(K9:K10)</f>
        <v>75000</v>
      </c>
      <c r="E18" s="5">
        <f t="shared" si="0"/>
        <v>79030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47" sqref="B47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7" max="7" width="19.42578125" customWidth="1"/>
    <col min="8" max="8" width="24.85546875" customWidth="1"/>
    <col min="9" max="9" width="26.5703125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65*7</f>
        <v>455</v>
      </c>
      <c r="H3" s="4">
        <f>Table2456[[#This Row],[Cost per Unit (OASE)]]*Table2456[[#This Row],[Quantity]]</f>
        <v>9100</v>
      </c>
      <c r="I3" s="12">
        <f>Table2456[[#This Row],[Cost per Unit(Rokkas)]]*Table2456[[#This Row],[Quantity]]</f>
        <v>91000</v>
      </c>
      <c r="J3" s="12">
        <f>Table2456[[#This Row],[Cost per Unit (BSG)]]*Table2456[[#This Row],[Quantity]]</f>
        <v>159250</v>
      </c>
      <c r="K3" s="35">
        <f>Table2456[[#This Row],[Cost per Unit(Phillipson)]]*Table2456[[#This Row],[Quantity]]</f>
        <v>27300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65*7</f>
        <v>455</v>
      </c>
      <c r="H4" s="4">
        <f>Table2456[[#This Row],[Cost per Unit (OASE)]]*Table2456[[#This Row],[Quantity]]</f>
        <v>28665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65*7</f>
        <v>455</v>
      </c>
      <c r="H5" s="4">
        <f>Table2456[[#This Row],[Cost per Unit (OASE)]]*Table2456[[#This Row],[Quantity]]</f>
        <v>1046.5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6</v>
      </c>
      <c r="H7" s="4">
        <f>Table2456[[#This Row],[Cost per Unit (OASE)]]*Table2456[[#This Row],[Quantity]]</f>
        <v>2400</v>
      </c>
      <c r="I7" s="12">
        <f>Table2456[[#This Row],[Cost per Unit(Rokkas)]]*Table2456[[#This Row],[Quantity]]</f>
        <v>18000</v>
      </c>
      <c r="J7" s="12">
        <f>Table2456[[#This Row],[Cost per Unit (BSG)]]*Table2456[[#This Row],[Quantity]]</f>
        <v>1200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65*7</f>
        <v>455</v>
      </c>
      <c r="H8" s="4">
        <f>Table2456[[#This Row],[Cost per Unit (OASE)]]*Table2456[[#This Row],[Quantity]]</f>
        <v>10920</v>
      </c>
      <c r="I8" s="12">
        <f>Table2456[[#This Row],[Cost per Unit(Rokkas)]]*Table2456[[#This Row],[Quantity]]</f>
        <v>1820</v>
      </c>
      <c r="J8" s="12">
        <f>Table2456[[#This Row],[Cost per Unit (BSG)]]*Table2456[[#This Row],[Quantity]]</f>
        <v>910</v>
      </c>
      <c r="K8" s="35">
        <f>Table2456[[#This Row],[Cost per Unit(Phillipson)]]*Table2456[[#This Row],[Quantity]]</f>
        <v>910</v>
      </c>
    </row>
    <row r="9" spans="1:11" ht="14.45" x14ac:dyDescent="0.3">
      <c r="A9" s="6" t="s">
        <v>32</v>
      </c>
      <c r="B9" s="6" t="s">
        <v>65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126</v>
      </c>
      <c r="C10" s="4">
        <v>5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150000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84</v>
      </c>
      <c r="B15" s="9">
        <f>SUM(H2:H7)</f>
        <v>41616.833333333336</v>
      </c>
      <c r="C15" s="9">
        <f>SUM(H8:H8)</f>
        <v>10920</v>
      </c>
      <c r="D15" s="10">
        <f>SUM(H9:H10)</f>
        <v>150000</v>
      </c>
      <c r="E15" s="5">
        <f>SUM(B15:D15)</f>
        <v>202536.83333333334</v>
      </c>
      <c r="F15" s="5"/>
      <c r="J15" s="28"/>
    </row>
    <row r="16" spans="1:11" ht="15.6" thickTop="1" thickBot="1" x14ac:dyDescent="0.35">
      <c r="A16" t="s">
        <v>88</v>
      </c>
      <c r="B16">
        <f>SUM(I2:I7)</f>
        <v>109000</v>
      </c>
      <c r="C16">
        <f>SUM(I8)</f>
        <v>1820</v>
      </c>
      <c r="D16">
        <f>SUM(I9:I10)</f>
        <v>210000</v>
      </c>
      <c r="E16" s="5">
        <f>SUM(B16:D16)</f>
        <v>320820</v>
      </c>
      <c r="F16" s="5"/>
      <c r="J16" s="29"/>
    </row>
    <row r="17" spans="1:10" ht="15.6" thickTop="1" thickBot="1" x14ac:dyDescent="0.35">
      <c r="A17" t="s">
        <v>109</v>
      </c>
      <c r="B17">
        <f>SUM(J2:J7)</f>
        <v>160450</v>
      </c>
      <c r="C17">
        <f>SUM(J8)</f>
        <v>910</v>
      </c>
      <c r="D17">
        <f>SUM(J9:J10)</f>
        <v>210000</v>
      </c>
      <c r="E17" s="5">
        <f>SUM(B17:D17)</f>
        <v>371360</v>
      </c>
      <c r="F17" s="5"/>
      <c r="J17" s="28"/>
    </row>
    <row r="18" spans="1:10" ht="15.6" thickTop="1" thickBot="1" x14ac:dyDescent="0.35">
      <c r="A18" t="s">
        <v>6</v>
      </c>
      <c r="B18">
        <f>SUM(K2:K7)</f>
        <v>27300</v>
      </c>
      <c r="C18" s="24">
        <f>SUM(K8)</f>
        <v>910</v>
      </c>
      <c r="D18" s="24">
        <f>SUM(K10:K11)</f>
        <v>210000</v>
      </c>
      <c r="E18" s="5">
        <f>SUM(B18:D18)</f>
        <v>238210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</f>
        <v>1.8</v>
      </c>
      <c r="D10" s="4">
        <f>4</f>
        <v>4</v>
      </c>
      <c r="E10" s="4">
        <f>2.7</f>
        <v>2.7</v>
      </c>
      <c r="F10" s="4">
        <f>5</f>
        <v>5</v>
      </c>
      <c r="G10" s="4">
        <v>30000</v>
      </c>
      <c r="H10" s="4">
        <f>Table247[[#This Row],[Cost per Unit (OASE)]]*Table247[[#This Row],[Quantity]]</f>
        <v>54000</v>
      </c>
      <c r="I10" s="12">
        <f>Table247[[#This Row],[Cost per Unit (Rokkas)]]*Table247[[#This Row],[Quantity]]</f>
        <v>120000</v>
      </c>
      <c r="J10" s="12">
        <f>Table247[[#This Row],[Cost per Unit (BSG)]]*Table247[[#This Row],[Quantity]]</f>
        <v>81000</v>
      </c>
      <c r="K10" s="35">
        <f>Table247[[#This Row],[Cost per Unit(Phillipson)]]*Table247[[#This Row],[Quantity]]</f>
        <v>150000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83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84</v>
      </c>
      <c r="B17" s="9">
        <f>SUM(H2:H5)</f>
        <v>12618.666666666666</v>
      </c>
      <c r="C17" s="9">
        <f>SUM(H6:H8)</f>
        <v>6501.6</v>
      </c>
      <c r="D17" s="10">
        <f>SUM(H9:H10)</f>
        <v>62778.6</v>
      </c>
      <c r="E17" s="5">
        <f>SUM(B17:D17)</f>
        <v>81898.866666666669</v>
      </c>
      <c r="F17" s="5"/>
    </row>
    <row r="18" spans="1:6" ht="15.6" thickTop="1" thickBot="1" x14ac:dyDescent="0.35">
      <c r="A18" t="s">
        <v>85</v>
      </c>
      <c r="B18">
        <f>SUM(I2:I5)</f>
        <v>19368</v>
      </c>
      <c r="C18">
        <f>SUM(I6:I8)</f>
        <v>16568</v>
      </c>
      <c r="D18">
        <f>SUM(I9:I10)</f>
        <v>120000</v>
      </c>
      <c r="E18" s="5">
        <f>SUM(B18:D18)</f>
        <v>155936</v>
      </c>
      <c r="F18" s="5"/>
    </row>
    <row r="19" spans="1:6" ht="15.6" thickTop="1" thickBot="1" x14ac:dyDescent="0.35">
      <c r="A19" t="s">
        <v>109</v>
      </c>
      <c r="B19">
        <f>SUM(J2:J5)</f>
        <v>93800</v>
      </c>
      <c r="C19">
        <f>SUM(J6:J8)</f>
        <v>64840</v>
      </c>
      <c r="D19">
        <f>SUM(J9:J10)</f>
        <v>90754</v>
      </c>
      <c r="E19" s="5">
        <f>SUM(B19:D19)</f>
        <v>249394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150000</v>
      </c>
      <c r="E20" s="5">
        <f>SUM(B20:D20)</f>
        <v>157188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B47" sqref="B47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122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135</v>
      </c>
      <c r="C9" s="4">
        <v>1.2</v>
      </c>
      <c r="D9" s="4">
        <v>10</v>
      </c>
      <c r="E9" s="4">
        <v>1.4</v>
      </c>
      <c r="F9" s="4">
        <v>200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248800</v>
      </c>
    </row>
    <row r="10" spans="1:11" ht="14.45" x14ac:dyDescent="0.3">
      <c r="A10" s="6" t="s">
        <v>30</v>
      </c>
      <c r="B10" s="6" t="s">
        <v>64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84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85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109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323440</v>
      </c>
      <c r="D19" s="24">
        <v>0</v>
      </c>
      <c r="E19" s="5">
        <f>SUM(B19:D19)</f>
        <v>326140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64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83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84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85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109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2018-07-19T10:21:43Z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