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825" windowWidth="13680" windowHeight="11070" tabRatio="847" activeTab="1"/>
  </bookViews>
  <sheets>
    <sheet name="CAPEX" sheetId="1" r:id="rId1"/>
    <sheet name="OPEX" sheetId="2" r:id="rId2"/>
    <sheet name="Revenue" sheetId="3" r:id="rId3"/>
    <sheet name="MIG_MATRIX" sheetId="11" r:id="rId4"/>
  </sheets>
  <calcPr calcId="145621"/>
</workbook>
</file>

<file path=xl/calcChain.xml><?xml version="1.0" encoding="utf-8"?>
<calcChain xmlns="http://schemas.openxmlformats.org/spreadsheetml/2006/main">
  <c r="X3" i="1" l="1"/>
  <c r="G71" i="3" l="1"/>
  <c r="D55" i="3"/>
  <c r="G55" i="3" s="1"/>
  <c r="D56" i="3"/>
  <c r="G56" i="3" s="1"/>
  <c r="D57" i="3"/>
  <c r="G57" i="3" s="1"/>
  <c r="D58" i="3"/>
  <c r="G58" i="3" s="1"/>
  <c r="D59" i="3"/>
  <c r="G59" i="3" s="1"/>
  <c r="D60" i="3"/>
  <c r="G60" i="3" s="1"/>
  <c r="D61" i="3"/>
  <c r="G61" i="3" s="1"/>
  <c r="D62" i="3"/>
  <c r="G62" i="3" s="1"/>
  <c r="D63" i="3"/>
  <c r="D64" i="3"/>
  <c r="G64" i="3" s="1"/>
  <c r="D65" i="3"/>
  <c r="G65" i="3" s="1"/>
  <c r="D66" i="3"/>
  <c r="G66" i="3" s="1"/>
  <c r="D67" i="3"/>
  <c r="D68" i="3"/>
  <c r="G68" i="3" s="1"/>
  <c r="D69" i="3"/>
  <c r="G69" i="3" s="1"/>
  <c r="D70" i="3"/>
  <c r="G70" i="3" s="1"/>
  <c r="D71" i="3"/>
  <c r="D72" i="3"/>
  <c r="G72" i="3" s="1"/>
  <c r="D73" i="3"/>
  <c r="G73" i="3" s="1"/>
  <c r="D74" i="3"/>
  <c r="G74" i="3" s="1"/>
  <c r="C55" i="3"/>
  <c r="F55" i="3" s="1"/>
  <c r="C56" i="3"/>
  <c r="F56" i="3" s="1"/>
  <c r="C57" i="3"/>
  <c r="F57" i="3" s="1"/>
  <c r="C58" i="3"/>
  <c r="F58" i="3" s="1"/>
  <c r="C59" i="3"/>
  <c r="F59" i="3" s="1"/>
  <c r="C60" i="3"/>
  <c r="F60" i="3" s="1"/>
  <c r="C61" i="3"/>
  <c r="F61" i="3" s="1"/>
  <c r="C62" i="3"/>
  <c r="F62" i="3" s="1"/>
  <c r="C63" i="3"/>
  <c r="F63" i="3" s="1"/>
  <c r="C64" i="3"/>
  <c r="F64" i="3" s="1"/>
  <c r="C65" i="3"/>
  <c r="F65" i="3" s="1"/>
  <c r="C66" i="3"/>
  <c r="F66" i="3" s="1"/>
  <c r="C67" i="3"/>
  <c r="F67" i="3" s="1"/>
  <c r="C68" i="3"/>
  <c r="F68" i="3" s="1"/>
  <c r="C69" i="3"/>
  <c r="F69" i="3" s="1"/>
  <c r="C70" i="3"/>
  <c r="F70" i="3" s="1"/>
  <c r="C71" i="3"/>
  <c r="F71" i="3" s="1"/>
  <c r="C72" i="3"/>
  <c r="F72" i="3" s="1"/>
  <c r="C73" i="3"/>
  <c r="F73" i="3" s="1"/>
  <c r="C74" i="3"/>
  <c r="F74" i="3" s="1"/>
  <c r="B55" i="3"/>
  <c r="E55" i="3" s="1"/>
  <c r="B56" i="3"/>
  <c r="E56" i="3" s="1"/>
  <c r="B57" i="3"/>
  <c r="E57" i="3" s="1"/>
  <c r="B58" i="3"/>
  <c r="E58" i="3" s="1"/>
  <c r="B59" i="3"/>
  <c r="E59" i="3" s="1"/>
  <c r="B60" i="3"/>
  <c r="E60" i="3" s="1"/>
  <c r="B61" i="3"/>
  <c r="E61" i="3" s="1"/>
  <c r="B62" i="3"/>
  <c r="E62" i="3" s="1"/>
  <c r="B63" i="3"/>
  <c r="E63" i="3" s="1"/>
  <c r="B64" i="3"/>
  <c r="E64" i="3" s="1"/>
  <c r="B65" i="3"/>
  <c r="E65" i="3" s="1"/>
  <c r="B66" i="3"/>
  <c r="E66" i="3" s="1"/>
  <c r="B67" i="3"/>
  <c r="E67" i="3" s="1"/>
  <c r="B68" i="3"/>
  <c r="E68" i="3" s="1"/>
  <c r="B69" i="3"/>
  <c r="E69" i="3" s="1"/>
  <c r="B70" i="3"/>
  <c r="E70" i="3" s="1"/>
  <c r="B71" i="3"/>
  <c r="E71" i="3" s="1"/>
  <c r="B72" i="3"/>
  <c r="E72" i="3" s="1"/>
  <c r="B73" i="3"/>
  <c r="E73" i="3" s="1"/>
  <c r="B74" i="3"/>
  <c r="E74" i="3" s="1"/>
  <c r="C54" i="3"/>
  <c r="F54" i="3" s="1"/>
  <c r="D54" i="3"/>
  <c r="G54" i="3" s="1"/>
  <c r="B54" i="3"/>
  <c r="E54" i="3" s="1"/>
  <c r="B29" i="3"/>
  <c r="D30" i="3"/>
  <c r="G30" i="3" s="1"/>
  <c r="D31" i="3"/>
  <c r="D32" i="3"/>
  <c r="G32" i="3" s="1"/>
  <c r="D33" i="3"/>
  <c r="D34" i="3"/>
  <c r="G34" i="3" s="1"/>
  <c r="D35" i="3"/>
  <c r="D36" i="3"/>
  <c r="G36" i="3" s="1"/>
  <c r="D37" i="3"/>
  <c r="D38" i="3"/>
  <c r="G38" i="3" s="1"/>
  <c r="D39" i="3"/>
  <c r="D40" i="3"/>
  <c r="G40" i="3" s="1"/>
  <c r="D41" i="3"/>
  <c r="D42" i="3"/>
  <c r="G42" i="3" s="1"/>
  <c r="D43" i="3"/>
  <c r="D44" i="3"/>
  <c r="G44" i="3" s="1"/>
  <c r="D45" i="3"/>
  <c r="D46" i="3"/>
  <c r="G46" i="3" s="1"/>
  <c r="D47" i="3"/>
  <c r="D48" i="3"/>
  <c r="G48" i="3" s="1"/>
  <c r="D49" i="3"/>
  <c r="C30" i="3"/>
  <c r="P3" i="3" s="1"/>
  <c r="C31" i="3"/>
  <c r="C32" i="3"/>
  <c r="F32" i="3" s="1"/>
  <c r="C33" i="3"/>
  <c r="C34" i="3"/>
  <c r="P7" i="3" s="1"/>
  <c r="C35" i="3"/>
  <c r="C36" i="3"/>
  <c r="F36" i="3" s="1"/>
  <c r="C37" i="3"/>
  <c r="C38" i="3"/>
  <c r="P11" i="3" s="1"/>
  <c r="C39" i="3"/>
  <c r="C40" i="3"/>
  <c r="F40" i="3" s="1"/>
  <c r="C41" i="3"/>
  <c r="C42" i="3"/>
  <c r="P15" i="3" s="1"/>
  <c r="C43" i="3"/>
  <c r="C44" i="3"/>
  <c r="F44" i="3" s="1"/>
  <c r="C45" i="3"/>
  <c r="C46" i="3"/>
  <c r="P19" i="3" s="1"/>
  <c r="C47" i="3"/>
  <c r="C48" i="3"/>
  <c r="F48" i="3" s="1"/>
  <c r="C49" i="3"/>
  <c r="B30" i="3"/>
  <c r="O3" i="3" s="1"/>
  <c r="B31" i="3"/>
  <c r="B32" i="3"/>
  <c r="E32" i="3" s="1"/>
  <c r="B33" i="3"/>
  <c r="E33" i="3" s="1"/>
  <c r="B34" i="3"/>
  <c r="O7" i="3" s="1"/>
  <c r="B35" i="3"/>
  <c r="B36" i="3"/>
  <c r="E36" i="3" s="1"/>
  <c r="B37" i="3"/>
  <c r="E37" i="3" s="1"/>
  <c r="B38" i="3"/>
  <c r="O11" i="3" s="1"/>
  <c r="B39" i="3"/>
  <c r="E39" i="3" s="1"/>
  <c r="B40" i="3"/>
  <c r="E40" i="3" s="1"/>
  <c r="B41" i="3"/>
  <c r="E41" i="3" s="1"/>
  <c r="B42" i="3"/>
  <c r="O15" i="3" s="1"/>
  <c r="B43" i="3"/>
  <c r="B44" i="3"/>
  <c r="E44" i="3" s="1"/>
  <c r="B45" i="3"/>
  <c r="E45" i="3" s="1"/>
  <c r="B46" i="3"/>
  <c r="O19" i="3" s="1"/>
  <c r="B47" i="3"/>
  <c r="B48" i="3"/>
  <c r="E48" i="3" s="1"/>
  <c r="B49" i="3"/>
  <c r="E49" i="3" s="1"/>
  <c r="C29" i="3"/>
  <c r="D29" i="3"/>
  <c r="Q2" i="3" s="1"/>
  <c r="W15" i="1"/>
  <c r="W14" i="1"/>
  <c r="W13" i="1"/>
  <c r="W12" i="1"/>
  <c r="C11" i="1"/>
  <c r="I10" i="1"/>
  <c r="W9" i="1"/>
  <c r="W8" i="1"/>
  <c r="C3" i="1"/>
  <c r="W6" i="1"/>
  <c r="H6" i="1"/>
  <c r="I6" i="1"/>
  <c r="I4" i="1"/>
  <c r="H4" i="1"/>
  <c r="I3" i="1"/>
  <c r="H3" i="1"/>
  <c r="I8" i="3"/>
  <c r="I7" i="3"/>
  <c r="I6" i="3"/>
  <c r="I5" i="3"/>
  <c r="I7" i="1"/>
  <c r="H7" i="1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" i="3"/>
  <c r="W44" i="1"/>
  <c r="T44" i="1"/>
  <c r="S44" i="1"/>
  <c r="I12" i="3"/>
  <c r="Q27" i="1"/>
  <c r="G29" i="3" l="1"/>
  <c r="T2" i="3" s="1"/>
  <c r="T19" i="3"/>
  <c r="T7" i="3"/>
  <c r="R22" i="3"/>
  <c r="R18" i="3"/>
  <c r="R14" i="3"/>
  <c r="R10" i="3"/>
  <c r="R6" i="3"/>
  <c r="P22" i="3"/>
  <c r="P18" i="3"/>
  <c r="P14" i="3"/>
  <c r="P10" i="3"/>
  <c r="P6" i="3"/>
  <c r="Q22" i="3"/>
  <c r="Q18" i="3"/>
  <c r="Q14" i="3"/>
  <c r="Q10" i="3"/>
  <c r="Q6" i="3"/>
  <c r="O2" i="3"/>
  <c r="Q21" i="3"/>
  <c r="Q5" i="3"/>
  <c r="Q17" i="3"/>
  <c r="R17" i="3"/>
  <c r="R13" i="3"/>
  <c r="R9" i="3"/>
  <c r="R5" i="3"/>
  <c r="S21" i="3"/>
  <c r="S17" i="3"/>
  <c r="S13" i="3"/>
  <c r="S9" i="3"/>
  <c r="S5" i="3"/>
  <c r="T21" i="3"/>
  <c r="T17" i="3"/>
  <c r="T13" i="3"/>
  <c r="T9" i="3"/>
  <c r="T5" i="3"/>
  <c r="Q19" i="3"/>
  <c r="Q15" i="3"/>
  <c r="Q11" i="3"/>
  <c r="Q7" i="3"/>
  <c r="Q13" i="3"/>
  <c r="T3" i="3"/>
  <c r="Q3" i="3"/>
  <c r="R21" i="3"/>
  <c r="E29" i="3"/>
  <c r="R2" i="3" s="1"/>
  <c r="O20" i="3"/>
  <c r="O16" i="3"/>
  <c r="R12" i="3"/>
  <c r="O8" i="3"/>
  <c r="O4" i="3"/>
  <c r="P20" i="3"/>
  <c r="P16" i="3"/>
  <c r="P12" i="3"/>
  <c r="P8" i="3"/>
  <c r="P4" i="3"/>
  <c r="Q20" i="3"/>
  <c r="Q16" i="3"/>
  <c r="Q12" i="3"/>
  <c r="Q8" i="3"/>
  <c r="Q4" i="3"/>
  <c r="Q9" i="3"/>
  <c r="W10" i="1"/>
  <c r="W4" i="1"/>
  <c r="W5" i="1"/>
  <c r="W7" i="1"/>
  <c r="E47" i="3"/>
  <c r="R20" i="3" s="1"/>
  <c r="E31" i="3"/>
  <c r="R4" i="3" s="1"/>
  <c r="F35" i="3"/>
  <c r="S8" i="3" s="1"/>
  <c r="G39" i="3"/>
  <c r="T12" i="3" s="1"/>
  <c r="G67" i="3"/>
  <c r="O18" i="3"/>
  <c r="O10" i="3"/>
  <c r="P2" i="3"/>
  <c r="F29" i="3"/>
  <c r="S2" i="3" s="1"/>
  <c r="E43" i="3"/>
  <c r="R16" i="3" s="1"/>
  <c r="F47" i="3"/>
  <c r="S20" i="3" s="1"/>
  <c r="F31" i="3"/>
  <c r="S4" i="3" s="1"/>
  <c r="G35" i="3"/>
  <c r="T8" i="3" s="1"/>
  <c r="G63" i="3"/>
  <c r="T11" i="3" s="1"/>
  <c r="O12" i="3"/>
  <c r="X14" i="1"/>
  <c r="N2" i="11" s="1"/>
  <c r="X13" i="1"/>
  <c r="M2" i="11" s="1"/>
  <c r="X11" i="1"/>
  <c r="K2" i="11" s="1"/>
  <c r="X8" i="1"/>
  <c r="H2" i="11" s="1"/>
  <c r="X4" i="1"/>
  <c r="D2" i="11" s="1"/>
  <c r="F43" i="3"/>
  <c r="S16" i="3" s="1"/>
  <c r="G47" i="3"/>
  <c r="T20" i="3" s="1"/>
  <c r="G31" i="3"/>
  <c r="T4" i="3" s="1"/>
  <c r="O22" i="3"/>
  <c r="O14" i="3"/>
  <c r="O6" i="3"/>
  <c r="C2" i="11"/>
  <c r="X5" i="1"/>
  <c r="E2" i="11" s="1"/>
  <c r="X9" i="1"/>
  <c r="I2" i="11" s="1"/>
  <c r="X10" i="1"/>
  <c r="J2" i="11" s="1"/>
  <c r="J5" i="11" s="1"/>
  <c r="X15" i="1"/>
  <c r="O2" i="11" s="1"/>
  <c r="O14" i="11" s="1"/>
  <c r="T15" i="3"/>
  <c r="E35" i="3"/>
  <c r="R8" i="3" s="1"/>
  <c r="F39" i="3"/>
  <c r="S12" i="3" s="1"/>
  <c r="G43" i="3"/>
  <c r="T16" i="3" s="1"/>
  <c r="E46" i="3"/>
  <c r="R19" i="3" s="1"/>
  <c r="E42" i="3"/>
  <c r="R15" i="3" s="1"/>
  <c r="E38" i="3"/>
  <c r="R11" i="3" s="1"/>
  <c r="E34" i="3"/>
  <c r="R7" i="3" s="1"/>
  <c r="E30" i="3"/>
  <c r="R3" i="3" s="1"/>
  <c r="F46" i="3"/>
  <c r="S19" i="3" s="1"/>
  <c r="F42" i="3"/>
  <c r="S15" i="3" s="1"/>
  <c r="F38" i="3"/>
  <c r="S11" i="3" s="1"/>
  <c r="F34" i="3"/>
  <c r="S7" i="3" s="1"/>
  <c r="F30" i="3"/>
  <c r="S3" i="3" s="1"/>
  <c r="P21" i="3"/>
  <c r="P17" i="3"/>
  <c r="P13" i="3"/>
  <c r="P9" i="3"/>
  <c r="P5" i="3"/>
  <c r="F49" i="3"/>
  <c r="S22" i="3" s="1"/>
  <c r="F45" i="3"/>
  <c r="S18" i="3" s="1"/>
  <c r="F41" i="3"/>
  <c r="S14" i="3" s="1"/>
  <c r="F37" i="3"/>
  <c r="S10" i="3" s="1"/>
  <c r="F33" i="3"/>
  <c r="S6" i="3" s="1"/>
  <c r="G49" i="3"/>
  <c r="T22" i="3" s="1"/>
  <c r="G45" i="3"/>
  <c r="T18" i="3" s="1"/>
  <c r="G41" i="3"/>
  <c r="T14" i="3" s="1"/>
  <c r="G37" i="3"/>
  <c r="T10" i="3" s="1"/>
  <c r="G33" i="3"/>
  <c r="T6" i="3" s="1"/>
  <c r="O21" i="3"/>
  <c r="O17" i="3"/>
  <c r="O13" i="3"/>
  <c r="O9" i="3"/>
  <c r="O5" i="3"/>
  <c r="I8" i="11" l="1"/>
  <c r="D3" i="11"/>
  <c r="I3" i="11" s="1"/>
  <c r="X6" i="1"/>
  <c r="F2" i="11" s="1"/>
  <c r="I4" i="11"/>
  <c r="H3" i="11"/>
  <c r="X12" i="1"/>
  <c r="L2" i="11" s="1"/>
  <c r="L11" i="11" s="1"/>
  <c r="X7" i="1"/>
  <c r="G2" i="11" s="1"/>
  <c r="W3" i="1"/>
  <c r="M14" i="11"/>
  <c r="M15" i="11"/>
  <c r="M11" i="11"/>
  <c r="W11" i="1"/>
  <c r="N11" i="11"/>
  <c r="G3" i="11" l="1"/>
  <c r="G8" i="11"/>
  <c r="O12" i="11"/>
  <c r="F5" i="11"/>
  <c r="F10" i="11"/>
  <c r="U3" i="3"/>
  <c r="U7" i="3"/>
  <c r="U11" i="3"/>
  <c r="U15" i="3"/>
  <c r="U19" i="3"/>
  <c r="U2" i="3"/>
  <c r="U4" i="3"/>
  <c r="U8" i="3"/>
  <c r="U12" i="3"/>
  <c r="U16" i="3"/>
  <c r="U20" i="3"/>
  <c r="U5" i="3"/>
  <c r="U9" i="3"/>
  <c r="U13" i="3"/>
  <c r="U17" i="3"/>
  <c r="U21" i="3"/>
  <c r="U6" i="3"/>
  <c r="U22" i="3"/>
  <c r="U10" i="3"/>
  <c r="U14" i="3"/>
  <c r="U18" i="3"/>
  <c r="M12" i="11"/>
  <c r="O11" i="11"/>
  <c r="G9" i="11"/>
  <c r="G4" i="11"/>
  <c r="W10" i="3" l="1"/>
  <c r="AD10" i="3" s="1"/>
  <c r="X10" i="3"/>
  <c r="AE10" i="3" s="1"/>
  <c r="Y10" i="3"/>
  <c r="AF10" i="3" s="1"/>
  <c r="V10" i="3"/>
  <c r="AC10" i="3" s="1"/>
  <c r="AA10" i="3"/>
  <c r="AH10" i="3" s="1"/>
  <c r="Z10" i="3"/>
  <c r="AG10" i="3" s="1"/>
  <c r="X17" i="3"/>
  <c r="AE17" i="3" s="1"/>
  <c r="AA17" i="3"/>
  <c r="AH17" i="3" s="1"/>
  <c r="Z17" i="3"/>
  <c r="AG17" i="3" s="1"/>
  <c r="Y17" i="3"/>
  <c r="AF17" i="3" s="1"/>
  <c r="W17" i="3"/>
  <c r="AD17" i="3" s="1"/>
  <c r="V17" i="3"/>
  <c r="AC17" i="3" s="1"/>
  <c r="W20" i="3"/>
  <c r="AD20" i="3" s="1"/>
  <c r="V20" i="3"/>
  <c r="AC20" i="3" s="1"/>
  <c r="X20" i="3"/>
  <c r="AE20" i="3" s="1"/>
  <c r="Y20" i="3"/>
  <c r="AF20" i="3" s="1"/>
  <c r="AA20" i="3"/>
  <c r="AH20" i="3" s="1"/>
  <c r="Z20" i="3"/>
  <c r="AG20" i="3" s="1"/>
  <c r="X4" i="3"/>
  <c r="AE4" i="3" s="1"/>
  <c r="W4" i="3"/>
  <c r="AD4" i="3" s="1"/>
  <c r="V4" i="3"/>
  <c r="AC4" i="3" s="1"/>
  <c r="AA4" i="3"/>
  <c r="AH4" i="3" s="1"/>
  <c r="Z4" i="3"/>
  <c r="AG4" i="3" s="1"/>
  <c r="Y4" i="3"/>
  <c r="AF4" i="3" s="1"/>
  <c r="V11" i="3"/>
  <c r="AC11" i="3" s="1"/>
  <c r="W11" i="3"/>
  <c r="AD11" i="3" s="1"/>
  <c r="X11" i="3"/>
  <c r="AE11" i="3" s="1"/>
  <c r="AA11" i="3"/>
  <c r="AH11" i="3" s="1"/>
  <c r="Y11" i="3"/>
  <c r="AF11" i="3" s="1"/>
  <c r="Z11" i="3"/>
  <c r="AG11" i="3" s="1"/>
  <c r="Y22" i="3"/>
  <c r="AF22" i="3" s="1"/>
  <c r="W22" i="3"/>
  <c r="AD22" i="3" s="1"/>
  <c r="X22" i="3"/>
  <c r="AE22" i="3" s="1"/>
  <c r="Z22" i="3"/>
  <c r="AG22" i="3" s="1"/>
  <c r="V22" i="3"/>
  <c r="AC22" i="3" s="1"/>
  <c r="AA22" i="3"/>
  <c r="AH22" i="3" s="1"/>
  <c r="Z13" i="3"/>
  <c r="AG13" i="3" s="1"/>
  <c r="AA13" i="3"/>
  <c r="AH13" i="3" s="1"/>
  <c r="Y13" i="3"/>
  <c r="AF13" i="3" s="1"/>
  <c r="X13" i="3"/>
  <c r="AE13" i="3" s="1"/>
  <c r="V13" i="3"/>
  <c r="AC13" i="3" s="1"/>
  <c r="W13" i="3"/>
  <c r="AD13" i="3" s="1"/>
  <c r="X16" i="3"/>
  <c r="AE16" i="3" s="1"/>
  <c r="W16" i="3"/>
  <c r="AD16" i="3" s="1"/>
  <c r="V16" i="3"/>
  <c r="AC16" i="3" s="1"/>
  <c r="Z16" i="3"/>
  <c r="AG16" i="3" s="1"/>
  <c r="AA16" i="3"/>
  <c r="AH16" i="3" s="1"/>
  <c r="Y16" i="3"/>
  <c r="AF16" i="3" s="1"/>
  <c r="AA2" i="3"/>
  <c r="AH2" i="3" s="1"/>
  <c r="V2" i="3"/>
  <c r="AC2" i="3" s="1"/>
  <c r="Y2" i="3"/>
  <c r="AF2" i="3" s="1"/>
  <c r="X2" i="3"/>
  <c r="AE2" i="3" s="1"/>
  <c r="W2" i="3"/>
  <c r="AD2" i="3" s="1"/>
  <c r="Z2" i="3"/>
  <c r="AG2" i="3" s="1"/>
  <c r="V7" i="3"/>
  <c r="AC7" i="3" s="1"/>
  <c r="AA7" i="3"/>
  <c r="AH7" i="3" s="1"/>
  <c r="X7" i="3"/>
  <c r="AE7" i="3" s="1"/>
  <c r="W7" i="3"/>
  <c r="AD7" i="3" s="1"/>
  <c r="Z7" i="3"/>
  <c r="AG7" i="3" s="1"/>
  <c r="Y7" i="3"/>
  <c r="AF7" i="3" s="1"/>
  <c r="Y18" i="3"/>
  <c r="AF18" i="3" s="1"/>
  <c r="X18" i="3"/>
  <c r="AE18" i="3" s="1"/>
  <c r="W18" i="3"/>
  <c r="AD18" i="3" s="1"/>
  <c r="Z18" i="3"/>
  <c r="AG18" i="3" s="1"/>
  <c r="V18" i="3"/>
  <c r="AC18" i="3" s="1"/>
  <c r="AA18" i="3"/>
  <c r="AH18" i="3" s="1"/>
  <c r="W6" i="3"/>
  <c r="AD6" i="3" s="1"/>
  <c r="Y6" i="3"/>
  <c r="AF6" i="3" s="1"/>
  <c r="X6" i="3"/>
  <c r="AE6" i="3" s="1"/>
  <c r="V6" i="3"/>
  <c r="AC6" i="3" s="1"/>
  <c r="Z6" i="3"/>
  <c r="AG6" i="3" s="1"/>
  <c r="AA6" i="3"/>
  <c r="AH6" i="3" s="1"/>
  <c r="X9" i="3"/>
  <c r="AE9" i="3" s="1"/>
  <c r="Y9" i="3"/>
  <c r="AF9" i="3" s="1"/>
  <c r="Z9" i="3"/>
  <c r="AG9" i="3" s="1"/>
  <c r="AA9" i="3"/>
  <c r="AH9" i="3" s="1"/>
  <c r="V9" i="3"/>
  <c r="AC9" i="3" s="1"/>
  <c r="W9" i="3"/>
  <c r="AD9" i="3" s="1"/>
  <c r="W12" i="3"/>
  <c r="AD12" i="3" s="1"/>
  <c r="X12" i="3"/>
  <c r="AE12" i="3" s="1"/>
  <c r="Y12" i="3"/>
  <c r="AF12" i="3" s="1"/>
  <c r="AA12" i="3"/>
  <c r="AH12" i="3" s="1"/>
  <c r="V12" i="3"/>
  <c r="AC12" i="3" s="1"/>
  <c r="Z12" i="3"/>
  <c r="AG12" i="3" s="1"/>
  <c r="AA19" i="3"/>
  <c r="AH19" i="3" s="1"/>
  <c r="V19" i="3"/>
  <c r="AC19" i="3" s="1"/>
  <c r="W19" i="3"/>
  <c r="AD19" i="3" s="1"/>
  <c r="X19" i="3"/>
  <c r="AE19" i="3" s="1"/>
  <c r="Y19" i="3"/>
  <c r="AF19" i="3" s="1"/>
  <c r="Z19" i="3"/>
  <c r="AG19" i="3" s="1"/>
  <c r="W3" i="3"/>
  <c r="AD3" i="3" s="1"/>
  <c r="X3" i="3"/>
  <c r="AE3" i="3" s="1"/>
  <c r="AA3" i="3"/>
  <c r="AH3" i="3" s="1"/>
  <c r="V3" i="3"/>
  <c r="AC3" i="3" s="1"/>
  <c r="Z3" i="3"/>
  <c r="AG3" i="3" s="1"/>
  <c r="Y3" i="3"/>
  <c r="AF3" i="3" s="1"/>
  <c r="X14" i="3"/>
  <c r="AE14" i="3" s="1"/>
  <c r="Y14" i="3"/>
  <c r="AF14" i="3" s="1"/>
  <c r="W14" i="3"/>
  <c r="AD14" i="3" s="1"/>
  <c r="AA14" i="3"/>
  <c r="AH14" i="3" s="1"/>
  <c r="Z14" i="3"/>
  <c r="AG14" i="3" s="1"/>
  <c r="V14" i="3"/>
  <c r="AC14" i="3" s="1"/>
  <c r="Z21" i="3"/>
  <c r="AG21" i="3" s="1"/>
  <c r="AA21" i="3"/>
  <c r="AH21" i="3" s="1"/>
  <c r="X21" i="3"/>
  <c r="AE21" i="3" s="1"/>
  <c r="Y21" i="3"/>
  <c r="AF21" i="3" s="1"/>
  <c r="V21" i="3"/>
  <c r="AC21" i="3" s="1"/>
  <c r="W21" i="3"/>
  <c r="AD21" i="3" s="1"/>
  <c r="X5" i="3"/>
  <c r="AE5" i="3" s="1"/>
  <c r="AA5" i="3"/>
  <c r="AH5" i="3" s="1"/>
  <c r="Z5" i="3"/>
  <c r="AG5" i="3" s="1"/>
  <c r="Y5" i="3"/>
  <c r="AF5" i="3" s="1"/>
  <c r="W5" i="3"/>
  <c r="AD5" i="3" s="1"/>
  <c r="V5" i="3"/>
  <c r="AC5" i="3" s="1"/>
  <c r="W8" i="3"/>
  <c r="AD8" i="3" s="1"/>
  <c r="X8" i="3"/>
  <c r="AE8" i="3" s="1"/>
  <c r="V8" i="3"/>
  <c r="AC8" i="3" s="1"/>
  <c r="Z8" i="3"/>
  <c r="AG8" i="3" s="1"/>
  <c r="Y8" i="3"/>
  <c r="AF8" i="3" s="1"/>
  <c r="AA8" i="3"/>
  <c r="AH8" i="3" s="1"/>
  <c r="W15" i="3"/>
  <c r="AD15" i="3" s="1"/>
  <c r="X15" i="3"/>
  <c r="AE15" i="3" s="1"/>
  <c r="V15" i="3"/>
  <c r="AC15" i="3" s="1"/>
  <c r="AA15" i="3"/>
  <c r="AH15" i="3" s="1"/>
  <c r="Z15" i="3"/>
  <c r="AG15" i="3" s="1"/>
  <c r="Y15" i="3"/>
  <c r="AF15" i="3" s="1"/>
</calcChain>
</file>

<file path=xl/comments1.xml><?xml version="1.0" encoding="utf-8"?>
<comments xmlns="http://schemas.openxmlformats.org/spreadsheetml/2006/main">
  <authors>
    <author>Patri, Sai Kireet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Since each business would need its own ONT, and 7% of the buildings are business buildings, there would be 342 buildings
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Here we have 93% of the buildings which are residential and we need 1 ONT per 2 buildings, hence the number of ONTs required are 0.93*4877/2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5-6
Here multiplied by 2 because each config requires 20 gb not 10 gb
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5-13, each building needs about 300 mbps, so only 1 OLT is enough</t>
        </r>
      </text>
    </comment>
    <comment ref="H6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Table 5-19 only 1 OLT needed to cater to the buildings
Slightly overprovisioned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Need double the racks of Technology 3 to realise a GPON FTTH
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For per household speed of 100 mbps, every building needs 1 ONT of 625 Mbps
</t>
        </r>
      </text>
    </comment>
  </commentList>
</comments>
</file>

<file path=xl/sharedStrings.xml><?xml version="1.0" encoding="utf-8"?>
<sst xmlns="http://schemas.openxmlformats.org/spreadsheetml/2006/main" count="203" uniqueCount="108">
  <si>
    <t>Technology Name</t>
  </si>
  <si>
    <t>SR RN1</t>
  </si>
  <si>
    <t>SR RN2</t>
  </si>
  <si>
    <t>RN1 type</t>
  </si>
  <si>
    <t>RN2 type</t>
  </si>
  <si>
    <t>No. Of RN1</t>
  </si>
  <si>
    <t>No. Of RN2</t>
  </si>
  <si>
    <t>RN cost per client</t>
  </si>
  <si>
    <t>PS</t>
  </si>
  <si>
    <t>OLT cost per client</t>
  </si>
  <si>
    <t>FF duct length (m)</t>
  </si>
  <si>
    <t>DF duct Length</t>
  </si>
  <si>
    <t>LMF/Cu duct length</t>
  </si>
  <si>
    <t>FF length</t>
  </si>
  <si>
    <t>DF length</t>
  </si>
  <si>
    <t>LMF/Cu Length</t>
  </si>
  <si>
    <t>Duct Cost</t>
  </si>
  <si>
    <t>Fiber Cost</t>
  </si>
  <si>
    <t>CO cost</t>
  </si>
  <si>
    <t>RN Cost</t>
  </si>
  <si>
    <t>Total Cost</t>
  </si>
  <si>
    <t>AWG</t>
  </si>
  <si>
    <t>Technology</t>
  </si>
  <si>
    <t>ADSL</t>
  </si>
  <si>
    <t>Year</t>
  </si>
  <si>
    <t>Conservative</t>
  </si>
  <si>
    <t>Likely</t>
  </si>
  <si>
    <t>Optimistic</t>
  </si>
  <si>
    <t>Cons</t>
  </si>
  <si>
    <t>Aggr</t>
  </si>
  <si>
    <t>OPEX</t>
  </si>
  <si>
    <t>Cons CF</t>
  </si>
  <si>
    <t>Likely CF</t>
  </si>
  <si>
    <t>Aggr CF</t>
  </si>
  <si>
    <t>Factor</t>
  </si>
  <si>
    <t>Cons PV</t>
  </si>
  <si>
    <t>Likely PV</t>
  </si>
  <si>
    <t>Aggr PV</t>
  </si>
  <si>
    <t>IRR</t>
  </si>
  <si>
    <t>PS+ONT+DSLAM</t>
  </si>
  <si>
    <t>Electronic Cost</t>
  </si>
  <si>
    <t>Conservative_churn</t>
  </si>
  <si>
    <t>Likely_churn</t>
  </si>
  <si>
    <t>Optimistic_churn</t>
  </si>
  <si>
    <t>Cons_churn</t>
  </si>
  <si>
    <t>Aggr_churn</t>
  </si>
  <si>
    <t>Cons CF_churn</t>
  </si>
  <si>
    <t>Likely CF_churn</t>
  </si>
  <si>
    <t>Aggr CF_churn</t>
  </si>
  <si>
    <t>Cons PV_churn</t>
  </si>
  <si>
    <t>Likely PV_churn</t>
  </si>
  <si>
    <t>Aggr PV_churn</t>
  </si>
  <si>
    <t>Cost components</t>
  </si>
  <si>
    <t>Unit</t>
  </si>
  <si>
    <t>All fiber</t>
  </si>
  <si>
    <t>Fiber_cost</t>
  </si>
  <si>
    <t>CU/m</t>
  </si>
  <si>
    <t>FF</t>
  </si>
  <si>
    <t>DF</t>
  </si>
  <si>
    <t>LMF</t>
  </si>
  <si>
    <t>Duct_cost</t>
  </si>
  <si>
    <t>Business ONTs</t>
  </si>
  <si>
    <t>Residential ONTs</t>
  </si>
  <si>
    <t>ONT+1:12DSLAM</t>
  </si>
  <si>
    <t>ONT Cost</t>
  </si>
  <si>
    <t>1:4 PS+ONT+1:6 DSLAM</t>
  </si>
  <si>
    <t>FTTB_XGPON_50</t>
  </si>
  <si>
    <t>FTTB_UDWDM_50</t>
  </si>
  <si>
    <t>FTTH_UDWDM_100</t>
  </si>
  <si>
    <t>FTTH_XGPON_100</t>
  </si>
  <si>
    <t>FTTC_GPON_100</t>
  </si>
  <si>
    <t>FTTB_XGPON_100</t>
  </si>
  <si>
    <t>FTTB_UDWDM_100</t>
  </si>
  <si>
    <t>FTTC_GPON_25</t>
  </si>
  <si>
    <t>FTTC_Hybridpon_25</t>
  </si>
  <si>
    <t>FTTB_Hybridpon_50</t>
  </si>
  <si>
    <t>FTTH_Hybridpon_100</t>
  </si>
  <si>
    <t>FTTC_Hybridpon_100</t>
  </si>
  <si>
    <t>FTTB_Hybridpon_100</t>
  </si>
  <si>
    <t>Total Residential Users</t>
  </si>
  <si>
    <t>Total Business Users</t>
  </si>
  <si>
    <t>Residential</t>
  </si>
  <si>
    <t>Business</t>
  </si>
  <si>
    <t>Revenues</t>
  </si>
  <si>
    <t xml:space="preserve">Residential </t>
  </si>
  <si>
    <t xml:space="preserve"> </t>
  </si>
  <si>
    <t>FTTB_Hybridpon_101</t>
  </si>
  <si>
    <t>FTTB_Hybridpon_102</t>
  </si>
  <si>
    <t>FTTB_Hybridpon_103</t>
  </si>
  <si>
    <t>FTTB_Hybridpon_104</t>
  </si>
  <si>
    <t>FTTB_Hybridpon_105</t>
  </si>
  <si>
    <t>FTTB_Hybridpon_106</t>
  </si>
  <si>
    <t>FTTB_Hybridpon_107</t>
  </si>
  <si>
    <t>FTTB_Hybridpon_108</t>
  </si>
  <si>
    <t>FTTB_Hybridpon_109</t>
  </si>
  <si>
    <t>FTTB_Hybridpon_110</t>
  </si>
  <si>
    <t>FTTB_Hybridpon_111</t>
  </si>
  <si>
    <t>FTTB_Hybridpon_112</t>
  </si>
  <si>
    <t>FTTB_Hybridpon_113</t>
  </si>
  <si>
    <t>FTTB_Hybridpon_114</t>
  </si>
  <si>
    <t>FTTB_Hybridpon_115</t>
  </si>
  <si>
    <t>FTTB_Hybridpon_116</t>
  </si>
  <si>
    <t>FTTB_Hybridpon_117</t>
  </si>
  <si>
    <t>FTTB_Hybridpon_118</t>
  </si>
  <si>
    <t>FTTB_Hybridpon_119</t>
  </si>
  <si>
    <t>FTTB_Hybridpon_120</t>
  </si>
  <si>
    <t>Approx OPEX per year</t>
  </si>
  <si>
    <t>384090.367674523+20*5000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</si>
</sst>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%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4" fillId="3" borderId="0" applyNumberFormat="0" applyBorder="0" applyAlignment="0" applyProtection="0"/>
    <xf numFmtId="0" fontId="5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8" fillId="6" borderId="3" applyNumberFormat="0" applyAlignment="0" applyProtection="0"/>
    <xf numFmtId="0" fontId="9" fillId="6" borderId="2" applyNumberFormat="0" applyAlignment="0" applyProtection="0"/>
  </cellStyleXfs>
  <cellXfs count="14">
    <xf numFmtId="0" fontId="0" fillId="0" borderId="0" xfId="0"/>
    <xf numFmtId="0" fontId="3" fillId="0" borderId="0" xfId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6" fillId="4" borderId="0" xfId="5"/>
    <xf numFmtId="0" fontId="7" fillId="5" borderId="2" xfId="6"/>
    <xf numFmtId="0" fontId="6" fillId="4" borderId="2" xfId="5" applyBorder="1"/>
    <xf numFmtId="0" fontId="5" fillId="0" borderId="1" xfId="3"/>
    <xf numFmtId="0" fontId="5" fillId="0" borderId="4" xfId="4" applyBorder="1"/>
    <xf numFmtId="0" fontId="9" fillId="6" borderId="2" xfId="8"/>
    <xf numFmtId="0" fontId="8" fillId="6" borderId="3" xfId="7"/>
    <xf numFmtId="0" fontId="4" fillId="3" borderId="4" xfId="2" applyBorder="1"/>
  </cellXfs>
  <cellStyles count="9">
    <cellStyle name="Calculation" xfId="8" builtinId="22"/>
    <cellStyle name="Good" xfId="5" builtinId="26"/>
    <cellStyle name="Heading 3" xfId="3" builtinId="18"/>
    <cellStyle name="Heading 4" xfId="4" builtinId="19"/>
    <cellStyle name="Input" xfId="6" builtinId="20"/>
    <cellStyle name="Neutral" xfId="2" builtinId="28"/>
    <cellStyle name="Normal" xfId="0" builtinId="0"/>
    <cellStyle name="Output" xfId="7" builtinId="21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Capital Expenditure of various technologies in business scenario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CAPEX!$S$1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CAPEX!$S$3:$S$15</c:f>
              <c:numCache>
                <c:formatCode>General</c:formatCode>
                <c:ptCount val="13"/>
                <c:pt idx="0">
                  <c:v>122492.30468757232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122492.30468757232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81959.434330663411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2B-4BDB-8C8A-80B4841F7958}"/>
            </c:ext>
          </c:extLst>
        </c:ser>
        <c:ser>
          <c:idx val="1"/>
          <c:order val="1"/>
          <c:tx>
            <c:strRef>
              <c:f>CAPEX!$T$1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CAPEX!$T$3:$T$15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99287.142993292597</c:v>
                </c:pt>
                <c:pt idx="11">
                  <c:v>121030.53463843174</c:v>
                </c:pt>
                <c:pt idx="12">
                  <c:v>91410.786993292611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2B-4BDB-8C8A-80B4841F7958}"/>
            </c:ext>
          </c:extLst>
        </c:ser>
        <c:ser>
          <c:idx val="2"/>
          <c:order val="2"/>
          <c:tx>
            <c:strRef>
              <c:f>CAPEX!$U$1</c:f>
              <c:strCache>
                <c:ptCount val="1"/>
                <c:pt idx="0">
                  <c:v>CO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CAPEX!$U$3:$U$15</c:f>
              <c:numCache>
                <c:formatCode>General</c:formatCode>
                <c:ptCount val="13"/>
                <c:pt idx="0">
                  <c:v>11620</c:v>
                </c:pt>
                <c:pt idx="1">
                  <c:v>16300</c:v>
                </c:pt>
                <c:pt idx="2">
                  <c:v>22950</c:v>
                </c:pt>
                <c:pt idx="3">
                  <c:v>160450</c:v>
                </c:pt>
                <c:pt idx="4">
                  <c:v>93800</c:v>
                </c:pt>
                <c:pt idx="5">
                  <c:v>15652</c:v>
                </c:pt>
                <c:pt idx="6">
                  <c:v>32500</c:v>
                </c:pt>
                <c:pt idx="7">
                  <c:v>39200</c:v>
                </c:pt>
                <c:pt idx="8">
                  <c:v>11720</c:v>
                </c:pt>
                <c:pt idx="9">
                  <c:v>24000</c:v>
                </c:pt>
                <c:pt idx="10">
                  <c:v>48000</c:v>
                </c:pt>
                <c:pt idx="11">
                  <c:v>46280</c:v>
                </c:pt>
                <c:pt idx="12">
                  <c:v>48000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2B-4BDB-8C8A-80B4841F7958}"/>
            </c:ext>
          </c:extLst>
        </c:ser>
        <c:ser>
          <c:idx val="3"/>
          <c:order val="3"/>
          <c:tx>
            <c:strRef>
              <c:f>CAPEX!$V$1</c:f>
              <c:strCache>
                <c:ptCount val="1"/>
                <c:pt idx="0">
                  <c:v>RN Cost</c:v>
                </c:pt>
              </c:strCache>
            </c:strRef>
          </c:tx>
          <c:invertIfNegative val="0"/>
          <c:cat>
            <c:strRef>
              <c:f>CAPEX!$A$3:$A$15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FTTB_UDWDM_50</c:v>
                </c:pt>
                <c:pt idx="3">
                  <c:v>FTTH_UDWDM_100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FTTB_UDWDM_100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CAPEX!$V$3:$V$15</c:f>
              <c:numCache>
                <c:formatCode>General</c:formatCode>
                <c:ptCount val="13"/>
                <c:pt idx="0">
                  <c:v>370153.6</c:v>
                </c:pt>
                <c:pt idx="1">
                  <c:v>129194.4</c:v>
                </c:pt>
                <c:pt idx="2">
                  <c:v>133630</c:v>
                </c:pt>
                <c:pt idx="3">
                  <c:v>210910</c:v>
                </c:pt>
                <c:pt idx="4">
                  <c:v>215594</c:v>
                </c:pt>
                <c:pt idx="5">
                  <c:v>465444</c:v>
                </c:pt>
                <c:pt idx="6">
                  <c:v>126045.59999999999</c:v>
                </c:pt>
                <c:pt idx="7">
                  <c:v>133630</c:v>
                </c:pt>
                <c:pt idx="8">
                  <c:v>228761.2</c:v>
                </c:pt>
                <c:pt idx="9">
                  <c:v>135438.20000000001</c:v>
                </c:pt>
                <c:pt idx="10">
                  <c:v>90438.2</c:v>
                </c:pt>
                <c:pt idx="11">
                  <c:v>245231.2</c:v>
                </c:pt>
                <c:pt idx="12">
                  <c:v>135438.20000000001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92B-4BDB-8C8A-80B4841F7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464192"/>
        <c:axId val="171280640"/>
      </c:barChart>
      <c:catAx>
        <c:axId val="8346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Technology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1280640"/>
        <c:crosses val="autoZero"/>
        <c:auto val="1"/>
        <c:lblAlgn val="ctr"/>
        <c:lblOffset val="100"/>
        <c:noMultiLvlLbl val="0"/>
      </c:catAx>
      <c:valAx>
        <c:axId val="17128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in C.U.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64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Approx. OPEX per year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OPEX!$B$1</c:f>
              <c:strCache>
                <c:ptCount val="1"/>
                <c:pt idx="0">
                  <c:v>Approx OPEX per year</c:v>
                </c:pt>
              </c:strCache>
            </c:strRef>
          </c:tx>
          <c:invertIfNegative val="0"/>
          <c:cat>
            <c:strRef>
              <c:f>OPEX!$A$2:$A$15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OPEX!$B$2:$B$15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19283.042118970367</c:v>
                </c:pt>
                <c:pt idx="2">
                  <c:v>43709.823692218881</c:v>
                </c:pt>
                <c:pt idx="3">
                  <c:v>44248.4220525376</c:v>
                </c:pt>
                <c:pt idx="4">
                  <c:v>19212.762708578561</c:v>
                </c:pt>
                <c:pt idx="5">
                  <c:v>11938.918689039821</c:v>
                </c:pt>
                <c:pt idx="6">
                  <c:v>50983.71612182937</c:v>
                </c:pt>
                <c:pt idx="7">
                  <c:v>47726.863400003029</c:v>
                </c:pt>
                <c:pt idx="8">
                  <c:v>48220.289169209609</c:v>
                </c:pt>
                <c:pt idx="9">
                  <c:v>37682.867713520049</c:v>
                </c:pt>
                <c:pt idx="10">
                  <c:v>44827.8721002112</c:v>
                </c:pt>
                <c:pt idx="11">
                  <c:v>12139.814930199653</c:v>
                </c:pt>
                <c:pt idx="12">
                  <c:v>47419.574760442287</c:v>
                </c:pt>
                <c:pt idx="13">
                  <c:v>50088.476920599649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50-48DF-A99C-6FB4100C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465728"/>
        <c:axId val="171282944"/>
      </c:barChart>
      <c:catAx>
        <c:axId val="8346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282944"/>
        <c:crosses val="autoZero"/>
        <c:auto val="1"/>
        <c:lblAlgn val="ctr"/>
        <c:lblOffset val="100"/>
        <c:noMultiLvlLbl val="0"/>
      </c:catAx>
      <c:valAx>
        <c:axId val="1712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 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465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Revenue per customer per year</a:t>
            </a:r>
          </a:p>
        </c:rich>
      </c:tx>
      <c:layout>
        <c:manualLayout>
          <c:xMode val="edge"/>
          <c:yMode val="edge"/>
          <c:x val="0.35058114754098363"/>
          <c:y val="1.939395183360700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Revenue!$I$4</c:f>
              <c:strCache>
                <c:ptCount val="1"/>
                <c:pt idx="0">
                  <c:v>Residential 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Revenue!$I$5:$I$18</c:f>
              <c:numCache>
                <c:formatCode>General</c:formatCode>
                <c:ptCount val="14"/>
                <c:pt idx="0">
                  <c:v>3.6</c:v>
                </c:pt>
                <c:pt idx="1">
                  <c:v>7.2</c:v>
                </c:pt>
                <c:pt idx="2">
                  <c:v>9.6</c:v>
                </c:pt>
                <c:pt idx="3">
                  <c:v>9.6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7.2</c:v>
                </c:pt>
                <c:pt idx="10">
                  <c:v>9.6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B7-4161-A3FD-A74535C0EF25}"/>
            </c:ext>
          </c:extLst>
        </c:ser>
        <c:ser>
          <c:idx val="1"/>
          <c:order val="1"/>
          <c:tx>
            <c:strRef>
              <c:f>Revenue!$J$4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Revenue!$H$5:$H$18</c:f>
              <c:strCache>
                <c:ptCount val="14"/>
                <c:pt idx="0">
                  <c:v>ADSL</c:v>
                </c:pt>
                <c:pt idx="1">
                  <c:v>FTTC_GPON_25</c:v>
                </c:pt>
                <c:pt idx="2">
                  <c:v>FTTB_XGPON_50</c:v>
                </c:pt>
                <c:pt idx="3">
                  <c:v>FTTB_UDWDM_50</c:v>
                </c:pt>
                <c:pt idx="4">
                  <c:v>FTTH_UDWDM_100</c:v>
                </c:pt>
                <c:pt idx="5">
                  <c:v>FTTH_XGPON_100</c:v>
                </c:pt>
                <c:pt idx="6">
                  <c:v>FTTC_GPON_100</c:v>
                </c:pt>
                <c:pt idx="7">
                  <c:v>FTTB_XGPON_100</c:v>
                </c:pt>
                <c:pt idx="8">
                  <c:v>FTTB_UDWDM_100</c:v>
                </c:pt>
                <c:pt idx="9">
                  <c:v>FTTC_Hybridpon_25</c:v>
                </c:pt>
                <c:pt idx="10">
                  <c:v>FTTB_Hybridpon_50</c:v>
                </c:pt>
                <c:pt idx="11">
                  <c:v>FTTH_Hybridpon_100</c:v>
                </c:pt>
                <c:pt idx="12">
                  <c:v>FTTC_Hybridpon_100</c:v>
                </c:pt>
                <c:pt idx="13">
                  <c:v>FTTB_Hybridpon_100</c:v>
                </c:pt>
              </c:strCache>
            </c:strRef>
          </c:cat>
          <c:val>
            <c:numRef>
              <c:f>Revenue!$J$5:$J$18</c:f>
              <c:numCache>
                <c:formatCode>General</c:formatCode>
                <c:ptCount val="14"/>
                <c:pt idx="0">
                  <c:v>3.6</c:v>
                </c:pt>
                <c:pt idx="1">
                  <c:v>12</c:v>
                </c:pt>
                <c:pt idx="2">
                  <c:v>24</c:v>
                </c:pt>
                <c:pt idx="3">
                  <c:v>24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12</c:v>
                </c:pt>
                <c:pt idx="10">
                  <c:v>24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B7-4161-A3FD-A74535C0E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740160"/>
        <c:axId val="171284672"/>
      </c:barChart>
      <c:catAx>
        <c:axId val="837401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71284672"/>
        <c:crosses val="autoZero"/>
        <c:auto val="1"/>
        <c:lblAlgn val="ctr"/>
        <c:lblOffset val="100"/>
        <c:noMultiLvlLbl val="0"/>
      </c:catAx>
      <c:valAx>
        <c:axId val="1712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DE" sz="1200"/>
                  <a:t>Cost Units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3740160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400"/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1400"/>
            </a:pPr>
            <a:endParaRPr lang="de-DE"/>
          </a:p>
        </c:txPr>
      </c:legendEntry>
      <c:layout>
        <c:manualLayout>
          <c:xMode val="edge"/>
          <c:yMode val="edge"/>
          <c:x val="0.87384462659380691"/>
          <c:y val="0.39990941434044891"/>
          <c:w val="0.11921548269581056"/>
          <c:h val="0.139313902572523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1674284</xdr:colOff>
      <xdr:row>18</xdr:row>
      <xdr:rowOff>69850</xdr:rowOff>
    </xdr:from>
    <xdr:to>
      <xdr:col>10</xdr:col>
      <xdr:colOff>84667</xdr:colOff>
      <xdr:row>62</xdr:row>
      <xdr:rowOff>21167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190501</xdr:colOff>
      <xdr:row>8</xdr:row>
      <xdr:rowOff>19050</xdr:rowOff>
    </xdr:from>
    <xdr:to>
      <xdr:col>21</xdr:col>
      <xdr:colOff>197701</xdr:colOff>
      <xdr:row>46</xdr:row>
      <xdr:rowOff>88050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514348</xdr:colOff>
      <xdr:row>22</xdr:row>
      <xdr:rowOff>152400</xdr:rowOff>
    </xdr:from>
    <xdr:to>
      <xdr:col>25</xdr:col>
      <xdr:colOff>73873</xdr:colOff>
      <xdr:row>61</xdr:row>
      <xdr:rowOff>30900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topLeftCell="J1" zoomScale="90" zoomScaleNormal="90" workbookViewId="0">
      <selection activeCell="X2" sqref="X2"/>
    </sheetView>
  </sheetViews>
  <sheetFormatPr defaultRowHeight="15" x14ac:dyDescent="0.25"/>
  <cols>
    <col min="1" max="2" width="29.42578125" customWidth="1"/>
    <col min="3" max="3" width="18.7109375" customWidth="1"/>
    <col min="4" max="4" width="18.28515625" customWidth="1"/>
    <col min="5" max="5" width="15.140625" customWidth="1"/>
    <col min="6" max="6" width="13.42578125" customWidth="1"/>
    <col min="7" max="7" width="13.5703125" customWidth="1"/>
    <col min="8" max="8" width="17.42578125" customWidth="1"/>
    <col min="9" max="10" width="19.140625" customWidth="1"/>
    <col min="11" max="11" width="14" customWidth="1"/>
    <col min="12" max="12" width="13.42578125" customWidth="1"/>
    <col min="13" max="13" width="16.7109375" customWidth="1"/>
    <col min="14" max="14" width="16.42578125" customWidth="1"/>
    <col min="15" max="15" width="22.140625" customWidth="1"/>
    <col min="16" max="16" width="13.5703125" customWidth="1"/>
    <col min="17" max="18" width="11.7109375" customWidth="1"/>
    <col min="24" max="24" width="13.42578125" customWidth="1"/>
  </cols>
  <sheetData>
    <row r="1" spans="1:24" s="9" customFormat="1" thickBot="1" x14ac:dyDescent="0.35">
      <c r="A1" s="9" t="s">
        <v>0</v>
      </c>
      <c r="B1" s="9" t="s">
        <v>61</v>
      </c>
      <c r="C1" s="9" t="s">
        <v>62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9</v>
      </c>
      <c r="I1" s="9" t="s">
        <v>7</v>
      </c>
      <c r="J1" s="9" t="s">
        <v>64</v>
      </c>
      <c r="K1" s="9" t="s">
        <v>5</v>
      </c>
      <c r="L1" s="9" t="s">
        <v>6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40</v>
      </c>
      <c r="X1" s="9" t="s">
        <v>20</v>
      </c>
    </row>
    <row r="2" spans="1:24" x14ac:dyDescent="0.25">
      <c r="A2" s="10" t="s">
        <v>23</v>
      </c>
      <c r="B2" s="13">
        <v>0</v>
      </c>
      <c r="C2" s="13">
        <v>0</v>
      </c>
      <c r="D2" s="13">
        <v>8</v>
      </c>
      <c r="E2" s="13">
        <v>4</v>
      </c>
      <c r="F2" s="13" t="s">
        <v>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>
        <v>10000</v>
      </c>
      <c r="X2" s="13">
        <v>10000</v>
      </c>
    </row>
    <row r="3" spans="1:24" s="6" customFormat="1" x14ac:dyDescent="0.25">
      <c r="A3" s="10" t="s">
        <v>73</v>
      </c>
      <c r="B3" s="7">
        <v>342</v>
      </c>
      <c r="C3" s="7">
        <f>CEILING(0.93*4877/2,1)</f>
        <v>2268</v>
      </c>
      <c r="D3" s="7">
        <v>8</v>
      </c>
      <c r="E3" s="7">
        <v>4</v>
      </c>
      <c r="F3" s="7" t="s">
        <v>8</v>
      </c>
      <c r="G3" s="7" t="s">
        <v>63</v>
      </c>
      <c r="H3" s="7">
        <f>0.64</f>
        <v>0.64</v>
      </c>
      <c r="I3" s="7">
        <f>0.88</f>
        <v>0.88</v>
      </c>
      <c r="J3" s="7">
        <v>1</v>
      </c>
      <c r="K3" s="7">
        <v>19</v>
      </c>
      <c r="L3" s="7">
        <v>151</v>
      </c>
      <c r="M3" s="7">
        <v>31505.122417993502</v>
      </c>
      <c r="N3" s="7">
        <v>54442.326843564399</v>
      </c>
      <c r="O3" s="7">
        <v>68598.261692039698</v>
      </c>
      <c r="P3" s="7">
        <v>171056.49354431301</v>
      </c>
      <c r="Q3" s="7">
        <v>85582.633114971599</v>
      </c>
      <c r="R3" s="7">
        <v>685372.28279667499</v>
      </c>
      <c r="S3" s="11">
        <v>122492.30468757232</v>
      </c>
      <c r="T3" s="11">
        <v>181054.59289743542</v>
      </c>
      <c r="U3" s="11">
        <v>11620</v>
      </c>
      <c r="V3" s="11">
        <v>370153.6</v>
      </c>
      <c r="W3" s="11">
        <f>SUM(U3,V3)</f>
        <v>381773.6</v>
      </c>
      <c r="X3" s="12">
        <f>S3+T3+U3+V3</f>
        <v>685320.49758500769</v>
      </c>
    </row>
    <row r="4" spans="1:24" s="6" customFormat="1" x14ac:dyDescent="0.25">
      <c r="A4" s="10" t="s">
        <v>66</v>
      </c>
      <c r="B4" s="7">
        <v>342</v>
      </c>
      <c r="C4" s="7">
        <v>4535</v>
      </c>
      <c r="D4" s="7">
        <v>8</v>
      </c>
      <c r="E4" s="7">
        <v>8</v>
      </c>
      <c r="F4" s="7" t="s">
        <v>8</v>
      </c>
      <c r="G4" s="7" t="s">
        <v>8</v>
      </c>
      <c r="H4" s="7">
        <f>0.3</f>
        <v>0.3</v>
      </c>
      <c r="I4" s="7">
        <f>0.58</f>
        <v>0.57999999999999996</v>
      </c>
      <c r="J4" s="7">
        <v>1.8</v>
      </c>
      <c r="K4" s="7">
        <v>19</v>
      </c>
      <c r="L4" s="7">
        <v>151</v>
      </c>
      <c r="M4" s="7">
        <v>31505.122417993502</v>
      </c>
      <c r="N4" s="7">
        <v>54442.326843564399</v>
      </c>
      <c r="O4" s="7">
        <v>68598.261692039698</v>
      </c>
      <c r="P4" s="7">
        <v>171056.49354431301</v>
      </c>
      <c r="Q4" s="7">
        <v>85582.633114971599</v>
      </c>
      <c r="R4" s="7">
        <v>384090.36767452297</v>
      </c>
      <c r="S4" s="11">
        <v>220258.5472510673</v>
      </c>
      <c r="T4" s="11">
        <v>123148.20881095782</v>
      </c>
      <c r="U4" s="11">
        <v>16300</v>
      </c>
      <c r="V4" s="11">
        <v>129194.4</v>
      </c>
      <c r="W4" s="11">
        <f t="shared" ref="W4:W15" si="0">SUM(U4,V4)</f>
        <v>145494.39999999999</v>
      </c>
      <c r="X4" s="12">
        <f t="shared" ref="X4:X14" si="1">S4+T4+U4+V4</f>
        <v>488901.15606202511</v>
      </c>
    </row>
    <row r="5" spans="1:24" s="6" customFormat="1" x14ac:dyDescent="0.25">
      <c r="A5" s="10" t="s">
        <v>67</v>
      </c>
      <c r="B5" s="7">
        <v>342</v>
      </c>
      <c r="C5" s="7">
        <v>4535</v>
      </c>
      <c r="D5" s="7">
        <v>80</v>
      </c>
      <c r="E5" s="7">
        <v>0</v>
      </c>
      <c r="F5" s="7" t="s">
        <v>21</v>
      </c>
      <c r="G5" s="7"/>
      <c r="H5" s="7">
        <v>1.18</v>
      </c>
      <c r="I5" s="7">
        <v>0.3</v>
      </c>
      <c r="J5" s="7">
        <v>1.86</v>
      </c>
      <c r="K5" s="7">
        <v>61</v>
      </c>
      <c r="L5" s="7">
        <v>4877</v>
      </c>
      <c r="M5" s="7">
        <v>23362.458319857102</v>
      </c>
      <c r="N5" s="7">
        <v>0</v>
      </c>
      <c r="O5" s="7">
        <v>72200.182510221493</v>
      </c>
      <c r="P5" s="7">
        <v>72320.005945671393</v>
      </c>
      <c r="Q5" s="7">
        <v>0</v>
      </c>
      <c r="R5" s="7">
        <v>658286.15266324603</v>
      </c>
      <c r="S5" s="11">
        <v>136195.87571102803</v>
      </c>
      <c r="T5" s="11">
        <v>140422.50368463391</v>
      </c>
      <c r="U5" s="11">
        <v>22950</v>
      </c>
      <c r="V5" s="11">
        <v>133630</v>
      </c>
      <c r="W5" s="11">
        <f t="shared" si="0"/>
        <v>156580</v>
      </c>
      <c r="X5" s="12">
        <f t="shared" si="1"/>
        <v>433198.37939566193</v>
      </c>
    </row>
    <row r="6" spans="1:24" s="6" customFormat="1" x14ac:dyDescent="0.25">
      <c r="A6" s="10" t="s">
        <v>68</v>
      </c>
      <c r="B6" s="7">
        <v>2049</v>
      </c>
      <c r="C6" s="7">
        <v>27213</v>
      </c>
      <c r="D6" s="7">
        <v>80</v>
      </c>
      <c r="E6" s="7">
        <v>8</v>
      </c>
      <c r="F6" s="7" t="s">
        <v>21</v>
      </c>
      <c r="G6" s="7" t="s">
        <v>8</v>
      </c>
      <c r="H6" s="7">
        <f>1.99/3</f>
        <v>0.66333333333333333</v>
      </c>
      <c r="I6" s="7">
        <f>0.26</f>
        <v>0.26</v>
      </c>
      <c r="J6" s="7">
        <v>3.07</v>
      </c>
      <c r="K6" s="7">
        <v>61</v>
      </c>
      <c r="L6" s="7">
        <v>4877</v>
      </c>
      <c r="M6" s="7">
        <v>23362.458319857102</v>
      </c>
      <c r="N6" s="7">
        <v>0</v>
      </c>
      <c r="O6" s="7">
        <v>72200.182510221493</v>
      </c>
      <c r="P6" s="7">
        <v>72320.005945671393</v>
      </c>
      <c r="Q6" s="7">
        <v>0</v>
      </c>
      <c r="R6" s="7">
        <v>758286.15266324603</v>
      </c>
      <c r="S6" s="11">
        <v>136195.87571102803</v>
      </c>
      <c r="T6" s="11">
        <v>140422.50368463391</v>
      </c>
      <c r="U6" s="11">
        <v>160450</v>
      </c>
      <c r="V6" s="11">
        <v>210910</v>
      </c>
      <c r="W6" s="11">
        <f t="shared" si="0"/>
        <v>371360</v>
      </c>
      <c r="X6" s="12">
        <f t="shared" si="1"/>
        <v>647978.37939566188</v>
      </c>
    </row>
    <row r="7" spans="1:24" s="6" customFormat="1" x14ac:dyDescent="0.25">
      <c r="A7" s="10" t="s">
        <v>69</v>
      </c>
      <c r="B7" s="7">
        <v>2049</v>
      </c>
      <c r="C7" s="7">
        <v>27213</v>
      </c>
      <c r="D7" s="7">
        <v>8</v>
      </c>
      <c r="E7" s="7">
        <v>8</v>
      </c>
      <c r="F7" s="7" t="s">
        <v>8</v>
      </c>
      <c r="G7" s="7" t="s">
        <v>8</v>
      </c>
      <c r="H7" s="7">
        <f>0.3</f>
        <v>0.3</v>
      </c>
      <c r="I7" s="7">
        <f>0.58</f>
        <v>0.57999999999999996</v>
      </c>
      <c r="J7" s="7">
        <v>1.8</v>
      </c>
      <c r="K7" s="7">
        <v>19</v>
      </c>
      <c r="L7" s="7">
        <v>151</v>
      </c>
      <c r="M7" s="7">
        <v>31505.122417993502</v>
      </c>
      <c r="N7" s="7">
        <v>54442.326843564399</v>
      </c>
      <c r="O7" s="7">
        <v>68598.261692039698</v>
      </c>
      <c r="P7" s="7">
        <v>171056.49354431301</v>
      </c>
      <c r="Q7" s="7">
        <v>85582.633114971599</v>
      </c>
      <c r="R7" s="7" t="s">
        <v>107</v>
      </c>
      <c r="S7" s="11">
        <v>220258.5472510673</v>
      </c>
      <c r="T7" s="11">
        <v>123148.20881095782</v>
      </c>
      <c r="U7" s="11">
        <v>93800</v>
      </c>
      <c r="V7" s="11">
        <v>215594</v>
      </c>
      <c r="W7" s="11">
        <f t="shared" si="0"/>
        <v>309394</v>
      </c>
      <c r="X7" s="12">
        <f t="shared" si="1"/>
        <v>652800.75606202509</v>
      </c>
    </row>
    <row r="8" spans="1:24" s="6" customFormat="1" x14ac:dyDescent="0.25">
      <c r="A8" s="10" t="s">
        <v>70</v>
      </c>
      <c r="B8" s="7">
        <v>342</v>
      </c>
      <c r="C8" s="7">
        <v>4535</v>
      </c>
      <c r="D8" s="7">
        <v>8</v>
      </c>
      <c r="E8" s="7">
        <v>4</v>
      </c>
      <c r="F8" s="7" t="s">
        <v>8</v>
      </c>
      <c r="G8" s="7" t="s">
        <v>65</v>
      </c>
      <c r="H8" s="7">
        <v>1.3</v>
      </c>
      <c r="I8" s="7">
        <v>1.58</v>
      </c>
      <c r="J8" s="7">
        <v>1</v>
      </c>
      <c r="K8" s="7">
        <v>19</v>
      </c>
      <c r="L8" s="7">
        <v>151</v>
      </c>
      <c r="M8" s="7">
        <v>31505.122417993502</v>
      </c>
      <c r="N8" s="7">
        <v>54442.326843564399</v>
      </c>
      <c r="O8" s="7">
        <v>68598.261692039698</v>
      </c>
      <c r="P8" s="7">
        <v>171056.49354431301</v>
      </c>
      <c r="Q8" s="7">
        <v>85582.633114971599</v>
      </c>
      <c r="R8" s="7">
        <v>685372.28279667499</v>
      </c>
      <c r="S8" s="11">
        <v>122492.30468757232</v>
      </c>
      <c r="T8" s="11">
        <v>181054.59289743542</v>
      </c>
      <c r="U8" s="11">
        <v>15652</v>
      </c>
      <c r="V8" s="11">
        <v>465444</v>
      </c>
      <c r="W8" s="11">
        <f t="shared" si="0"/>
        <v>481096</v>
      </c>
      <c r="X8" s="12">
        <f t="shared" si="1"/>
        <v>784642.89758500771</v>
      </c>
    </row>
    <row r="9" spans="1:24" s="6" customFormat="1" x14ac:dyDescent="0.25">
      <c r="A9" s="10" t="s">
        <v>71</v>
      </c>
      <c r="B9" s="7">
        <v>342</v>
      </c>
      <c r="C9" s="7">
        <v>4535</v>
      </c>
      <c r="D9" s="7">
        <v>8</v>
      </c>
      <c r="E9" s="7">
        <v>8</v>
      </c>
      <c r="F9" s="7" t="s">
        <v>8</v>
      </c>
      <c r="G9" s="7" t="s">
        <v>8</v>
      </c>
      <c r="H9" s="7">
        <v>0.72</v>
      </c>
      <c r="I9" s="7">
        <v>0.94</v>
      </c>
      <c r="J9" s="7">
        <v>1.8</v>
      </c>
      <c r="K9" s="7">
        <v>19</v>
      </c>
      <c r="L9" s="7">
        <v>151</v>
      </c>
      <c r="M9" s="7">
        <v>31505.122417993502</v>
      </c>
      <c r="N9" s="7">
        <v>54442.326843564399</v>
      </c>
      <c r="O9" s="7">
        <v>68598.261692039698</v>
      </c>
      <c r="P9" s="7">
        <v>171056.49354431301</v>
      </c>
      <c r="Q9" s="7">
        <v>85582.633114971599</v>
      </c>
      <c r="R9" s="7">
        <v>384090.36767452297</v>
      </c>
      <c r="S9" s="11">
        <v>220258.5472510673</v>
      </c>
      <c r="T9" s="11">
        <v>123148.20881095782</v>
      </c>
      <c r="U9" s="11">
        <v>32500</v>
      </c>
      <c r="V9" s="11">
        <v>126045.59999999999</v>
      </c>
      <c r="W9" s="11">
        <f t="shared" si="0"/>
        <v>158545.59999999998</v>
      </c>
      <c r="X9" s="12">
        <f t="shared" si="1"/>
        <v>501952.35606202506</v>
      </c>
    </row>
    <row r="10" spans="1:24" s="6" customFormat="1" x14ac:dyDescent="0.25">
      <c r="A10" s="10" t="s">
        <v>72</v>
      </c>
      <c r="B10" s="7">
        <v>342</v>
      </c>
      <c r="C10" s="7">
        <v>4535</v>
      </c>
      <c r="D10" s="7">
        <v>80</v>
      </c>
      <c r="E10" s="7">
        <v>0</v>
      </c>
      <c r="F10" s="7" t="s">
        <v>21</v>
      </c>
      <c r="G10" s="7"/>
      <c r="H10" s="7">
        <v>1.2</v>
      </c>
      <c r="I10" s="7">
        <f>0.3</f>
        <v>0.3</v>
      </c>
      <c r="J10" s="7">
        <v>1.86</v>
      </c>
      <c r="K10" s="7">
        <v>61</v>
      </c>
      <c r="L10" s="7">
        <v>4877</v>
      </c>
      <c r="M10" s="7">
        <v>23362.458319857102</v>
      </c>
      <c r="N10" s="7">
        <v>0</v>
      </c>
      <c r="O10" s="7">
        <v>72200.182510221493</v>
      </c>
      <c r="P10" s="7">
        <v>72320.005945671393</v>
      </c>
      <c r="Q10" s="7">
        <v>0</v>
      </c>
      <c r="R10" s="7">
        <v>658286.15266324603</v>
      </c>
      <c r="S10" s="11">
        <v>136195.87571102803</v>
      </c>
      <c r="T10" s="11">
        <v>140422.50368463391</v>
      </c>
      <c r="U10" s="11">
        <v>39200</v>
      </c>
      <c r="V10" s="11">
        <v>133630</v>
      </c>
      <c r="W10" s="11">
        <f t="shared" si="0"/>
        <v>172830</v>
      </c>
      <c r="X10" s="12">
        <f t="shared" si="1"/>
        <v>449448.37939566193</v>
      </c>
    </row>
    <row r="11" spans="1:24" s="8" customFormat="1" x14ac:dyDescent="0.25">
      <c r="A11" s="10" t="s">
        <v>74</v>
      </c>
      <c r="B11" s="7">
        <v>342</v>
      </c>
      <c r="C11" s="7">
        <f>CEILING(0.93*4877/3,1)</f>
        <v>1512</v>
      </c>
      <c r="D11" s="7">
        <v>80</v>
      </c>
      <c r="E11" s="7">
        <v>8</v>
      </c>
      <c r="F11" s="7" t="s">
        <v>21</v>
      </c>
      <c r="G11" s="7" t="s">
        <v>39</v>
      </c>
      <c r="H11" s="7">
        <v>0.54</v>
      </c>
      <c r="I11" s="7">
        <v>0.28000000000000003</v>
      </c>
      <c r="J11" s="7">
        <v>2.2000000000000002</v>
      </c>
      <c r="K11" s="7">
        <v>8</v>
      </c>
      <c r="L11" s="7">
        <v>610</v>
      </c>
      <c r="M11" s="7">
        <v>7039.7238495865004</v>
      </c>
      <c r="N11" s="7">
        <v>50467.597460168901</v>
      </c>
      <c r="O11" s="7">
        <v>69134.465806048596</v>
      </c>
      <c r="P11" s="7">
        <v>8635.1542501059794</v>
      </c>
      <c r="Q11" s="7">
        <v>233483.63773783101</v>
      </c>
      <c r="R11" s="7">
        <v>387592.626526276</v>
      </c>
      <c r="S11" s="11">
        <v>81959.434330663411</v>
      </c>
      <c r="T11" s="11">
        <v>121030.53463843174</v>
      </c>
      <c r="U11" s="11">
        <v>11720</v>
      </c>
      <c r="V11" s="11">
        <v>228761.2</v>
      </c>
      <c r="W11" s="11">
        <f t="shared" si="0"/>
        <v>240481.2</v>
      </c>
      <c r="X11" s="12">
        <f t="shared" si="1"/>
        <v>443471.16896909516</v>
      </c>
    </row>
    <row r="12" spans="1:24" s="6" customFormat="1" x14ac:dyDescent="0.25">
      <c r="A12" s="10" t="s">
        <v>75</v>
      </c>
      <c r="B12" s="7">
        <v>342</v>
      </c>
      <c r="C12" s="7">
        <v>4535</v>
      </c>
      <c r="D12" s="7">
        <v>80</v>
      </c>
      <c r="E12" s="7">
        <v>16</v>
      </c>
      <c r="F12" s="7" t="s">
        <v>21</v>
      </c>
      <c r="G12" s="7" t="s">
        <v>8</v>
      </c>
      <c r="H12" s="7">
        <v>0.28000000000000003</v>
      </c>
      <c r="I12" s="7">
        <v>0.24</v>
      </c>
      <c r="J12" s="7">
        <v>3.1</v>
      </c>
      <c r="K12" s="7">
        <v>8</v>
      </c>
      <c r="L12" s="7">
        <v>305</v>
      </c>
      <c r="M12" s="7">
        <v>7039.7238495865004</v>
      </c>
      <c r="N12" s="7">
        <v>50467.597460168901</v>
      </c>
      <c r="O12" s="7">
        <v>70030.505757120001</v>
      </c>
      <c r="P12" s="7">
        <v>8635.1542501059794</v>
      </c>
      <c r="Q12" s="7">
        <v>233483.63773783101</v>
      </c>
      <c r="R12" s="7">
        <v>368464.72317224898</v>
      </c>
      <c r="S12" s="11">
        <v>181766.91113571086</v>
      </c>
      <c r="T12" s="11">
        <v>117354.15161378775</v>
      </c>
      <c r="U12" s="11">
        <v>24000</v>
      </c>
      <c r="V12" s="11">
        <v>135438.20000000001</v>
      </c>
      <c r="W12" s="11">
        <f t="shared" si="0"/>
        <v>159438.20000000001</v>
      </c>
      <c r="X12" s="12">
        <f t="shared" si="1"/>
        <v>458559.26274949865</v>
      </c>
    </row>
    <row r="13" spans="1:24" s="6" customFormat="1" x14ac:dyDescent="0.25">
      <c r="A13" s="10" t="s">
        <v>76</v>
      </c>
      <c r="B13" s="7">
        <v>2049</v>
      </c>
      <c r="C13" s="7">
        <v>27213</v>
      </c>
      <c r="D13" s="7">
        <v>80</v>
      </c>
      <c r="E13" s="7">
        <v>16</v>
      </c>
      <c r="F13" s="7" t="s">
        <v>21</v>
      </c>
      <c r="G13" s="7" t="s">
        <v>8</v>
      </c>
      <c r="H13" s="7">
        <v>0.54</v>
      </c>
      <c r="I13" s="7">
        <v>0.28000000000000003</v>
      </c>
      <c r="J13" s="7">
        <v>3.1</v>
      </c>
      <c r="K13" s="7">
        <v>8</v>
      </c>
      <c r="L13" s="7">
        <v>305</v>
      </c>
      <c r="M13" s="7">
        <v>7039.7238495865004</v>
      </c>
      <c r="N13" s="7">
        <v>50467.597460168901</v>
      </c>
      <c r="O13" s="7">
        <v>70030.505757120001</v>
      </c>
      <c r="P13" s="7">
        <v>8635.1542501059794</v>
      </c>
      <c r="Q13" s="7">
        <v>233483.63773783101</v>
      </c>
      <c r="R13" s="7">
        <v>1012244.723172249</v>
      </c>
      <c r="S13" s="11">
        <v>181766.91113571086</v>
      </c>
      <c r="T13" s="11">
        <v>99287.142993292597</v>
      </c>
      <c r="U13" s="11">
        <v>48000</v>
      </c>
      <c r="V13" s="11">
        <v>90438.2</v>
      </c>
      <c r="W13" s="11">
        <f t="shared" si="0"/>
        <v>138438.20000000001</v>
      </c>
      <c r="X13" s="12">
        <f t="shared" si="1"/>
        <v>419492.25412900344</v>
      </c>
    </row>
    <row r="14" spans="1:24" s="6" customFormat="1" x14ac:dyDescent="0.25">
      <c r="A14" s="10" t="s">
        <v>77</v>
      </c>
      <c r="B14" s="7">
        <v>342</v>
      </c>
      <c r="C14" s="7">
        <v>4535</v>
      </c>
      <c r="D14" s="7">
        <v>80</v>
      </c>
      <c r="E14" s="7">
        <v>8</v>
      </c>
      <c r="F14" s="7" t="s">
        <v>21</v>
      </c>
      <c r="G14" s="7" t="s">
        <v>39</v>
      </c>
      <c r="H14" s="7">
        <v>0.54</v>
      </c>
      <c r="I14" s="7">
        <v>0.28000000000000003</v>
      </c>
      <c r="J14" s="7">
        <v>2.2000000000000002</v>
      </c>
      <c r="K14" s="7">
        <v>8</v>
      </c>
      <c r="L14" s="7">
        <v>610</v>
      </c>
      <c r="M14" s="7">
        <v>7039.7238495865004</v>
      </c>
      <c r="N14" s="7">
        <v>50467.597460168901</v>
      </c>
      <c r="O14" s="7">
        <v>69134.465806048596</v>
      </c>
      <c r="P14" s="7">
        <v>8635.1542501059794</v>
      </c>
      <c r="Q14" s="7">
        <v>233483.63773783101</v>
      </c>
      <c r="R14" s="7">
        <v>387592.626526276</v>
      </c>
      <c r="S14" s="11">
        <v>180489.8749974439</v>
      </c>
      <c r="T14" s="11">
        <v>121030.53463843174</v>
      </c>
      <c r="U14" s="11">
        <v>46280</v>
      </c>
      <c r="V14" s="11">
        <v>245231.2</v>
      </c>
      <c r="W14" s="11">
        <f t="shared" si="0"/>
        <v>291511.2</v>
      </c>
      <c r="X14" s="12">
        <f t="shared" si="1"/>
        <v>593031.60963587556</v>
      </c>
    </row>
    <row r="15" spans="1:24" s="6" customFormat="1" x14ac:dyDescent="0.25">
      <c r="A15" s="10" t="s">
        <v>78</v>
      </c>
      <c r="B15" s="7">
        <v>342</v>
      </c>
      <c r="C15" s="7">
        <v>4535</v>
      </c>
      <c r="D15" s="7">
        <v>80</v>
      </c>
      <c r="E15" s="7">
        <v>16</v>
      </c>
      <c r="F15" s="7" t="s">
        <v>21</v>
      </c>
      <c r="G15" s="7" t="s">
        <v>8</v>
      </c>
      <c r="H15" s="7">
        <v>0.54</v>
      </c>
      <c r="I15" s="7">
        <v>0.28000000000000003</v>
      </c>
      <c r="J15" s="7">
        <v>3.1</v>
      </c>
      <c r="K15" s="7">
        <v>8</v>
      </c>
      <c r="L15" s="7">
        <v>305</v>
      </c>
      <c r="M15" s="7">
        <v>7039.7238495865004</v>
      </c>
      <c r="N15" s="7">
        <v>50467.597460168901</v>
      </c>
      <c r="O15" s="7">
        <v>70030.505757120001</v>
      </c>
      <c r="P15" s="7">
        <v>8635.1542501059794</v>
      </c>
      <c r="Q15" s="7">
        <v>233483.63773783101</v>
      </c>
      <c r="R15" s="7">
        <v>368464.72317224898</v>
      </c>
      <c r="S15" s="11">
        <v>181766.91113571086</v>
      </c>
      <c r="T15" s="11">
        <v>91410.786993292611</v>
      </c>
      <c r="U15" s="11">
        <v>48000</v>
      </c>
      <c r="V15" s="11">
        <v>135438.20000000001</v>
      </c>
      <c r="W15" s="11">
        <f t="shared" si="0"/>
        <v>183438.2</v>
      </c>
      <c r="X15" s="12">
        <f t="shared" ref="X15" si="2">SUM(S15:V15)</f>
        <v>456615.89812900347</v>
      </c>
    </row>
    <row r="27" spans="17:17" ht="14.45" x14ac:dyDescent="0.3">
      <c r="Q27">
        <f>0.02/1000</f>
        <v>2.0000000000000002E-5</v>
      </c>
    </row>
    <row r="42" spans="18:25" x14ac:dyDescent="0.25">
      <c r="R42" s="5" t="s">
        <v>52</v>
      </c>
      <c r="S42" s="5"/>
      <c r="T42" s="5"/>
      <c r="U42" s="5"/>
      <c r="V42" s="5"/>
      <c r="W42" s="5"/>
      <c r="X42" s="5"/>
      <c r="Y42" s="5" t="s">
        <v>53</v>
      </c>
    </row>
    <row r="43" spans="18:25" x14ac:dyDescent="0.25">
      <c r="S43" t="s">
        <v>54</v>
      </c>
    </row>
    <row r="44" spans="18:25" x14ac:dyDescent="0.25">
      <c r="R44" t="s">
        <v>55</v>
      </c>
      <c r="S44">
        <f>0.02/1000</f>
        <v>2.0000000000000002E-5</v>
      </c>
      <c r="T44">
        <f>0.02/1000</f>
        <v>2.0000000000000002E-5</v>
      </c>
      <c r="W44">
        <f>0.02/1000</f>
        <v>2.0000000000000002E-5</v>
      </c>
      <c r="Y44" t="s">
        <v>56</v>
      </c>
    </row>
    <row r="45" spans="18:25" x14ac:dyDescent="0.25">
      <c r="S45" t="s">
        <v>57</v>
      </c>
      <c r="T45" t="s">
        <v>58</v>
      </c>
      <c r="W45" t="s">
        <v>59</v>
      </c>
    </row>
    <row r="46" spans="18:25" x14ac:dyDescent="0.25">
      <c r="R46" t="s">
        <v>60</v>
      </c>
      <c r="S46">
        <v>1.1200000000000001</v>
      </c>
      <c r="T46">
        <v>1.1200000000000001</v>
      </c>
      <c r="W46">
        <v>0.73</v>
      </c>
      <c r="Y46" t="s">
        <v>56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27" sqref="B27"/>
    </sheetView>
  </sheetViews>
  <sheetFormatPr defaultRowHeight="15" x14ac:dyDescent="0.25"/>
  <cols>
    <col min="1" max="1" width="27.7109375" customWidth="1"/>
    <col min="2" max="2" width="39.85546875" customWidth="1"/>
    <col min="3" max="3" width="15.140625" customWidth="1"/>
  </cols>
  <sheetData>
    <row r="1" spans="1:2" x14ac:dyDescent="0.3">
      <c r="A1" s="10" t="s">
        <v>22</v>
      </c>
      <c r="B1" s="10" t="s">
        <v>106</v>
      </c>
    </row>
    <row r="2" spans="1:2" x14ac:dyDescent="0.25">
      <c r="A2" s="10" t="s">
        <v>23</v>
      </c>
      <c r="B2" s="12">
        <v>10000</v>
      </c>
    </row>
    <row r="3" spans="1:2" x14ac:dyDescent="0.25">
      <c r="A3" s="10" t="s">
        <v>73</v>
      </c>
      <c r="B3" s="12">
        <v>19283.042118970367</v>
      </c>
    </row>
    <row r="4" spans="1:2" x14ac:dyDescent="0.25">
      <c r="A4" s="10" t="s">
        <v>66</v>
      </c>
      <c r="B4" s="12">
        <v>43709.823692218881</v>
      </c>
    </row>
    <row r="5" spans="1:2" x14ac:dyDescent="0.25">
      <c r="A5" s="10" t="s">
        <v>67</v>
      </c>
      <c r="B5" s="12">
        <v>44248.4220525376</v>
      </c>
    </row>
    <row r="6" spans="1:2" x14ac:dyDescent="0.25">
      <c r="A6" s="10" t="s">
        <v>68</v>
      </c>
      <c r="B6" s="12">
        <v>19212.762708578561</v>
      </c>
    </row>
    <row r="7" spans="1:2" x14ac:dyDescent="0.25">
      <c r="A7" s="10" t="s">
        <v>69</v>
      </c>
      <c r="B7" s="12">
        <v>11938.918689039821</v>
      </c>
    </row>
    <row r="8" spans="1:2" x14ac:dyDescent="0.25">
      <c r="A8" s="10" t="s">
        <v>70</v>
      </c>
      <c r="B8" s="12">
        <v>50983.71612182937</v>
      </c>
    </row>
    <row r="9" spans="1:2" x14ac:dyDescent="0.25">
      <c r="A9" s="10" t="s">
        <v>71</v>
      </c>
      <c r="B9" s="12">
        <v>47726.863400003029</v>
      </c>
    </row>
    <row r="10" spans="1:2" x14ac:dyDescent="0.25">
      <c r="A10" s="10" t="s">
        <v>72</v>
      </c>
      <c r="B10" s="12">
        <v>48220.289169209609</v>
      </c>
    </row>
    <row r="11" spans="1:2" x14ac:dyDescent="0.25">
      <c r="A11" s="10" t="s">
        <v>74</v>
      </c>
      <c r="B11" s="12">
        <v>37682.867713520049</v>
      </c>
    </row>
    <row r="12" spans="1:2" x14ac:dyDescent="0.25">
      <c r="A12" s="10" t="s">
        <v>75</v>
      </c>
      <c r="B12" s="12">
        <v>44827.8721002112</v>
      </c>
    </row>
    <row r="13" spans="1:2" x14ac:dyDescent="0.25">
      <c r="A13" s="10" t="s">
        <v>76</v>
      </c>
      <c r="B13" s="12">
        <v>12139.814930199653</v>
      </c>
    </row>
    <row r="14" spans="1:2" x14ac:dyDescent="0.25">
      <c r="A14" s="10" t="s">
        <v>77</v>
      </c>
      <c r="B14" s="12">
        <v>47419.574760442287</v>
      </c>
    </row>
    <row r="15" spans="1:2" x14ac:dyDescent="0.25">
      <c r="A15" s="10" t="s">
        <v>78</v>
      </c>
      <c r="B15" s="12">
        <v>50088.476920599649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"/>
  <sheetViews>
    <sheetView topLeftCell="A43" workbookViewId="0">
      <selection activeCell="I67" sqref="I67"/>
    </sheetView>
  </sheetViews>
  <sheetFormatPr defaultRowHeight="15" x14ac:dyDescent="0.25"/>
  <cols>
    <col min="2" max="2" width="16.7109375" customWidth="1"/>
    <col min="3" max="3" width="15.140625" customWidth="1"/>
    <col min="4" max="4" width="15.5703125" customWidth="1"/>
    <col min="5" max="5" width="19.28515625" customWidth="1"/>
    <col min="6" max="6" width="20.42578125" customWidth="1"/>
    <col min="7" max="7" width="23.5703125" customWidth="1"/>
    <col min="8" max="8" width="23" customWidth="1"/>
    <col min="9" max="9" width="13.28515625" customWidth="1"/>
    <col min="10" max="10" width="15.28515625" customWidth="1"/>
    <col min="11" max="11" width="14.7109375" customWidth="1"/>
    <col min="34" max="34" width="17.85546875" customWidth="1"/>
  </cols>
  <sheetData>
    <row r="1" spans="1:34" x14ac:dyDescent="0.3">
      <c r="A1" t="s">
        <v>24</v>
      </c>
      <c r="B1" t="s">
        <v>25</v>
      </c>
      <c r="C1" t="s">
        <v>26</v>
      </c>
      <c r="D1" t="s">
        <v>27</v>
      </c>
      <c r="M1" s="10" t="s">
        <v>22</v>
      </c>
      <c r="N1" s="10" t="s">
        <v>24</v>
      </c>
      <c r="O1" s="10" t="s">
        <v>28</v>
      </c>
      <c r="P1" s="10" t="s">
        <v>26</v>
      </c>
      <c r="Q1" s="10" t="s">
        <v>29</v>
      </c>
      <c r="R1" s="10" t="s">
        <v>44</v>
      </c>
      <c r="S1" s="10" t="s">
        <v>42</v>
      </c>
      <c r="T1" s="10" t="s">
        <v>45</v>
      </c>
      <c r="U1" s="10" t="s">
        <v>30</v>
      </c>
      <c r="V1" s="10" t="s">
        <v>31</v>
      </c>
      <c r="W1" s="10" t="s">
        <v>32</v>
      </c>
      <c r="X1" s="10" t="s">
        <v>33</v>
      </c>
      <c r="Y1" s="10" t="s">
        <v>46</v>
      </c>
      <c r="Z1" s="10" t="s">
        <v>47</v>
      </c>
      <c r="AA1" s="10" t="s">
        <v>48</v>
      </c>
      <c r="AB1" s="10" t="s">
        <v>34</v>
      </c>
      <c r="AC1" s="10" t="s">
        <v>35</v>
      </c>
      <c r="AD1" s="10" t="s">
        <v>36</v>
      </c>
      <c r="AE1" s="10" t="s">
        <v>37</v>
      </c>
      <c r="AF1" s="10" t="s">
        <v>49</v>
      </c>
      <c r="AG1" s="10" t="s">
        <v>50</v>
      </c>
      <c r="AH1" s="10" t="s">
        <v>51</v>
      </c>
    </row>
    <row r="2" spans="1:34" x14ac:dyDescent="0.3">
      <c r="A2" s="1">
        <v>2018</v>
      </c>
      <c r="B2" s="2">
        <v>3.30316322E-3</v>
      </c>
      <c r="C2" s="2">
        <v>3.30316322E-3</v>
      </c>
      <c r="D2" s="2">
        <v>3.30316322E-3</v>
      </c>
      <c r="E2" s="4"/>
      <c r="F2" s="4"/>
      <c r="G2" s="4"/>
      <c r="M2" s="10" t="s">
        <v>78</v>
      </c>
      <c r="N2" s="7">
        <v>2018</v>
      </c>
      <c r="O2" s="11">
        <f>$I$16*B29+$J$16*B54</f>
        <v>1284</v>
      </c>
      <c r="P2" s="11">
        <f t="shared" ref="P2:T2" si="0">$I$16*C29+$J$16*C54</f>
        <v>1284</v>
      </c>
      <c r="Q2" s="11">
        <f t="shared" si="0"/>
        <v>1284</v>
      </c>
      <c r="R2" s="11">
        <f t="shared" si="0"/>
        <v>1140</v>
      </c>
      <c r="S2" s="11">
        <f t="shared" si="0"/>
        <v>1140</v>
      </c>
      <c r="T2" s="11">
        <f t="shared" si="0"/>
        <v>1140</v>
      </c>
      <c r="U2" s="7">
        <f>OPEX!$B$15</f>
        <v>50088.476920599649</v>
      </c>
      <c r="V2" s="11">
        <f>O2-U2</f>
        <v>-48804.476920599649</v>
      </c>
      <c r="W2" s="11">
        <f>P2-U2</f>
        <v>-48804.476920599649</v>
      </c>
      <c r="X2" s="11">
        <f t="shared" ref="X2:X22" si="1">Q2-U2</f>
        <v>-48804.476920599649</v>
      </c>
      <c r="Y2" s="11">
        <f>R2-$U2</f>
        <v>-48948.476920599649</v>
      </c>
      <c r="Z2" s="11">
        <f>S2-$U2</f>
        <v>-48948.476920599649</v>
      </c>
      <c r="AA2" s="11">
        <f>T2-$U2</f>
        <v>-48948.476920599649</v>
      </c>
      <c r="AB2" s="11">
        <f>1/POWER(1+$L$25,N2-2018)</f>
        <v>1</v>
      </c>
      <c r="AC2" s="12">
        <f>V2*AB2</f>
        <v>-48804.476920599649</v>
      </c>
      <c r="AD2" s="12">
        <f>W2*AB2</f>
        <v>-48804.476920599649</v>
      </c>
      <c r="AE2" s="12">
        <f>X2*AB2</f>
        <v>-48804.476920599649</v>
      </c>
      <c r="AF2" s="12">
        <f>Y2*$AB2</f>
        <v>-48948.476920599649</v>
      </c>
      <c r="AG2" s="12">
        <f>Z2*$AB2</f>
        <v>-48948.476920599649</v>
      </c>
      <c r="AH2" s="12">
        <f>AA2*$AB2</f>
        <v>-48948.476920599649</v>
      </c>
    </row>
    <row r="3" spans="1:34" x14ac:dyDescent="0.3">
      <c r="A3" s="1">
        <v>2019</v>
      </c>
      <c r="B3" s="2">
        <v>4.3790008477530579E-3</v>
      </c>
      <c r="C3" s="2">
        <v>4.5205608805890677E-3</v>
      </c>
      <c r="D3" s="2">
        <v>6.1418523386151062E-3</v>
      </c>
      <c r="E3" s="4"/>
      <c r="F3" s="4"/>
      <c r="M3" s="10" t="s">
        <v>86</v>
      </c>
      <c r="N3" s="7">
        <v>2019</v>
      </c>
      <c r="O3" s="11">
        <f t="shared" ref="O3:O22" si="2">$I$16*B30+$J$16*B55</f>
        <v>1716</v>
      </c>
      <c r="P3" s="11">
        <f t="shared" ref="P3:P22" si="3">$I$16*C30+$J$16*C55</f>
        <v>1800</v>
      </c>
      <c r="Q3" s="11">
        <f t="shared" ref="Q3:Q22" si="4">$I$16*D30+$J$16*D55</f>
        <v>2436</v>
      </c>
      <c r="R3" s="11">
        <f t="shared" ref="R3:R22" si="5">$I$16*E30+$J$16*E55</f>
        <v>1536</v>
      </c>
      <c r="S3" s="11">
        <f t="shared" ref="S3:S22" si="6">$I$16*F30+$J$16*F55</f>
        <v>1608</v>
      </c>
      <c r="T3" s="11">
        <f t="shared" ref="T3:T22" si="7">$I$16*G30+$J$16*G55</f>
        <v>2160</v>
      </c>
      <c r="U3" s="7">
        <f>OPEX!$B$15</f>
        <v>50088.476920599649</v>
      </c>
      <c r="V3" s="11">
        <f t="shared" ref="V3:V22" si="8">O3-U3</f>
        <v>-48372.476920599649</v>
      </c>
      <c r="W3" s="11">
        <f t="shared" ref="W3:W22" si="9">P3-U3</f>
        <v>-48288.476920599649</v>
      </c>
      <c r="X3" s="11">
        <f t="shared" si="1"/>
        <v>-47652.476920599649</v>
      </c>
      <c r="Y3" s="11">
        <f t="shared" ref="Y3:Y22" si="10">R3-$U3</f>
        <v>-48552.476920599649</v>
      </c>
      <c r="Z3" s="11">
        <f t="shared" ref="Z3:Z22" si="11">S3-$U3</f>
        <v>-48480.476920599649</v>
      </c>
      <c r="AA3" s="11">
        <f t="shared" ref="AA3:AA22" si="12">T3-$U3</f>
        <v>-47928.476920599649</v>
      </c>
      <c r="AB3" s="11">
        <f t="shared" ref="AB3:AB22" si="13">1/POWER(1+$L$25,N3-2018)</f>
        <v>0.90909090909090906</v>
      </c>
      <c r="AC3" s="12">
        <f t="shared" ref="AC3:AC22" si="14">V3*AB3</f>
        <v>-43974.979018726954</v>
      </c>
      <c r="AD3" s="12">
        <f t="shared" ref="AD3:AD22" si="15">W3*AB3</f>
        <v>-43898.615382363314</v>
      </c>
      <c r="AE3" s="12">
        <f t="shared" ref="AE3:AE22" si="16">X3*AB3</f>
        <v>-43320.433564181498</v>
      </c>
      <c r="AF3" s="12">
        <f t="shared" ref="AF3:AF22" si="17">Y3*$AB3</f>
        <v>-44138.615382363314</v>
      </c>
      <c r="AG3" s="12">
        <f t="shared" ref="AG3:AG22" si="18">Z3*$AB3</f>
        <v>-44073.16083690877</v>
      </c>
      <c r="AH3" s="12">
        <f t="shared" ref="AH3:AH22" si="19">AA3*$AB3</f>
        <v>-43571.342655090586</v>
      </c>
    </row>
    <row r="4" spans="1:34" x14ac:dyDescent="0.3">
      <c r="A4" s="1">
        <v>2020</v>
      </c>
      <c r="B4" s="2">
        <v>5.8865875045967493E-3</v>
      </c>
      <c r="C4" s="2">
        <v>6.281328148171679E-3</v>
      </c>
      <c r="D4" s="2">
        <v>1.1707792890537517E-2</v>
      </c>
      <c r="E4" s="4"/>
      <c r="F4" s="4"/>
      <c r="H4" s="10" t="s">
        <v>83</v>
      </c>
      <c r="I4" s="10" t="s">
        <v>84</v>
      </c>
      <c r="J4" s="10" t="s">
        <v>82</v>
      </c>
      <c r="M4" s="10" t="s">
        <v>87</v>
      </c>
      <c r="N4" s="7">
        <v>2020</v>
      </c>
      <c r="O4" s="11">
        <f t="shared" si="2"/>
        <v>2352</v>
      </c>
      <c r="P4" s="11">
        <f t="shared" si="3"/>
        <v>2472</v>
      </c>
      <c r="Q4" s="11">
        <f t="shared" si="4"/>
        <v>4644</v>
      </c>
      <c r="R4" s="11">
        <f t="shared" si="5"/>
        <v>2088</v>
      </c>
      <c r="S4" s="11">
        <f t="shared" si="6"/>
        <v>2196</v>
      </c>
      <c r="T4" s="11">
        <f t="shared" si="7"/>
        <v>4152</v>
      </c>
      <c r="U4" s="7">
        <f>OPEX!$B$15</f>
        <v>50088.476920599649</v>
      </c>
      <c r="V4" s="11">
        <f t="shared" si="8"/>
        <v>-47736.476920599649</v>
      </c>
      <c r="W4" s="11">
        <f t="shared" si="9"/>
        <v>-47616.476920599649</v>
      </c>
      <c r="X4" s="11">
        <f t="shared" si="1"/>
        <v>-45444.476920599649</v>
      </c>
      <c r="Y4" s="11">
        <f t="shared" si="10"/>
        <v>-48000.476920599649</v>
      </c>
      <c r="Z4" s="11">
        <f t="shared" si="11"/>
        <v>-47892.476920599649</v>
      </c>
      <c r="AA4" s="11">
        <f t="shared" si="12"/>
        <v>-45936.476920599649</v>
      </c>
      <c r="AB4" s="11">
        <f t="shared" si="13"/>
        <v>0.82644628099173545</v>
      </c>
      <c r="AC4" s="12">
        <f t="shared" si="14"/>
        <v>-39451.633818677394</v>
      </c>
      <c r="AD4" s="12">
        <f t="shared" si="15"/>
        <v>-39352.460264958383</v>
      </c>
      <c r="AE4" s="12">
        <f t="shared" si="16"/>
        <v>-37557.418942644334</v>
      </c>
      <c r="AF4" s="12">
        <f t="shared" si="17"/>
        <v>-39669.81563685921</v>
      </c>
      <c r="AG4" s="12">
        <f t="shared" si="18"/>
        <v>-39580.5594385121</v>
      </c>
      <c r="AH4" s="12">
        <f t="shared" si="19"/>
        <v>-37964.03051289227</v>
      </c>
    </row>
    <row r="5" spans="1:34" x14ac:dyDescent="0.3">
      <c r="A5" s="1">
        <v>2021</v>
      </c>
      <c r="B5" s="2">
        <v>7.9825182109571798E-3</v>
      </c>
      <c r="C5" s="2">
        <v>8.8107760924128423E-3</v>
      </c>
      <c r="D5" s="2">
        <v>2.2623018300336514E-2</v>
      </c>
      <c r="E5" s="4"/>
      <c r="F5" s="4"/>
      <c r="H5" s="10" t="s">
        <v>23</v>
      </c>
      <c r="I5" s="10">
        <f>15*12/50</f>
        <v>3.6</v>
      </c>
      <c r="J5" s="10">
        <v>3.6</v>
      </c>
      <c r="M5" s="10" t="s">
        <v>88</v>
      </c>
      <c r="N5" s="7">
        <v>2021</v>
      </c>
      <c r="O5" s="11">
        <f t="shared" si="2"/>
        <v>3180</v>
      </c>
      <c r="P5" s="11">
        <f t="shared" si="3"/>
        <v>3516</v>
      </c>
      <c r="Q5" s="11">
        <f t="shared" si="4"/>
        <v>9036</v>
      </c>
      <c r="R5" s="11">
        <f t="shared" si="5"/>
        <v>2844</v>
      </c>
      <c r="S5" s="11">
        <f t="shared" si="6"/>
        <v>3156</v>
      </c>
      <c r="T5" s="11">
        <f t="shared" si="7"/>
        <v>8112</v>
      </c>
      <c r="U5" s="7">
        <f>OPEX!$B$15</f>
        <v>50088.476920599649</v>
      </c>
      <c r="V5" s="11">
        <f t="shared" si="8"/>
        <v>-46908.476920599649</v>
      </c>
      <c r="W5" s="11">
        <f t="shared" si="9"/>
        <v>-46572.476920599649</v>
      </c>
      <c r="X5" s="11">
        <f t="shared" si="1"/>
        <v>-41052.476920599649</v>
      </c>
      <c r="Y5" s="11">
        <f t="shared" si="10"/>
        <v>-47244.476920599649</v>
      </c>
      <c r="Z5" s="11">
        <f t="shared" si="11"/>
        <v>-46932.476920599649</v>
      </c>
      <c r="AA5" s="11">
        <f t="shared" si="12"/>
        <v>-41976.476920599649</v>
      </c>
      <c r="AB5" s="11">
        <f t="shared" si="13"/>
        <v>0.75131480090157754</v>
      </c>
      <c r="AC5" s="12">
        <f t="shared" si="14"/>
        <v>-35243.03299819657</v>
      </c>
      <c r="AD5" s="12">
        <f t="shared" si="15"/>
        <v>-34990.591225093638</v>
      </c>
      <c r="AE5" s="12">
        <f t="shared" si="16"/>
        <v>-30843.333524116933</v>
      </c>
      <c r="AF5" s="12">
        <f t="shared" si="17"/>
        <v>-35495.474771299501</v>
      </c>
      <c r="AG5" s="12">
        <f t="shared" si="18"/>
        <v>-35261.064553418211</v>
      </c>
      <c r="AH5" s="12">
        <f t="shared" si="19"/>
        <v>-31537.54840014999</v>
      </c>
    </row>
    <row r="6" spans="1:34" x14ac:dyDescent="0.3">
      <c r="A6" s="1">
        <v>2022</v>
      </c>
      <c r="B6" s="2">
        <v>1.0879817973447734E-2</v>
      </c>
      <c r="C6" s="2">
        <v>1.242562877324002E-2</v>
      </c>
      <c r="D6" s="2">
        <v>4.3880942981604595E-2</v>
      </c>
      <c r="E6" s="4"/>
      <c r="F6" s="4"/>
      <c r="H6" s="10" t="s">
        <v>73</v>
      </c>
      <c r="I6" s="10">
        <f>30*12/50</f>
        <v>7.2</v>
      </c>
      <c r="J6" s="10">
        <v>12</v>
      </c>
      <c r="M6" s="10" t="s">
        <v>89</v>
      </c>
      <c r="N6" s="7">
        <v>2022</v>
      </c>
      <c r="O6" s="11">
        <f t="shared" si="2"/>
        <v>4344</v>
      </c>
      <c r="P6" s="11">
        <f t="shared" si="3"/>
        <v>4956</v>
      </c>
      <c r="Q6" s="11">
        <f t="shared" si="4"/>
        <v>17532</v>
      </c>
      <c r="R6" s="11">
        <f t="shared" si="5"/>
        <v>3876</v>
      </c>
      <c r="S6" s="11">
        <f t="shared" si="6"/>
        <v>4440</v>
      </c>
      <c r="T6" s="11">
        <f t="shared" si="7"/>
        <v>15768</v>
      </c>
      <c r="U6" s="7">
        <f>OPEX!$B$15</f>
        <v>50088.476920599649</v>
      </c>
      <c r="V6" s="11">
        <f t="shared" si="8"/>
        <v>-45744.476920599649</v>
      </c>
      <c r="W6" s="11">
        <f t="shared" si="9"/>
        <v>-45132.476920599649</v>
      </c>
      <c r="X6" s="11">
        <f t="shared" si="1"/>
        <v>-32556.476920599649</v>
      </c>
      <c r="Y6" s="11">
        <f t="shared" si="10"/>
        <v>-46212.476920599649</v>
      </c>
      <c r="Z6" s="11">
        <f t="shared" si="11"/>
        <v>-45648.476920599649</v>
      </c>
      <c r="AA6" s="11">
        <f t="shared" si="12"/>
        <v>-34320.476920599649</v>
      </c>
      <c r="AB6" s="11">
        <f t="shared" si="13"/>
        <v>0.68301345536507052</v>
      </c>
      <c r="AC6" s="12">
        <f t="shared" si="14"/>
        <v>-31244.093245406486</v>
      </c>
      <c r="AD6" s="12">
        <f t="shared" si="15"/>
        <v>-30826.089010723063</v>
      </c>
      <c r="AE6" s="12">
        <f t="shared" si="16"/>
        <v>-22236.511796051938</v>
      </c>
      <c r="AF6" s="12">
        <f t="shared" si="17"/>
        <v>-31563.743542517339</v>
      </c>
      <c r="AG6" s="12">
        <f t="shared" si="18"/>
        <v>-31178.523953691441</v>
      </c>
      <c r="AH6" s="12">
        <f t="shared" si="19"/>
        <v>-23441.347531315922</v>
      </c>
    </row>
    <row r="7" spans="1:34" x14ac:dyDescent="0.3">
      <c r="A7" s="1">
        <v>2023</v>
      </c>
      <c r="B7" s="2">
        <v>1.4866969947708513E-2</v>
      </c>
      <c r="C7" s="2">
        <v>1.7568307722274367E-2</v>
      </c>
      <c r="D7" s="2">
        <v>8.4529026793817325E-2</v>
      </c>
      <c r="E7" s="4"/>
      <c r="F7" s="4"/>
      <c r="H7" s="10" t="s">
        <v>66</v>
      </c>
      <c r="I7" s="10">
        <f>40*12/50</f>
        <v>9.6</v>
      </c>
      <c r="J7" s="10">
        <v>24</v>
      </c>
      <c r="M7" s="10" t="s">
        <v>90</v>
      </c>
      <c r="N7" s="7">
        <v>2023</v>
      </c>
      <c r="O7" s="11">
        <f t="shared" si="2"/>
        <v>5928</v>
      </c>
      <c r="P7" s="11">
        <f t="shared" si="3"/>
        <v>6996</v>
      </c>
      <c r="Q7" s="11">
        <f t="shared" si="4"/>
        <v>33828</v>
      </c>
      <c r="R7" s="11">
        <f t="shared" si="5"/>
        <v>5328</v>
      </c>
      <c r="S7" s="11">
        <f t="shared" si="6"/>
        <v>6276</v>
      </c>
      <c r="T7" s="11">
        <f t="shared" si="7"/>
        <v>30420</v>
      </c>
      <c r="U7" s="7">
        <f>OPEX!$B$15</f>
        <v>50088.476920599649</v>
      </c>
      <c r="V7" s="11">
        <f t="shared" si="8"/>
        <v>-44160.476920599649</v>
      </c>
      <c r="W7" s="11">
        <f t="shared" si="9"/>
        <v>-43092.476920599649</v>
      </c>
      <c r="X7" s="11">
        <f t="shared" si="1"/>
        <v>-16260.476920599649</v>
      </c>
      <c r="Y7" s="11">
        <f t="shared" si="10"/>
        <v>-44760.476920599649</v>
      </c>
      <c r="Z7" s="11">
        <f t="shared" si="11"/>
        <v>-43812.476920599649</v>
      </c>
      <c r="AA7" s="11">
        <f t="shared" si="12"/>
        <v>-19668.476920599649</v>
      </c>
      <c r="AB7" s="11">
        <f t="shared" si="13"/>
        <v>0.62092132305915493</v>
      </c>
      <c r="AC7" s="12">
        <f t="shared" si="14"/>
        <v>-27420.181756462011</v>
      </c>
      <c r="AD7" s="12">
        <f t="shared" si="15"/>
        <v>-26757.037783434833</v>
      </c>
      <c r="AE7" s="12">
        <f t="shared" si="16"/>
        <v>-10096.476843111588</v>
      </c>
      <c r="AF7" s="12">
        <f t="shared" si="17"/>
        <v>-27792.734550297504</v>
      </c>
      <c r="AG7" s="12">
        <f t="shared" si="18"/>
        <v>-27204.101136037425</v>
      </c>
      <c r="AH7" s="12">
        <f t="shared" si="19"/>
        <v>-12212.576712097187</v>
      </c>
    </row>
    <row r="8" spans="1:34" x14ac:dyDescent="0.3">
      <c r="A8" s="1">
        <v>2024</v>
      </c>
      <c r="B8" s="2">
        <v>2.0331740194314465E-2</v>
      </c>
      <c r="C8" s="2">
        <v>2.4850680198143484E-2</v>
      </c>
      <c r="D8" s="2">
        <v>0.15926071421904917</v>
      </c>
      <c r="E8" s="4"/>
      <c r="F8" s="4"/>
      <c r="H8" s="10" t="s">
        <v>67</v>
      </c>
      <c r="I8" s="10">
        <f>40*12/50</f>
        <v>9.6</v>
      </c>
      <c r="J8" s="10">
        <v>24</v>
      </c>
      <c r="M8" s="10" t="s">
        <v>91</v>
      </c>
      <c r="N8" s="7">
        <v>2024</v>
      </c>
      <c r="O8" s="11">
        <f t="shared" si="2"/>
        <v>8112</v>
      </c>
      <c r="P8" s="11">
        <f t="shared" si="3"/>
        <v>9912</v>
      </c>
      <c r="Q8" s="11">
        <f t="shared" si="4"/>
        <v>63732</v>
      </c>
      <c r="R8" s="11">
        <f t="shared" si="5"/>
        <v>7260</v>
      </c>
      <c r="S8" s="11">
        <f t="shared" si="6"/>
        <v>8916</v>
      </c>
      <c r="T8" s="11">
        <f t="shared" si="7"/>
        <v>57336</v>
      </c>
      <c r="U8" s="7">
        <f>OPEX!$B$15</f>
        <v>50088.476920599649</v>
      </c>
      <c r="V8" s="11">
        <f t="shared" si="8"/>
        <v>-41976.476920599649</v>
      </c>
      <c r="W8" s="11">
        <f t="shared" si="9"/>
        <v>-40176.476920599649</v>
      </c>
      <c r="X8" s="11">
        <f t="shared" si="1"/>
        <v>13643.523079400351</v>
      </c>
      <c r="Y8" s="11">
        <f t="shared" si="10"/>
        <v>-42828.476920599649</v>
      </c>
      <c r="Z8" s="11">
        <f t="shared" si="11"/>
        <v>-41172.476920599649</v>
      </c>
      <c r="AA8" s="11">
        <f t="shared" si="12"/>
        <v>7247.523079400351</v>
      </c>
      <c r="AB8" s="11">
        <f t="shared" si="13"/>
        <v>0.56447393005377722</v>
      </c>
      <c r="AC8" s="12">
        <f t="shared" si="14"/>
        <v>-23694.626897182559</v>
      </c>
      <c r="AD8" s="12">
        <f t="shared" si="15"/>
        <v>-22678.573823085761</v>
      </c>
      <c r="AE8" s="12">
        <f t="shared" si="16"/>
        <v>7701.4130924085284</v>
      </c>
      <c r="AF8" s="12">
        <f t="shared" si="17"/>
        <v>-24175.558685588378</v>
      </c>
      <c r="AG8" s="12">
        <f t="shared" si="18"/>
        <v>-23240.789857419324</v>
      </c>
      <c r="AH8" s="12">
        <f t="shared" si="19"/>
        <v>4091.0378357845698</v>
      </c>
    </row>
    <row r="9" spans="1:34" x14ac:dyDescent="0.3">
      <c r="A9" s="1">
        <v>2025</v>
      </c>
      <c r="B9" s="2">
        <v>2.7789822634922204E-2</v>
      </c>
      <c r="C9" s="2">
        <v>3.5106545426236535E-2</v>
      </c>
      <c r="D9" s="2">
        <v>0.286158081334489</v>
      </c>
      <c r="E9" s="4"/>
      <c r="F9" s="4"/>
      <c r="H9" s="10" t="s">
        <v>68</v>
      </c>
      <c r="I9" s="10">
        <v>12</v>
      </c>
      <c r="J9" s="10">
        <v>36</v>
      </c>
      <c r="M9" s="10" t="s">
        <v>92</v>
      </c>
      <c r="N9" s="7">
        <v>2025</v>
      </c>
      <c r="O9" s="11">
        <f t="shared" si="2"/>
        <v>11088</v>
      </c>
      <c r="P9" s="11">
        <f t="shared" si="3"/>
        <v>14016</v>
      </c>
      <c r="Q9" s="11">
        <f t="shared" si="4"/>
        <v>114540</v>
      </c>
      <c r="R9" s="11">
        <f t="shared" si="5"/>
        <v>9960</v>
      </c>
      <c r="S9" s="11">
        <f t="shared" si="6"/>
        <v>12576</v>
      </c>
      <c r="T9" s="11">
        <f t="shared" si="7"/>
        <v>103068</v>
      </c>
      <c r="U9" s="7">
        <f>OPEX!$B$15</f>
        <v>50088.476920599649</v>
      </c>
      <c r="V9" s="11">
        <f t="shared" si="8"/>
        <v>-39000.476920599649</v>
      </c>
      <c r="W9" s="11">
        <f t="shared" si="9"/>
        <v>-36072.476920599649</v>
      </c>
      <c r="X9" s="11">
        <f t="shared" si="1"/>
        <v>64451.523079400351</v>
      </c>
      <c r="Y9" s="11">
        <f t="shared" si="10"/>
        <v>-40128.476920599649</v>
      </c>
      <c r="Z9" s="11">
        <f t="shared" si="11"/>
        <v>-37512.476920599649</v>
      </c>
      <c r="AA9" s="11">
        <f t="shared" si="12"/>
        <v>52979.523079400351</v>
      </c>
      <c r="AB9" s="11">
        <f t="shared" si="13"/>
        <v>0.51315811823070645</v>
      </c>
      <c r="AC9" s="12">
        <f t="shared" si="14"/>
        <v>-20013.411346675013</v>
      </c>
      <c r="AD9" s="12">
        <f t="shared" si="15"/>
        <v>-18510.884376495505</v>
      </c>
      <c r="AE9" s="12">
        <f t="shared" si="16"/>
        <v>33073.822300528031</v>
      </c>
      <c r="AF9" s="12">
        <f t="shared" si="17"/>
        <v>-20592.253704039249</v>
      </c>
      <c r="AG9" s="12">
        <f t="shared" si="18"/>
        <v>-19249.83206674772</v>
      </c>
      <c r="AH9" s="12">
        <f t="shared" si="19"/>
        <v>27186.872368185366</v>
      </c>
    </row>
    <row r="10" spans="1:34" x14ac:dyDescent="0.3">
      <c r="A10" s="1">
        <v>2026</v>
      </c>
      <c r="B10" s="2">
        <v>3.7916881685144836E-2</v>
      </c>
      <c r="C10" s="2">
        <v>4.9447642562598981E-2</v>
      </c>
      <c r="D10" s="2">
        <v>0.47025942843694951</v>
      </c>
      <c r="E10" s="4"/>
      <c r="F10" s="4"/>
      <c r="H10" s="10" t="s">
        <v>69</v>
      </c>
      <c r="I10" s="10">
        <v>12</v>
      </c>
      <c r="J10" s="10">
        <v>36</v>
      </c>
      <c r="M10" s="10" t="s">
        <v>93</v>
      </c>
      <c r="N10" s="7">
        <v>2026</v>
      </c>
      <c r="O10" s="11">
        <f t="shared" si="2"/>
        <v>15144</v>
      </c>
      <c r="P10" s="11">
        <f t="shared" si="3"/>
        <v>19776</v>
      </c>
      <c r="Q10" s="11">
        <f t="shared" si="4"/>
        <v>188232</v>
      </c>
      <c r="R10" s="11">
        <f t="shared" si="5"/>
        <v>13608</v>
      </c>
      <c r="S10" s="11">
        <f t="shared" si="6"/>
        <v>17760</v>
      </c>
      <c r="T10" s="11">
        <f t="shared" si="7"/>
        <v>169380</v>
      </c>
      <c r="U10" s="7">
        <f>OPEX!$B$15</f>
        <v>50088.476920599649</v>
      </c>
      <c r="V10" s="11">
        <f t="shared" si="8"/>
        <v>-34944.476920599649</v>
      </c>
      <c r="W10" s="11">
        <f t="shared" si="9"/>
        <v>-30312.476920599649</v>
      </c>
      <c r="X10" s="11">
        <f t="shared" si="1"/>
        <v>138143.52307940036</v>
      </c>
      <c r="Y10" s="11">
        <f t="shared" si="10"/>
        <v>-36480.476920599649</v>
      </c>
      <c r="Z10" s="11">
        <f t="shared" si="11"/>
        <v>-32328.476920599649</v>
      </c>
      <c r="AA10" s="11">
        <f t="shared" si="12"/>
        <v>119291.52307940036</v>
      </c>
      <c r="AB10" s="11">
        <f t="shared" si="13"/>
        <v>0.46650738020973315</v>
      </c>
      <c r="AC10" s="12">
        <f t="shared" si="14"/>
        <v>-16301.856381028425</v>
      </c>
      <c r="AD10" s="12">
        <f t="shared" si="15"/>
        <v>-14140.994195896941</v>
      </c>
      <c r="AE10" s="12">
        <f t="shared" si="16"/>
        <v>64444.973044713872</v>
      </c>
      <c r="AF10" s="12">
        <f t="shared" si="17"/>
        <v>-17018.411717030576</v>
      </c>
      <c r="AG10" s="12">
        <f t="shared" si="18"/>
        <v>-15081.473074399764</v>
      </c>
      <c r="AH10" s="12">
        <f t="shared" si="19"/>
        <v>55650.375912999982</v>
      </c>
    </row>
    <row r="11" spans="1:34" x14ac:dyDescent="0.3">
      <c r="A11" s="1">
        <v>2027</v>
      </c>
      <c r="B11" s="2">
        <v>5.1579664289345135E-2</v>
      </c>
      <c r="C11" s="2">
        <v>6.9308704628144521E-2</v>
      </c>
      <c r="D11" s="2">
        <v>0.66698456387491634</v>
      </c>
      <c r="E11" s="4"/>
      <c r="F11" s="4"/>
      <c r="H11" s="10" t="s">
        <v>70</v>
      </c>
      <c r="I11" s="10">
        <v>12</v>
      </c>
      <c r="J11" s="10">
        <v>36</v>
      </c>
      <c r="M11" s="10" t="s">
        <v>94</v>
      </c>
      <c r="N11" s="7">
        <v>2027</v>
      </c>
      <c r="O11" s="11">
        <f t="shared" si="2"/>
        <v>20616</v>
      </c>
      <c r="P11" s="11">
        <f t="shared" si="3"/>
        <v>27744</v>
      </c>
      <c r="Q11" s="11">
        <f t="shared" si="4"/>
        <v>266976</v>
      </c>
      <c r="R11" s="11">
        <f t="shared" si="5"/>
        <v>18528</v>
      </c>
      <c r="S11" s="11">
        <f t="shared" si="6"/>
        <v>24936</v>
      </c>
      <c r="T11" s="11">
        <f t="shared" si="7"/>
        <v>240264</v>
      </c>
      <c r="U11" s="7">
        <f>OPEX!$B$15</f>
        <v>50088.476920599649</v>
      </c>
      <c r="V11" s="11">
        <f t="shared" si="8"/>
        <v>-29472.476920599649</v>
      </c>
      <c r="W11" s="11">
        <f t="shared" si="9"/>
        <v>-22344.476920599649</v>
      </c>
      <c r="X11" s="11">
        <f t="shared" si="1"/>
        <v>216887.52307940036</v>
      </c>
      <c r="Y11" s="11">
        <f t="shared" si="10"/>
        <v>-31560.476920599649</v>
      </c>
      <c r="Z11" s="11">
        <f t="shared" si="11"/>
        <v>-25152.476920599649</v>
      </c>
      <c r="AA11" s="11">
        <f t="shared" si="12"/>
        <v>190175.52307940036</v>
      </c>
      <c r="AB11" s="11">
        <f t="shared" si="13"/>
        <v>0.42409761837248466</v>
      </c>
      <c r="AC11" s="12">
        <f t="shared" si="14"/>
        <v>-12499.207269564333</v>
      </c>
      <c r="AD11" s="12">
        <f t="shared" si="15"/>
        <v>-9476.2394458052604</v>
      </c>
      <c r="AE11" s="12">
        <f t="shared" si="16"/>
        <v>91981.481992680987</v>
      </c>
      <c r="AF11" s="12">
        <f t="shared" si="17"/>
        <v>-13384.72309672608</v>
      </c>
      <c r="AG11" s="12">
        <f t="shared" si="18"/>
        <v>-10667.105558195199</v>
      </c>
      <c r="AH11" s="12">
        <f t="shared" si="19"/>
        <v>80652.986410715181</v>
      </c>
    </row>
    <row r="12" spans="1:34" x14ac:dyDescent="0.3">
      <c r="A12" s="1">
        <v>2028</v>
      </c>
      <c r="B12" s="2">
        <v>6.9856627045960282E-2</v>
      </c>
      <c r="C12" s="2">
        <v>9.6450395049765575E-2</v>
      </c>
      <c r="D12" s="2">
        <v>0.78509413491423363</v>
      </c>
      <c r="E12" s="4"/>
      <c r="F12" s="4"/>
      <c r="H12" s="10" t="s">
        <v>71</v>
      </c>
      <c r="I12" s="10">
        <f>50*12/50</f>
        <v>12</v>
      </c>
      <c r="J12" s="10">
        <v>36</v>
      </c>
      <c r="M12" s="10" t="s">
        <v>95</v>
      </c>
      <c r="N12" s="7">
        <v>2028</v>
      </c>
      <c r="O12" s="11">
        <f t="shared" si="2"/>
        <v>27960</v>
      </c>
      <c r="P12" s="11">
        <f t="shared" si="3"/>
        <v>38580</v>
      </c>
      <c r="Q12" s="11">
        <f t="shared" si="4"/>
        <v>314256</v>
      </c>
      <c r="R12" s="11">
        <f t="shared" si="5"/>
        <v>25128</v>
      </c>
      <c r="S12" s="11">
        <f t="shared" si="6"/>
        <v>34704</v>
      </c>
      <c r="T12" s="11">
        <f t="shared" si="7"/>
        <v>282816</v>
      </c>
      <c r="U12" s="7">
        <f>OPEX!$B$15</f>
        <v>50088.476920599649</v>
      </c>
      <c r="V12" s="11">
        <f t="shared" si="8"/>
        <v>-22128.476920599649</v>
      </c>
      <c r="W12" s="11">
        <f t="shared" si="9"/>
        <v>-11508.476920599649</v>
      </c>
      <c r="X12" s="11">
        <f t="shared" si="1"/>
        <v>264167.52307940036</v>
      </c>
      <c r="Y12" s="11">
        <f t="shared" si="10"/>
        <v>-24960.476920599649</v>
      </c>
      <c r="Z12" s="11">
        <f t="shared" si="11"/>
        <v>-15384.476920599649</v>
      </c>
      <c r="AA12" s="11">
        <f t="shared" si="12"/>
        <v>232727.52307940036</v>
      </c>
      <c r="AB12" s="11">
        <f t="shared" si="13"/>
        <v>0.38554328942953148</v>
      </c>
      <c r="AC12" s="12">
        <f t="shared" si="14"/>
        <v>-8531.4857820334582</v>
      </c>
      <c r="AD12" s="12">
        <f t="shared" si="15"/>
        <v>-4437.0160482918336</v>
      </c>
      <c r="AE12" s="12">
        <f t="shared" si="16"/>
        <v>101848.01580848369</v>
      </c>
      <c r="AF12" s="12">
        <f t="shared" si="17"/>
        <v>-9623.3443776978911</v>
      </c>
      <c r="AG12" s="12">
        <f t="shared" si="18"/>
        <v>-5931.3818381206975</v>
      </c>
      <c r="AH12" s="12">
        <f t="shared" si="19"/>
        <v>89726.534788819219</v>
      </c>
    </row>
    <row r="13" spans="1:34" x14ac:dyDescent="0.3">
      <c r="A13" s="1">
        <v>2029</v>
      </c>
      <c r="B13" s="2">
        <v>9.4030133446411479E-2</v>
      </c>
      <c r="C13" s="2">
        <v>0.13286350522208376</v>
      </c>
      <c r="D13" s="2">
        <v>0.81040059967158584</v>
      </c>
      <c r="E13" s="4"/>
      <c r="F13" s="4"/>
      <c r="H13" s="10" t="s">
        <v>72</v>
      </c>
      <c r="I13" s="10">
        <v>12</v>
      </c>
      <c r="J13" s="10">
        <v>36</v>
      </c>
      <c r="M13" s="10" t="s">
        <v>96</v>
      </c>
      <c r="N13" s="7">
        <v>2029</v>
      </c>
      <c r="O13" s="11">
        <f t="shared" si="2"/>
        <v>37608</v>
      </c>
      <c r="P13" s="11">
        <f t="shared" si="3"/>
        <v>53172</v>
      </c>
      <c r="Q13" s="11">
        <f t="shared" si="4"/>
        <v>324396</v>
      </c>
      <c r="R13" s="11">
        <f t="shared" si="5"/>
        <v>33816</v>
      </c>
      <c r="S13" s="11">
        <f t="shared" si="6"/>
        <v>47820</v>
      </c>
      <c r="T13" s="11">
        <f t="shared" si="7"/>
        <v>291948</v>
      </c>
      <c r="U13" s="7">
        <f>OPEX!$B$15</f>
        <v>50088.476920599649</v>
      </c>
      <c r="V13" s="11">
        <f t="shared" si="8"/>
        <v>-12480.476920599649</v>
      </c>
      <c r="W13" s="11">
        <f t="shared" si="9"/>
        <v>3083.523079400351</v>
      </c>
      <c r="X13" s="11">
        <f t="shared" si="1"/>
        <v>274307.52307940036</v>
      </c>
      <c r="Y13" s="11">
        <f t="shared" si="10"/>
        <v>-16272.476920599649</v>
      </c>
      <c r="Z13" s="11">
        <f t="shared" si="11"/>
        <v>-2268.476920599649</v>
      </c>
      <c r="AA13" s="11">
        <f t="shared" si="12"/>
        <v>241859.52307940036</v>
      </c>
      <c r="AB13" s="11">
        <f t="shared" si="13"/>
        <v>0.3504938994813922</v>
      </c>
      <c r="AC13" s="12">
        <f t="shared" si="14"/>
        <v>-4374.3310232884887</v>
      </c>
      <c r="AD13" s="12">
        <f t="shared" si="15"/>
        <v>1080.7560282398995</v>
      </c>
      <c r="AE13" s="12">
        <f t="shared" si="16"/>
        <v>96143.113421181028</v>
      </c>
      <c r="AF13" s="12">
        <f t="shared" si="17"/>
        <v>-5703.4038901219283</v>
      </c>
      <c r="AG13" s="12">
        <f t="shared" si="18"/>
        <v>-795.08732178451146</v>
      </c>
      <c r="AH13" s="12">
        <f t="shared" si="19"/>
        <v>84770.287370808801</v>
      </c>
    </row>
    <row r="14" spans="1:34" x14ac:dyDescent="0.3">
      <c r="A14" s="1">
        <v>2030</v>
      </c>
      <c r="B14" s="2">
        <v>0.12552079465705115</v>
      </c>
      <c r="C14" s="2">
        <v>0.18048926277649102</v>
      </c>
      <c r="D14" s="2">
        <v>0.81156081089447252</v>
      </c>
      <c r="E14" s="4"/>
      <c r="F14" s="4"/>
      <c r="H14" s="10" t="s">
        <v>74</v>
      </c>
      <c r="I14" s="10">
        <v>7.2</v>
      </c>
      <c r="J14" s="10">
        <v>12</v>
      </c>
      <c r="M14" s="10" t="s">
        <v>97</v>
      </c>
      <c r="N14" s="7">
        <v>2030</v>
      </c>
      <c r="O14" s="11">
        <f t="shared" si="2"/>
        <v>50232</v>
      </c>
      <c r="P14" s="11">
        <f t="shared" si="3"/>
        <v>72216</v>
      </c>
      <c r="Q14" s="11">
        <f t="shared" si="4"/>
        <v>324852</v>
      </c>
      <c r="R14" s="11">
        <f t="shared" si="5"/>
        <v>45192</v>
      </c>
      <c r="S14" s="11">
        <f t="shared" si="6"/>
        <v>64980</v>
      </c>
      <c r="T14" s="11">
        <f t="shared" si="7"/>
        <v>292332</v>
      </c>
      <c r="U14" s="7">
        <f>OPEX!$B$15</f>
        <v>50088.476920599649</v>
      </c>
      <c r="V14" s="11">
        <f t="shared" si="8"/>
        <v>143.52307940035098</v>
      </c>
      <c r="W14" s="11">
        <f t="shared" si="9"/>
        <v>22127.523079400351</v>
      </c>
      <c r="X14" s="11">
        <f t="shared" si="1"/>
        <v>274763.52307940036</v>
      </c>
      <c r="Y14" s="11">
        <f t="shared" si="10"/>
        <v>-4896.476920599649</v>
      </c>
      <c r="Z14" s="11">
        <f t="shared" si="11"/>
        <v>14891.523079400351</v>
      </c>
      <c r="AA14" s="11">
        <f t="shared" si="12"/>
        <v>242243.52307940036</v>
      </c>
      <c r="AB14" s="11">
        <f t="shared" si="13"/>
        <v>0.31863081771035656</v>
      </c>
      <c r="AC14" s="12">
        <f t="shared" si="14"/>
        <v>45.730876149642263</v>
      </c>
      <c r="AD14" s="12">
        <f t="shared" si="15"/>
        <v>7050.5107726941205</v>
      </c>
      <c r="AE14" s="12">
        <f t="shared" si="16"/>
        <v>87548.126035767767</v>
      </c>
      <c r="AF14" s="12">
        <f t="shared" si="17"/>
        <v>-1560.1684451105548</v>
      </c>
      <c r="AG14" s="12">
        <f t="shared" si="18"/>
        <v>4744.8981757419806</v>
      </c>
      <c r="AH14" s="12">
        <f t="shared" si="19"/>
        <v>77186.251843826962</v>
      </c>
    </row>
    <row r="15" spans="1:34" x14ac:dyDescent="0.3">
      <c r="A15" s="1">
        <v>2031</v>
      </c>
      <c r="B15" s="2">
        <v>0.16572310239246871</v>
      </c>
      <c r="C15" s="2">
        <v>0.24066361167047895</v>
      </c>
      <c r="D15" s="2">
        <v>0.81173922001271714</v>
      </c>
      <c r="E15" s="4"/>
      <c r="F15" s="4"/>
      <c r="H15" s="10" t="s">
        <v>75</v>
      </c>
      <c r="I15" s="10">
        <v>9.6</v>
      </c>
      <c r="J15" s="10">
        <v>24</v>
      </c>
      <c r="M15" s="10" t="s">
        <v>98</v>
      </c>
      <c r="N15" s="7">
        <v>2031</v>
      </c>
      <c r="O15" s="11">
        <f t="shared" si="2"/>
        <v>66312</v>
      </c>
      <c r="P15" s="11">
        <f t="shared" si="3"/>
        <v>96336</v>
      </c>
      <c r="Q15" s="11">
        <f t="shared" si="4"/>
        <v>324936</v>
      </c>
      <c r="R15" s="11">
        <f t="shared" si="5"/>
        <v>59676</v>
      </c>
      <c r="S15" s="11">
        <f t="shared" si="6"/>
        <v>86676</v>
      </c>
      <c r="T15" s="11">
        <f t="shared" si="7"/>
        <v>292416</v>
      </c>
      <c r="U15" s="7">
        <f>OPEX!$B$15</f>
        <v>50088.476920599649</v>
      </c>
      <c r="V15" s="11">
        <f t="shared" si="8"/>
        <v>16223.523079400351</v>
      </c>
      <c r="W15" s="11">
        <f t="shared" si="9"/>
        <v>46247.523079400351</v>
      </c>
      <c r="X15" s="11">
        <f t="shared" si="1"/>
        <v>274847.52307940036</v>
      </c>
      <c r="Y15" s="11">
        <f t="shared" si="10"/>
        <v>9587.523079400351</v>
      </c>
      <c r="Z15" s="11">
        <f t="shared" si="11"/>
        <v>36587.523079400351</v>
      </c>
      <c r="AA15" s="11">
        <f t="shared" si="12"/>
        <v>242327.52307940036</v>
      </c>
      <c r="AB15" s="11">
        <f t="shared" si="13"/>
        <v>0.28966437973668779</v>
      </c>
      <c r="AC15" s="12">
        <f t="shared" si="14"/>
        <v>4699.3767499383421</v>
      </c>
      <c r="AD15" s="12">
        <f t="shared" si="15"/>
        <v>13396.260087152656</v>
      </c>
      <c r="AE15" s="12">
        <f t="shared" si="16"/>
        <v>79613.537294959489</v>
      </c>
      <c r="AF15" s="12">
        <f t="shared" si="17"/>
        <v>2777.1639260056818</v>
      </c>
      <c r="AG15" s="12">
        <f t="shared" si="18"/>
        <v>10598.102178896252</v>
      </c>
      <c r="AH15" s="12">
        <f t="shared" si="19"/>
        <v>70193.6516659224</v>
      </c>
    </row>
    <row r="16" spans="1:34" x14ac:dyDescent="0.3">
      <c r="A16" s="1">
        <v>2032</v>
      </c>
      <c r="B16" s="2">
        <v>0.21570008452474451</v>
      </c>
      <c r="C16" s="2">
        <v>0.31326462411097972</v>
      </c>
      <c r="D16" s="2">
        <v>0.81184443859445832</v>
      </c>
      <c r="E16" s="4"/>
      <c r="F16" s="4"/>
      <c r="H16" s="10" t="s">
        <v>76</v>
      </c>
      <c r="I16" s="10">
        <v>12</v>
      </c>
      <c r="J16" s="10">
        <v>36</v>
      </c>
      <c r="M16" s="10" t="s">
        <v>99</v>
      </c>
      <c r="N16" s="7">
        <v>2032</v>
      </c>
      <c r="O16" s="11">
        <f t="shared" si="2"/>
        <v>86304</v>
      </c>
      <c r="P16" s="11">
        <f t="shared" si="3"/>
        <v>125364</v>
      </c>
      <c r="Q16" s="11">
        <f t="shared" si="4"/>
        <v>324972</v>
      </c>
      <c r="R16" s="11">
        <f t="shared" si="5"/>
        <v>77640</v>
      </c>
      <c r="S16" s="11">
        <f t="shared" si="6"/>
        <v>112788</v>
      </c>
      <c r="T16" s="11">
        <f t="shared" si="7"/>
        <v>292440</v>
      </c>
      <c r="U16" s="7">
        <f>OPEX!$B$15</f>
        <v>50088.476920599649</v>
      </c>
      <c r="V16" s="11">
        <f t="shared" si="8"/>
        <v>36215.523079400351</v>
      </c>
      <c r="W16" s="11">
        <f t="shared" si="9"/>
        <v>75275.523079400358</v>
      </c>
      <c r="X16" s="11">
        <f t="shared" si="1"/>
        <v>274883.52307940036</v>
      </c>
      <c r="Y16" s="11">
        <f t="shared" si="10"/>
        <v>27551.523079400351</v>
      </c>
      <c r="Z16" s="11">
        <f t="shared" si="11"/>
        <v>62699.523079400351</v>
      </c>
      <c r="AA16" s="11">
        <f t="shared" si="12"/>
        <v>242351.52307940036</v>
      </c>
      <c r="AB16" s="11">
        <f t="shared" si="13"/>
        <v>0.26333125430607973</v>
      </c>
      <c r="AC16" s="12">
        <f t="shared" si="14"/>
        <v>9536.6791178492731</v>
      </c>
      <c r="AD16" s="12">
        <f t="shared" si="15"/>
        <v>19822.397911044751</v>
      </c>
      <c r="AE16" s="12">
        <f t="shared" si="16"/>
        <v>72385.422920572717</v>
      </c>
      <c r="AF16" s="12">
        <f t="shared" si="17"/>
        <v>7255.1771305413986</v>
      </c>
      <c r="AG16" s="12">
        <f t="shared" si="18"/>
        <v>16510.74405689149</v>
      </c>
      <c r="AH16" s="12">
        <f t="shared" si="19"/>
        <v>63818.730555487324</v>
      </c>
    </row>
    <row r="17" spans="1:34" x14ac:dyDescent="0.3">
      <c r="A17" s="1">
        <v>2033</v>
      </c>
      <c r="B17" s="2">
        <v>0.27572345083288785</v>
      </c>
      <c r="C17" s="2">
        <v>0.39576564546835558</v>
      </c>
      <c r="D17" s="2">
        <v>0.81190720274904282</v>
      </c>
      <c r="E17" s="4"/>
      <c r="F17" s="4"/>
      <c r="H17" s="10" t="s">
        <v>77</v>
      </c>
      <c r="I17" s="10">
        <v>12</v>
      </c>
      <c r="J17" s="10">
        <v>36</v>
      </c>
      <c r="M17" s="10" t="s">
        <v>100</v>
      </c>
      <c r="N17" s="7">
        <v>2033</v>
      </c>
      <c r="O17" s="11">
        <f t="shared" si="2"/>
        <v>110340</v>
      </c>
      <c r="P17" s="11">
        <f t="shared" si="3"/>
        <v>158388</v>
      </c>
      <c r="Q17" s="11">
        <f t="shared" si="4"/>
        <v>324996</v>
      </c>
      <c r="R17" s="11">
        <f t="shared" si="5"/>
        <v>99276</v>
      </c>
      <c r="S17" s="11">
        <f t="shared" si="6"/>
        <v>142548</v>
      </c>
      <c r="T17" s="11">
        <f t="shared" si="7"/>
        <v>292464</v>
      </c>
      <c r="U17" s="7">
        <f>OPEX!$B$15</f>
        <v>50088.476920599649</v>
      </c>
      <c r="V17" s="11">
        <f t="shared" si="8"/>
        <v>60251.523079400351</v>
      </c>
      <c r="W17" s="11">
        <f t="shared" si="9"/>
        <v>108299.52307940036</v>
      </c>
      <c r="X17" s="11">
        <f t="shared" si="1"/>
        <v>274907.52307940036</v>
      </c>
      <c r="Y17" s="11">
        <f t="shared" si="10"/>
        <v>49187.523079400351</v>
      </c>
      <c r="Z17" s="11">
        <f t="shared" si="11"/>
        <v>92459.523079400358</v>
      </c>
      <c r="AA17" s="11">
        <f t="shared" si="12"/>
        <v>242375.52307940036</v>
      </c>
      <c r="AB17" s="11">
        <f t="shared" si="13"/>
        <v>0.23939204936916339</v>
      </c>
      <c r="AC17" s="12">
        <f t="shared" si="14"/>
        <v>14423.735587591096</v>
      </c>
      <c r="AD17" s="12">
        <f t="shared" si="15"/>
        <v>25926.044775680661</v>
      </c>
      <c r="AE17" s="12">
        <f t="shared" si="16"/>
        <v>65810.675336978238</v>
      </c>
      <c r="AF17" s="12">
        <f t="shared" si="17"/>
        <v>11775.101953370673</v>
      </c>
      <c r="AG17" s="12">
        <f t="shared" si="18"/>
        <v>22134.074713673112</v>
      </c>
      <c r="AH17" s="12">
        <f t="shared" si="19"/>
        <v>58022.773186900609</v>
      </c>
    </row>
    <row r="18" spans="1:34" x14ac:dyDescent="0.3">
      <c r="A18" s="1">
        <v>2034</v>
      </c>
      <c r="B18" s="2">
        <v>0.34473003819424058</v>
      </c>
      <c r="C18" s="2">
        <v>0.48275715310771816</v>
      </c>
      <c r="D18" s="2">
        <v>0.81194464329899008</v>
      </c>
      <c r="E18" s="4"/>
      <c r="F18" s="4"/>
      <c r="H18" s="10" t="s">
        <v>78</v>
      </c>
      <c r="I18" s="10">
        <v>12</v>
      </c>
      <c r="J18" s="10">
        <v>36</v>
      </c>
      <c r="M18" s="10" t="s">
        <v>101</v>
      </c>
      <c r="N18" s="7">
        <v>2034</v>
      </c>
      <c r="O18" s="11">
        <f t="shared" si="2"/>
        <v>137988</v>
      </c>
      <c r="P18" s="11">
        <f t="shared" si="3"/>
        <v>193248</v>
      </c>
      <c r="Q18" s="11">
        <f t="shared" si="4"/>
        <v>325008</v>
      </c>
      <c r="R18" s="11">
        <f t="shared" si="5"/>
        <v>124164</v>
      </c>
      <c r="S18" s="11">
        <f t="shared" si="6"/>
        <v>173916</v>
      </c>
      <c r="T18" s="11">
        <f t="shared" si="7"/>
        <v>292476</v>
      </c>
      <c r="U18" s="7">
        <f>OPEX!$B$15</f>
        <v>50088.476920599649</v>
      </c>
      <c r="V18" s="11">
        <f t="shared" si="8"/>
        <v>87899.523079400358</v>
      </c>
      <c r="W18" s="11">
        <f t="shared" si="9"/>
        <v>143159.52307940036</v>
      </c>
      <c r="X18" s="11">
        <f t="shared" si="1"/>
        <v>274919.52307940036</v>
      </c>
      <c r="Y18" s="11">
        <f t="shared" si="10"/>
        <v>74075.523079400358</v>
      </c>
      <c r="Z18" s="11">
        <f t="shared" si="11"/>
        <v>123827.52307940036</v>
      </c>
      <c r="AA18" s="11">
        <f t="shared" si="12"/>
        <v>242387.52307940036</v>
      </c>
      <c r="AB18" s="11">
        <f t="shared" si="13"/>
        <v>0.21762913579014853</v>
      </c>
      <c r="AC18" s="12">
        <f t="shared" si="14"/>
        <v>19129.497244136117</v>
      </c>
      <c r="AD18" s="12">
        <f t="shared" si="15"/>
        <v>31155.683287899723</v>
      </c>
      <c r="AE18" s="12">
        <f t="shared" si="16"/>
        <v>59830.498219609697</v>
      </c>
      <c r="AF18" s="12">
        <f t="shared" si="17"/>
        <v>16120.992070973101</v>
      </c>
      <c r="AG18" s="12">
        <f t="shared" si="18"/>
        <v>26948.476834804573</v>
      </c>
      <c r="AH18" s="12">
        <f t="shared" si="19"/>
        <v>52750.587174084583</v>
      </c>
    </row>
    <row r="19" spans="1:34" x14ac:dyDescent="0.3">
      <c r="A19" s="1">
        <v>2035</v>
      </c>
      <c r="B19" s="2">
        <v>0.41990776110729683</v>
      </c>
      <c r="C19" s="2">
        <v>0.56669544119894444</v>
      </c>
      <c r="D19" s="2">
        <v>0.81196697777142901</v>
      </c>
      <c r="E19" s="4"/>
      <c r="F19" s="4"/>
      <c r="M19" s="10" t="s">
        <v>102</v>
      </c>
      <c r="N19" s="7">
        <v>2035</v>
      </c>
      <c r="O19" s="11">
        <f t="shared" si="2"/>
        <v>168072</v>
      </c>
      <c r="P19" s="11">
        <f t="shared" si="3"/>
        <v>226848</v>
      </c>
      <c r="Q19" s="11">
        <f t="shared" si="4"/>
        <v>325020</v>
      </c>
      <c r="R19" s="11">
        <f t="shared" si="5"/>
        <v>151260</v>
      </c>
      <c r="S19" s="11">
        <f t="shared" si="6"/>
        <v>204120</v>
      </c>
      <c r="T19" s="11">
        <f t="shared" si="7"/>
        <v>292488</v>
      </c>
      <c r="U19" s="7">
        <f>OPEX!$B$15</f>
        <v>50088.476920599649</v>
      </c>
      <c r="V19" s="11">
        <f t="shared" si="8"/>
        <v>117983.52307940036</v>
      </c>
      <c r="W19" s="11">
        <f t="shared" si="9"/>
        <v>176759.52307940036</v>
      </c>
      <c r="X19" s="11">
        <f t="shared" si="1"/>
        <v>274931.52307940036</v>
      </c>
      <c r="Y19" s="11">
        <f t="shared" si="10"/>
        <v>101171.52307940036</v>
      </c>
      <c r="Z19" s="11">
        <f t="shared" si="11"/>
        <v>154031.52307940036</v>
      </c>
      <c r="AA19" s="11">
        <f t="shared" si="12"/>
        <v>242399.52307940036</v>
      </c>
      <c r="AB19" s="11">
        <f t="shared" si="13"/>
        <v>0.19784466890013502</v>
      </c>
      <c r="AC19" s="12">
        <f t="shared" si="14"/>
        <v>23342.411059315404</v>
      </c>
      <c r="AD19" s="12">
        <f t="shared" si="15"/>
        <v>34970.92931858974</v>
      </c>
      <c r="AE19" s="12">
        <f t="shared" si="16"/>
        <v>54393.736153853795</v>
      </c>
      <c r="AF19" s="12">
        <f t="shared" si="17"/>
        <v>20016.246485766333</v>
      </c>
      <c r="AG19" s="12">
        <f t="shared" si="18"/>
        <v>30474.31568382747</v>
      </c>
      <c r="AH19" s="12">
        <f t="shared" si="19"/>
        <v>47957.453385194603</v>
      </c>
    </row>
    <row r="20" spans="1:34" x14ac:dyDescent="0.3">
      <c r="A20" s="1">
        <v>2036</v>
      </c>
      <c r="B20" s="2">
        <v>0.49674879435971603</v>
      </c>
      <c r="C20" s="2">
        <v>0.6401094708398074</v>
      </c>
      <c r="D20" s="2">
        <v>0.81198030104420527</v>
      </c>
      <c r="E20" s="4"/>
      <c r="F20" s="4"/>
      <c r="M20" s="10" t="s">
        <v>103</v>
      </c>
      <c r="N20" s="7">
        <v>2036</v>
      </c>
      <c r="O20" s="11">
        <f t="shared" si="2"/>
        <v>198828</v>
      </c>
      <c r="P20" s="11">
        <f t="shared" si="3"/>
        <v>256224</v>
      </c>
      <c r="Q20" s="11">
        <f t="shared" si="4"/>
        <v>325020</v>
      </c>
      <c r="R20" s="11">
        <f t="shared" si="5"/>
        <v>178932</v>
      </c>
      <c r="S20" s="11">
        <f t="shared" si="6"/>
        <v>230568</v>
      </c>
      <c r="T20" s="11">
        <f t="shared" si="7"/>
        <v>292488</v>
      </c>
      <c r="U20" s="7">
        <f>OPEX!$B$15</f>
        <v>50088.476920599649</v>
      </c>
      <c r="V20" s="11">
        <f t="shared" si="8"/>
        <v>148739.52307940036</v>
      </c>
      <c r="W20" s="11">
        <f t="shared" si="9"/>
        <v>206135.52307940036</v>
      </c>
      <c r="X20" s="11">
        <f t="shared" si="1"/>
        <v>274931.52307940036</v>
      </c>
      <c r="Y20" s="11">
        <f t="shared" si="10"/>
        <v>128843.52307940036</v>
      </c>
      <c r="Z20" s="11">
        <f t="shared" si="11"/>
        <v>180479.52307940036</v>
      </c>
      <c r="AA20" s="11">
        <f t="shared" si="12"/>
        <v>242399.52307940036</v>
      </c>
      <c r="AB20" s="11">
        <f t="shared" si="13"/>
        <v>0.17985878990921364</v>
      </c>
      <c r="AC20" s="12">
        <f t="shared" si="14"/>
        <v>26752.110632734504</v>
      </c>
      <c r="AD20" s="12">
        <f t="shared" si="15"/>
        <v>37075.285738363731</v>
      </c>
      <c r="AE20" s="12">
        <f t="shared" si="16"/>
        <v>49448.851048957993</v>
      </c>
      <c r="AF20" s="12">
        <f t="shared" si="17"/>
        <v>23173.640148700786</v>
      </c>
      <c r="AG20" s="12">
        <f t="shared" si="18"/>
        <v>32460.828624452944</v>
      </c>
      <c r="AH20" s="12">
        <f t="shared" si="19"/>
        <v>43597.68489563145</v>
      </c>
    </row>
    <row r="21" spans="1:34" x14ac:dyDescent="0.3">
      <c r="A21" s="1">
        <v>2037</v>
      </c>
      <c r="B21" s="2">
        <v>0.56983749764265379</v>
      </c>
      <c r="C21" s="2">
        <v>0.69821736159425984</v>
      </c>
      <c r="D21" s="2">
        <v>0.81198824884870602</v>
      </c>
      <c r="E21" s="4"/>
      <c r="F21" s="4"/>
      <c r="M21" s="10" t="s">
        <v>104</v>
      </c>
      <c r="N21" s="7">
        <v>2037</v>
      </c>
      <c r="O21" s="11">
        <f t="shared" si="2"/>
        <v>228084</v>
      </c>
      <c r="P21" s="11">
        <f t="shared" si="3"/>
        <v>279480</v>
      </c>
      <c r="Q21" s="11">
        <f t="shared" si="4"/>
        <v>325020</v>
      </c>
      <c r="R21" s="11">
        <f t="shared" si="5"/>
        <v>205260</v>
      </c>
      <c r="S21" s="11">
        <f t="shared" si="6"/>
        <v>251532</v>
      </c>
      <c r="T21" s="11">
        <f t="shared" si="7"/>
        <v>292488</v>
      </c>
      <c r="U21" s="7">
        <f>OPEX!$B$15</f>
        <v>50088.476920599649</v>
      </c>
      <c r="V21" s="11">
        <f t="shared" si="8"/>
        <v>177995.52307940036</v>
      </c>
      <c r="W21" s="11">
        <f t="shared" si="9"/>
        <v>229391.52307940036</v>
      </c>
      <c r="X21" s="11">
        <f t="shared" si="1"/>
        <v>274931.52307940036</v>
      </c>
      <c r="Y21" s="11">
        <f t="shared" si="10"/>
        <v>155171.52307940036</v>
      </c>
      <c r="Z21" s="11">
        <f t="shared" si="11"/>
        <v>201443.52307940036</v>
      </c>
      <c r="AA21" s="11">
        <f t="shared" si="12"/>
        <v>242399.52307940036</v>
      </c>
      <c r="AB21" s="11">
        <f t="shared" si="13"/>
        <v>0.16350799082655781</v>
      </c>
      <c r="AC21" s="12">
        <f t="shared" si="14"/>
        <v>29103.690354834955</v>
      </c>
      <c r="AD21" s="12">
        <f t="shared" si="15"/>
        <v>37507.347051356715</v>
      </c>
      <c r="AE21" s="12">
        <f t="shared" si="16"/>
        <v>44953.500953598159</v>
      </c>
      <c r="AF21" s="12">
        <f t="shared" si="17"/>
        <v>25371.7839722096</v>
      </c>
      <c r="AG21" s="12">
        <f t="shared" si="18"/>
        <v>32937.625723736084</v>
      </c>
      <c r="AH21" s="12">
        <f t="shared" si="19"/>
        <v>39634.258996028584</v>
      </c>
    </row>
    <row r="22" spans="1:34" x14ac:dyDescent="0.3">
      <c r="A22" s="1">
        <v>2038</v>
      </c>
      <c r="B22" s="2">
        <v>0.6342422946353552</v>
      </c>
      <c r="C22" s="2">
        <v>0.7401737876946326</v>
      </c>
      <c r="D22" s="2">
        <v>0.81199299000255409</v>
      </c>
      <c r="E22" s="4"/>
      <c r="F22" s="4"/>
      <c r="M22" s="10" t="s">
        <v>105</v>
      </c>
      <c r="N22" s="7">
        <v>2038</v>
      </c>
      <c r="O22" s="11">
        <f t="shared" si="2"/>
        <v>253872</v>
      </c>
      <c r="P22" s="11">
        <f t="shared" si="3"/>
        <v>296280</v>
      </c>
      <c r="Q22" s="11">
        <f t="shared" si="4"/>
        <v>325020</v>
      </c>
      <c r="R22" s="11">
        <f t="shared" si="5"/>
        <v>228480</v>
      </c>
      <c r="S22" s="11">
        <f t="shared" si="6"/>
        <v>266628</v>
      </c>
      <c r="T22" s="11">
        <f t="shared" si="7"/>
        <v>292488</v>
      </c>
      <c r="U22" s="7">
        <f>OPEX!$B$15</f>
        <v>50088.476920599649</v>
      </c>
      <c r="V22" s="11">
        <f t="shared" si="8"/>
        <v>203783.52307940036</v>
      </c>
      <c r="W22" s="11">
        <f t="shared" si="9"/>
        <v>246191.52307940036</v>
      </c>
      <c r="X22" s="11">
        <f t="shared" si="1"/>
        <v>274931.52307940036</v>
      </c>
      <c r="Y22" s="11">
        <f t="shared" si="10"/>
        <v>178391.52307940036</v>
      </c>
      <c r="Z22" s="11">
        <f t="shared" si="11"/>
        <v>216539.52307940036</v>
      </c>
      <c r="AA22" s="11">
        <f t="shared" si="12"/>
        <v>242399.52307940036</v>
      </c>
      <c r="AB22" s="11">
        <f t="shared" si="13"/>
        <v>0.14864362802414349</v>
      </c>
      <c r="AC22" s="12">
        <f t="shared" si="14"/>
        <v>30291.122202063849</v>
      </c>
      <c r="AD22" s="12">
        <f t="shared" si="15"/>
        <v>36594.801179311726</v>
      </c>
      <c r="AE22" s="12">
        <f t="shared" si="16"/>
        <v>40866.819048725607</v>
      </c>
      <c r="AF22" s="12">
        <f t="shared" si="17"/>
        <v>26516.763199274796</v>
      </c>
      <c r="AG22" s="12">
        <f t="shared" si="18"/>
        <v>32187.220321139823</v>
      </c>
      <c r="AH22" s="12">
        <f t="shared" si="19"/>
        <v>36031.144541844173</v>
      </c>
    </row>
    <row r="25" spans="1:34" x14ac:dyDescent="0.3">
      <c r="J25" s="3">
        <v>29262</v>
      </c>
      <c r="K25" t="s">
        <v>38</v>
      </c>
      <c r="L25">
        <v>0.1</v>
      </c>
    </row>
    <row r="27" spans="1:34" x14ac:dyDescent="0.3">
      <c r="A27" t="s">
        <v>81</v>
      </c>
      <c r="R27" t="s">
        <v>85</v>
      </c>
    </row>
    <row r="28" spans="1:34" x14ac:dyDescent="0.3">
      <c r="A28" t="s">
        <v>24</v>
      </c>
      <c r="B28" t="s">
        <v>25</v>
      </c>
      <c r="C28" t="s">
        <v>26</v>
      </c>
      <c r="D28" t="s">
        <v>27</v>
      </c>
      <c r="E28" t="s">
        <v>41</v>
      </c>
      <c r="F28" t="s">
        <v>42</v>
      </c>
      <c r="G28" t="s">
        <v>43</v>
      </c>
    </row>
    <row r="29" spans="1:34" x14ac:dyDescent="0.3">
      <c r="A29" s="1">
        <v>2018</v>
      </c>
      <c r="B29">
        <f>ROUNDDOWN(B2*$J$30,0)</f>
        <v>89</v>
      </c>
      <c r="C29">
        <f t="shared" ref="C29:D29" si="20">ROUNDDOWN(C2*$J$30,0)</f>
        <v>89</v>
      </c>
      <c r="D29">
        <f t="shared" si="20"/>
        <v>89</v>
      </c>
      <c r="E29">
        <f>ROUNDDOWN(B29-0.1*(B29),0)</f>
        <v>80</v>
      </c>
      <c r="F29">
        <f t="shared" ref="F29:G44" si="21">ROUNDDOWN(C29-0.1*(C29),0)</f>
        <v>80</v>
      </c>
      <c r="G29">
        <f t="shared" si="21"/>
        <v>80</v>
      </c>
      <c r="J29" t="s">
        <v>79</v>
      </c>
      <c r="K29" t="s">
        <v>80</v>
      </c>
    </row>
    <row r="30" spans="1:34" x14ac:dyDescent="0.3">
      <c r="A30" s="1">
        <v>2019</v>
      </c>
      <c r="B30">
        <f t="shared" ref="B30:D49" si="22">ROUNDDOWN(B3*$J$30,0)</f>
        <v>119</v>
      </c>
      <c r="C30">
        <f t="shared" si="22"/>
        <v>123</v>
      </c>
      <c r="D30">
        <f t="shared" si="22"/>
        <v>167</v>
      </c>
      <c r="E30">
        <f t="shared" ref="E30:G49" si="23">ROUNDDOWN(B30-0.1*(B30),0)</f>
        <v>107</v>
      </c>
      <c r="F30">
        <f t="shared" si="21"/>
        <v>110</v>
      </c>
      <c r="G30">
        <f t="shared" si="21"/>
        <v>150</v>
      </c>
      <c r="J30">
        <v>27213</v>
      </c>
      <c r="K30">
        <v>2049</v>
      </c>
    </row>
    <row r="31" spans="1:34" x14ac:dyDescent="0.3">
      <c r="A31" s="1">
        <v>2020</v>
      </c>
      <c r="B31">
        <f t="shared" si="22"/>
        <v>160</v>
      </c>
      <c r="C31">
        <f t="shared" si="22"/>
        <v>170</v>
      </c>
      <c r="D31">
        <f t="shared" si="22"/>
        <v>318</v>
      </c>
      <c r="E31">
        <f t="shared" si="23"/>
        <v>144</v>
      </c>
      <c r="F31">
        <f t="shared" si="21"/>
        <v>153</v>
      </c>
      <c r="G31">
        <f t="shared" si="21"/>
        <v>286</v>
      </c>
    </row>
    <row r="32" spans="1:34" x14ac:dyDescent="0.3">
      <c r="A32" s="1">
        <v>2021</v>
      </c>
      <c r="B32">
        <f t="shared" si="22"/>
        <v>217</v>
      </c>
      <c r="C32">
        <f t="shared" si="22"/>
        <v>239</v>
      </c>
      <c r="D32">
        <f t="shared" si="22"/>
        <v>615</v>
      </c>
      <c r="E32">
        <f t="shared" si="23"/>
        <v>195</v>
      </c>
      <c r="F32">
        <f t="shared" si="21"/>
        <v>215</v>
      </c>
      <c r="G32">
        <f t="shared" si="21"/>
        <v>553</v>
      </c>
    </row>
    <row r="33" spans="1:30" x14ac:dyDescent="0.3">
      <c r="A33" s="1">
        <v>2022</v>
      </c>
      <c r="B33">
        <f t="shared" si="22"/>
        <v>296</v>
      </c>
      <c r="C33">
        <f t="shared" si="22"/>
        <v>338</v>
      </c>
      <c r="D33">
        <f t="shared" si="22"/>
        <v>1194</v>
      </c>
      <c r="E33">
        <f t="shared" si="23"/>
        <v>266</v>
      </c>
      <c r="F33">
        <f t="shared" si="21"/>
        <v>304</v>
      </c>
      <c r="G33">
        <f t="shared" si="21"/>
        <v>1074</v>
      </c>
    </row>
    <row r="34" spans="1:30" x14ac:dyDescent="0.3">
      <c r="A34" s="1">
        <v>2023</v>
      </c>
      <c r="B34">
        <f t="shared" si="22"/>
        <v>404</v>
      </c>
      <c r="C34">
        <f t="shared" si="22"/>
        <v>478</v>
      </c>
      <c r="D34">
        <f t="shared" si="22"/>
        <v>2300</v>
      </c>
      <c r="E34">
        <f t="shared" si="23"/>
        <v>363</v>
      </c>
      <c r="F34">
        <f t="shared" si="21"/>
        <v>430</v>
      </c>
      <c r="G34">
        <f t="shared" si="21"/>
        <v>2070</v>
      </c>
    </row>
    <row r="35" spans="1:30" x14ac:dyDescent="0.3">
      <c r="A35" s="1">
        <v>2024</v>
      </c>
      <c r="B35">
        <f t="shared" si="22"/>
        <v>553</v>
      </c>
      <c r="C35">
        <f t="shared" si="22"/>
        <v>676</v>
      </c>
      <c r="D35">
        <f t="shared" si="22"/>
        <v>4333</v>
      </c>
      <c r="E35">
        <f t="shared" si="23"/>
        <v>497</v>
      </c>
      <c r="F35">
        <f t="shared" si="21"/>
        <v>608</v>
      </c>
      <c r="G35">
        <f t="shared" si="21"/>
        <v>3899</v>
      </c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x14ac:dyDescent="0.3">
      <c r="A36" s="1">
        <v>2025</v>
      </c>
      <c r="B36">
        <f t="shared" si="22"/>
        <v>756</v>
      </c>
      <c r="C36">
        <f t="shared" si="22"/>
        <v>955</v>
      </c>
      <c r="D36">
        <f t="shared" si="22"/>
        <v>7787</v>
      </c>
      <c r="E36">
        <f t="shared" si="23"/>
        <v>680</v>
      </c>
      <c r="F36">
        <f t="shared" si="21"/>
        <v>859</v>
      </c>
      <c r="G36">
        <f t="shared" si="21"/>
        <v>7008</v>
      </c>
    </row>
    <row r="37" spans="1:30" x14ac:dyDescent="0.3">
      <c r="A37" s="1">
        <v>2026</v>
      </c>
      <c r="B37">
        <f t="shared" si="22"/>
        <v>1031</v>
      </c>
      <c r="C37">
        <f t="shared" si="22"/>
        <v>1345</v>
      </c>
      <c r="D37">
        <f t="shared" si="22"/>
        <v>12797</v>
      </c>
      <c r="E37">
        <f t="shared" si="23"/>
        <v>927</v>
      </c>
      <c r="F37">
        <f t="shared" si="21"/>
        <v>1210</v>
      </c>
      <c r="G37">
        <f t="shared" si="21"/>
        <v>11517</v>
      </c>
    </row>
    <row r="38" spans="1:30" x14ac:dyDescent="0.3">
      <c r="A38" s="1">
        <v>2027</v>
      </c>
      <c r="B38">
        <f t="shared" si="22"/>
        <v>1403</v>
      </c>
      <c r="C38">
        <f t="shared" si="22"/>
        <v>1886</v>
      </c>
      <c r="D38">
        <f t="shared" si="22"/>
        <v>18150</v>
      </c>
      <c r="E38">
        <f t="shared" si="23"/>
        <v>1262</v>
      </c>
      <c r="F38">
        <f t="shared" si="21"/>
        <v>1697</v>
      </c>
      <c r="G38">
        <f t="shared" si="21"/>
        <v>16335</v>
      </c>
    </row>
    <row r="39" spans="1:30" x14ac:dyDescent="0.3">
      <c r="A39" s="1">
        <v>2028</v>
      </c>
      <c r="B39">
        <f t="shared" si="22"/>
        <v>1901</v>
      </c>
      <c r="C39">
        <f t="shared" si="22"/>
        <v>2624</v>
      </c>
      <c r="D39">
        <f t="shared" si="22"/>
        <v>21364</v>
      </c>
      <c r="E39">
        <f t="shared" si="23"/>
        <v>1710</v>
      </c>
      <c r="F39">
        <f t="shared" si="21"/>
        <v>2361</v>
      </c>
      <c r="G39">
        <f t="shared" si="21"/>
        <v>19227</v>
      </c>
    </row>
    <row r="40" spans="1:30" x14ac:dyDescent="0.3">
      <c r="A40" s="1">
        <v>2029</v>
      </c>
      <c r="B40">
        <f t="shared" si="22"/>
        <v>2558</v>
      </c>
      <c r="C40">
        <f t="shared" si="22"/>
        <v>3615</v>
      </c>
      <c r="D40">
        <f t="shared" si="22"/>
        <v>22053</v>
      </c>
      <c r="E40">
        <f t="shared" si="23"/>
        <v>2302</v>
      </c>
      <c r="F40">
        <f t="shared" si="21"/>
        <v>3253</v>
      </c>
      <c r="G40">
        <f t="shared" si="21"/>
        <v>19847</v>
      </c>
    </row>
    <row r="41" spans="1:30" x14ac:dyDescent="0.3">
      <c r="A41" s="1">
        <v>2030</v>
      </c>
      <c r="B41">
        <f t="shared" si="22"/>
        <v>3415</v>
      </c>
      <c r="C41">
        <f t="shared" si="22"/>
        <v>4911</v>
      </c>
      <c r="D41">
        <f t="shared" si="22"/>
        <v>22085</v>
      </c>
      <c r="E41">
        <f t="shared" si="23"/>
        <v>3073</v>
      </c>
      <c r="F41">
        <f t="shared" si="21"/>
        <v>4419</v>
      </c>
      <c r="G41">
        <f t="shared" si="21"/>
        <v>19876</v>
      </c>
    </row>
    <row r="42" spans="1:30" x14ac:dyDescent="0.3">
      <c r="A42" s="1">
        <v>2031</v>
      </c>
      <c r="B42">
        <f t="shared" si="22"/>
        <v>4509</v>
      </c>
      <c r="C42">
        <f t="shared" si="22"/>
        <v>6549</v>
      </c>
      <c r="D42">
        <f t="shared" si="22"/>
        <v>22089</v>
      </c>
      <c r="E42">
        <f t="shared" si="23"/>
        <v>4058</v>
      </c>
      <c r="F42">
        <f t="shared" si="21"/>
        <v>5894</v>
      </c>
      <c r="G42">
        <f t="shared" si="21"/>
        <v>19880</v>
      </c>
    </row>
    <row r="43" spans="1:30" x14ac:dyDescent="0.3">
      <c r="A43" s="1">
        <v>2032</v>
      </c>
      <c r="B43">
        <f t="shared" si="22"/>
        <v>5869</v>
      </c>
      <c r="C43">
        <f t="shared" si="22"/>
        <v>8524</v>
      </c>
      <c r="D43">
        <f t="shared" si="22"/>
        <v>22092</v>
      </c>
      <c r="E43">
        <f t="shared" si="23"/>
        <v>5282</v>
      </c>
      <c r="F43">
        <f t="shared" si="21"/>
        <v>7671</v>
      </c>
      <c r="G43">
        <f t="shared" si="21"/>
        <v>19882</v>
      </c>
    </row>
    <row r="44" spans="1:30" x14ac:dyDescent="0.3">
      <c r="A44" s="1">
        <v>2033</v>
      </c>
      <c r="B44">
        <f t="shared" si="22"/>
        <v>7503</v>
      </c>
      <c r="C44">
        <f t="shared" si="22"/>
        <v>10769</v>
      </c>
      <c r="D44">
        <f t="shared" si="22"/>
        <v>22094</v>
      </c>
      <c r="E44">
        <f t="shared" si="23"/>
        <v>6752</v>
      </c>
      <c r="F44">
        <f t="shared" si="21"/>
        <v>9692</v>
      </c>
      <c r="G44">
        <f t="shared" si="21"/>
        <v>19884</v>
      </c>
    </row>
    <row r="45" spans="1:30" x14ac:dyDescent="0.3">
      <c r="A45" s="1">
        <v>2034</v>
      </c>
      <c r="B45">
        <f t="shared" si="22"/>
        <v>9381</v>
      </c>
      <c r="C45">
        <f t="shared" si="22"/>
        <v>13137</v>
      </c>
      <c r="D45">
        <f t="shared" si="22"/>
        <v>22095</v>
      </c>
      <c r="E45">
        <f t="shared" si="23"/>
        <v>8442</v>
      </c>
      <c r="F45">
        <f t="shared" si="23"/>
        <v>11823</v>
      </c>
      <c r="G45">
        <f t="shared" si="23"/>
        <v>19885</v>
      </c>
    </row>
    <row r="46" spans="1:30" x14ac:dyDescent="0.3">
      <c r="A46" s="1">
        <v>2035</v>
      </c>
      <c r="B46">
        <f t="shared" si="22"/>
        <v>11426</v>
      </c>
      <c r="C46">
        <f t="shared" si="22"/>
        <v>15421</v>
      </c>
      <c r="D46">
        <f t="shared" si="22"/>
        <v>22096</v>
      </c>
      <c r="E46">
        <f t="shared" si="23"/>
        <v>10283</v>
      </c>
      <c r="F46">
        <f t="shared" si="23"/>
        <v>13878</v>
      </c>
      <c r="G46">
        <f t="shared" si="23"/>
        <v>19886</v>
      </c>
    </row>
    <row r="47" spans="1:30" x14ac:dyDescent="0.3">
      <c r="A47" s="1">
        <v>2036</v>
      </c>
      <c r="B47">
        <f t="shared" si="22"/>
        <v>13518</v>
      </c>
      <c r="C47">
        <f t="shared" si="22"/>
        <v>17419</v>
      </c>
      <c r="D47">
        <f t="shared" si="22"/>
        <v>22096</v>
      </c>
      <c r="E47">
        <f t="shared" si="23"/>
        <v>12166</v>
      </c>
      <c r="F47">
        <f t="shared" si="23"/>
        <v>15677</v>
      </c>
      <c r="G47">
        <f t="shared" si="23"/>
        <v>19886</v>
      </c>
    </row>
    <row r="48" spans="1:30" x14ac:dyDescent="0.3">
      <c r="A48" s="1">
        <v>2037</v>
      </c>
      <c r="B48">
        <f t="shared" si="22"/>
        <v>15506</v>
      </c>
      <c r="C48">
        <f t="shared" si="22"/>
        <v>19000</v>
      </c>
      <c r="D48">
        <f t="shared" si="22"/>
        <v>22096</v>
      </c>
      <c r="E48">
        <f t="shared" si="23"/>
        <v>13955</v>
      </c>
      <c r="F48">
        <f t="shared" si="23"/>
        <v>17100</v>
      </c>
      <c r="G48">
        <f t="shared" si="23"/>
        <v>19886</v>
      </c>
    </row>
    <row r="49" spans="1:7" x14ac:dyDescent="0.3">
      <c r="A49" s="1">
        <v>2038</v>
      </c>
      <c r="B49">
        <f t="shared" si="22"/>
        <v>17259</v>
      </c>
      <c r="C49">
        <f t="shared" si="22"/>
        <v>20142</v>
      </c>
      <c r="D49">
        <f t="shared" si="22"/>
        <v>22096</v>
      </c>
      <c r="E49">
        <f t="shared" si="23"/>
        <v>15533</v>
      </c>
      <c r="F49">
        <f t="shared" si="23"/>
        <v>18127</v>
      </c>
      <c r="G49">
        <f t="shared" si="23"/>
        <v>19886</v>
      </c>
    </row>
    <row r="52" spans="1:7" x14ac:dyDescent="0.3">
      <c r="A52" t="s">
        <v>82</v>
      </c>
    </row>
    <row r="53" spans="1:7" x14ac:dyDescent="0.3">
      <c r="A53" t="s">
        <v>24</v>
      </c>
      <c r="B53" t="s">
        <v>25</v>
      </c>
      <c r="C53" t="s">
        <v>26</v>
      </c>
      <c r="D53" t="s">
        <v>27</v>
      </c>
      <c r="E53" t="s">
        <v>41</v>
      </c>
      <c r="F53" t="s">
        <v>42</v>
      </c>
      <c r="G53" t="s">
        <v>43</v>
      </c>
    </row>
    <row r="54" spans="1:7" x14ac:dyDescent="0.3">
      <c r="A54" s="1">
        <v>2018</v>
      </c>
      <c r="B54">
        <f>ROUNDDOWN(B2*$K$30,0)</f>
        <v>6</v>
      </c>
      <c r="C54">
        <f t="shared" ref="C54:D54" si="24">ROUNDDOWN(C2*$K$30,0)</f>
        <v>6</v>
      </c>
      <c r="D54">
        <f t="shared" si="24"/>
        <v>6</v>
      </c>
      <c r="E54">
        <f>ROUNDDOWN(B54-0.1*B54,0)</f>
        <v>5</v>
      </c>
      <c r="F54">
        <f t="shared" ref="F54:G69" si="25">ROUNDDOWN(C54-0.1*C54,0)</f>
        <v>5</v>
      </c>
      <c r="G54">
        <f t="shared" si="25"/>
        <v>5</v>
      </c>
    </row>
    <row r="55" spans="1:7" x14ac:dyDescent="0.3">
      <c r="A55" s="1">
        <v>2019</v>
      </c>
      <c r="B55">
        <f t="shared" ref="B55:D74" si="26">ROUNDDOWN(B3*$K$30,0)</f>
        <v>8</v>
      </c>
      <c r="C55">
        <f t="shared" si="26"/>
        <v>9</v>
      </c>
      <c r="D55">
        <f t="shared" si="26"/>
        <v>12</v>
      </c>
      <c r="E55">
        <f t="shared" ref="E55:G74" si="27">ROUNDDOWN(B55-0.1*B55,0)</f>
        <v>7</v>
      </c>
      <c r="F55">
        <f t="shared" si="25"/>
        <v>8</v>
      </c>
      <c r="G55">
        <f t="shared" si="25"/>
        <v>10</v>
      </c>
    </row>
    <row r="56" spans="1:7" x14ac:dyDescent="0.3">
      <c r="A56" s="1">
        <v>2020</v>
      </c>
      <c r="B56">
        <f t="shared" si="26"/>
        <v>12</v>
      </c>
      <c r="C56">
        <f t="shared" si="26"/>
        <v>12</v>
      </c>
      <c r="D56">
        <f t="shared" si="26"/>
        <v>23</v>
      </c>
      <c r="E56">
        <f t="shared" si="27"/>
        <v>10</v>
      </c>
      <c r="F56">
        <f t="shared" si="25"/>
        <v>10</v>
      </c>
      <c r="G56">
        <f t="shared" si="25"/>
        <v>20</v>
      </c>
    </row>
    <row r="57" spans="1:7" x14ac:dyDescent="0.3">
      <c r="A57" s="1">
        <v>2021</v>
      </c>
      <c r="B57">
        <f t="shared" si="26"/>
        <v>16</v>
      </c>
      <c r="C57">
        <f t="shared" si="26"/>
        <v>18</v>
      </c>
      <c r="D57">
        <f t="shared" si="26"/>
        <v>46</v>
      </c>
      <c r="E57">
        <f t="shared" si="27"/>
        <v>14</v>
      </c>
      <c r="F57">
        <f t="shared" si="25"/>
        <v>16</v>
      </c>
      <c r="G57">
        <f t="shared" si="25"/>
        <v>41</v>
      </c>
    </row>
    <row r="58" spans="1:7" x14ac:dyDescent="0.3">
      <c r="A58" s="1">
        <v>2022</v>
      </c>
      <c r="B58">
        <f t="shared" si="26"/>
        <v>22</v>
      </c>
      <c r="C58">
        <f t="shared" si="26"/>
        <v>25</v>
      </c>
      <c r="D58">
        <f t="shared" si="26"/>
        <v>89</v>
      </c>
      <c r="E58">
        <f t="shared" si="27"/>
        <v>19</v>
      </c>
      <c r="F58">
        <f t="shared" si="25"/>
        <v>22</v>
      </c>
      <c r="G58">
        <f t="shared" si="25"/>
        <v>80</v>
      </c>
    </row>
    <row r="59" spans="1:7" x14ac:dyDescent="0.3">
      <c r="A59" s="1">
        <v>2023</v>
      </c>
      <c r="B59">
        <f t="shared" si="26"/>
        <v>30</v>
      </c>
      <c r="C59">
        <f t="shared" si="26"/>
        <v>35</v>
      </c>
      <c r="D59">
        <f t="shared" si="26"/>
        <v>173</v>
      </c>
      <c r="E59">
        <f t="shared" si="27"/>
        <v>27</v>
      </c>
      <c r="F59">
        <f t="shared" si="25"/>
        <v>31</v>
      </c>
      <c r="G59">
        <f t="shared" si="25"/>
        <v>155</v>
      </c>
    </row>
    <row r="60" spans="1:7" x14ac:dyDescent="0.3">
      <c r="A60" s="1">
        <v>2024</v>
      </c>
      <c r="B60">
        <f t="shared" si="26"/>
        <v>41</v>
      </c>
      <c r="C60">
        <f t="shared" si="26"/>
        <v>50</v>
      </c>
      <c r="D60">
        <f t="shared" si="26"/>
        <v>326</v>
      </c>
      <c r="E60">
        <f t="shared" si="27"/>
        <v>36</v>
      </c>
      <c r="F60">
        <f t="shared" si="25"/>
        <v>45</v>
      </c>
      <c r="G60">
        <f t="shared" si="25"/>
        <v>293</v>
      </c>
    </row>
    <row r="61" spans="1:7" x14ac:dyDescent="0.3">
      <c r="A61" s="1">
        <v>2025</v>
      </c>
      <c r="B61">
        <f t="shared" si="26"/>
        <v>56</v>
      </c>
      <c r="C61">
        <f t="shared" si="26"/>
        <v>71</v>
      </c>
      <c r="D61">
        <f t="shared" si="26"/>
        <v>586</v>
      </c>
      <c r="E61">
        <f t="shared" si="27"/>
        <v>50</v>
      </c>
      <c r="F61">
        <f t="shared" si="25"/>
        <v>63</v>
      </c>
      <c r="G61">
        <f t="shared" si="25"/>
        <v>527</v>
      </c>
    </row>
    <row r="62" spans="1:7" x14ac:dyDescent="0.3">
      <c r="A62" s="1">
        <v>2026</v>
      </c>
      <c r="B62">
        <f t="shared" si="26"/>
        <v>77</v>
      </c>
      <c r="C62">
        <f t="shared" si="26"/>
        <v>101</v>
      </c>
      <c r="D62">
        <f t="shared" si="26"/>
        <v>963</v>
      </c>
      <c r="E62">
        <f t="shared" si="27"/>
        <v>69</v>
      </c>
      <c r="F62">
        <f t="shared" si="25"/>
        <v>90</v>
      </c>
      <c r="G62">
        <f t="shared" si="25"/>
        <v>866</v>
      </c>
    </row>
    <row r="63" spans="1:7" x14ac:dyDescent="0.3">
      <c r="A63" s="1">
        <v>2027</v>
      </c>
      <c r="B63">
        <f t="shared" si="26"/>
        <v>105</v>
      </c>
      <c r="C63">
        <f t="shared" si="26"/>
        <v>142</v>
      </c>
      <c r="D63">
        <f t="shared" si="26"/>
        <v>1366</v>
      </c>
      <c r="E63">
        <f t="shared" si="27"/>
        <v>94</v>
      </c>
      <c r="F63">
        <f t="shared" si="25"/>
        <v>127</v>
      </c>
      <c r="G63">
        <f t="shared" si="25"/>
        <v>1229</v>
      </c>
    </row>
    <row r="64" spans="1:7" x14ac:dyDescent="0.3">
      <c r="A64" s="1">
        <v>2028</v>
      </c>
      <c r="B64">
        <f t="shared" si="26"/>
        <v>143</v>
      </c>
      <c r="C64">
        <f t="shared" si="26"/>
        <v>197</v>
      </c>
      <c r="D64">
        <f t="shared" si="26"/>
        <v>1608</v>
      </c>
      <c r="E64">
        <f t="shared" si="27"/>
        <v>128</v>
      </c>
      <c r="F64">
        <f t="shared" si="25"/>
        <v>177</v>
      </c>
      <c r="G64">
        <f t="shared" si="25"/>
        <v>1447</v>
      </c>
    </row>
    <row r="65" spans="1:7" x14ac:dyDescent="0.3">
      <c r="A65" s="1">
        <v>2029</v>
      </c>
      <c r="B65">
        <f t="shared" si="26"/>
        <v>192</v>
      </c>
      <c r="C65">
        <f t="shared" si="26"/>
        <v>272</v>
      </c>
      <c r="D65">
        <f t="shared" si="26"/>
        <v>1660</v>
      </c>
      <c r="E65">
        <f t="shared" si="27"/>
        <v>172</v>
      </c>
      <c r="F65">
        <f t="shared" si="25"/>
        <v>244</v>
      </c>
      <c r="G65">
        <f t="shared" si="25"/>
        <v>1494</v>
      </c>
    </row>
    <row r="66" spans="1:7" x14ac:dyDescent="0.3">
      <c r="A66" s="1">
        <v>2030</v>
      </c>
      <c r="B66">
        <f t="shared" si="26"/>
        <v>257</v>
      </c>
      <c r="C66">
        <f t="shared" si="26"/>
        <v>369</v>
      </c>
      <c r="D66">
        <f t="shared" si="26"/>
        <v>1662</v>
      </c>
      <c r="E66">
        <f t="shared" si="27"/>
        <v>231</v>
      </c>
      <c r="F66">
        <f t="shared" si="25"/>
        <v>332</v>
      </c>
      <c r="G66">
        <f t="shared" si="25"/>
        <v>1495</v>
      </c>
    </row>
    <row r="67" spans="1:7" x14ac:dyDescent="0.3">
      <c r="A67" s="1">
        <v>2031</v>
      </c>
      <c r="B67">
        <f t="shared" si="26"/>
        <v>339</v>
      </c>
      <c r="C67">
        <f t="shared" si="26"/>
        <v>493</v>
      </c>
      <c r="D67">
        <f t="shared" si="26"/>
        <v>1663</v>
      </c>
      <c r="E67">
        <f t="shared" si="27"/>
        <v>305</v>
      </c>
      <c r="F67">
        <f t="shared" si="25"/>
        <v>443</v>
      </c>
      <c r="G67">
        <f t="shared" si="25"/>
        <v>1496</v>
      </c>
    </row>
    <row r="68" spans="1:7" x14ac:dyDescent="0.3">
      <c r="A68" s="1">
        <v>2032</v>
      </c>
      <c r="B68">
        <f t="shared" si="26"/>
        <v>441</v>
      </c>
      <c r="C68">
        <f t="shared" si="26"/>
        <v>641</v>
      </c>
      <c r="D68">
        <f t="shared" si="26"/>
        <v>1663</v>
      </c>
      <c r="E68">
        <f t="shared" si="27"/>
        <v>396</v>
      </c>
      <c r="F68">
        <f t="shared" si="25"/>
        <v>576</v>
      </c>
      <c r="G68">
        <f t="shared" si="25"/>
        <v>1496</v>
      </c>
    </row>
    <row r="69" spans="1:7" x14ac:dyDescent="0.3">
      <c r="A69" s="1">
        <v>2033</v>
      </c>
      <c r="B69">
        <f t="shared" si="26"/>
        <v>564</v>
      </c>
      <c r="C69">
        <f t="shared" si="26"/>
        <v>810</v>
      </c>
      <c r="D69">
        <f t="shared" si="26"/>
        <v>1663</v>
      </c>
      <c r="E69">
        <f t="shared" si="27"/>
        <v>507</v>
      </c>
      <c r="F69">
        <f t="shared" si="25"/>
        <v>729</v>
      </c>
      <c r="G69">
        <f t="shared" si="25"/>
        <v>1496</v>
      </c>
    </row>
    <row r="70" spans="1:7" x14ac:dyDescent="0.3">
      <c r="A70" s="1">
        <v>2034</v>
      </c>
      <c r="B70">
        <f t="shared" si="26"/>
        <v>706</v>
      </c>
      <c r="C70">
        <f t="shared" si="26"/>
        <v>989</v>
      </c>
      <c r="D70">
        <f t="shared" si="26"/>
        <v>1663</v>
      </c>
      <c r="E70">
        <f t="shared" si="27"/>
        <v>635</v>
      </c>
      <c r="F70">
        <f t="shared" si="27"/>
        <v>890</v>
      </c>
      <c r="G70">
        <f t="shared" si="27"/>
        <v>1496</v>
      </c>
    </row>
    <row r="71" spans="1:7" x14ac:dyDescent="0.3">
      <c r="A71" s="1">
        <v>2035</v>
      </c>
      <c r="B71">
        <f t="shared" si="26"/>
        <v>860</v>
      </c>
      <c r="C71">
        <f t="shared" si="26"/>
        <v>1161</v>
      </c>
      <c r="D71">
        <f t="shared" si="26"/>
        <v>1663</v>
      </c>
      <c r="E71">
        <f t="shared" si="27"/>
        <v>774</v>
      </c>
      <c r="F71">
        <f t="shared" si="27"/>
        <v>1044</v>
      </c>
      <c r="G71">
        <f t="shared" si="27"/>
        <v>1496</v>
      </c>
    </row>
    <row r="72" spans="1:7" x14ac:dyDescent="0.3">
      <c r="A72" s="1">
        <v>2036</v>
      </c>
      <c r="B72">
        <f t="shared" si="26"/>
        <v>1017</v>
      </c>
      <c r="C72">
        <f t="shared" si="26"/>
        <v>1311</v>
      </c>
      <c r="D72">
        <f t="shared" si="26"/>
        <v>1663</v>
      </c>
      <c r="E72">
        <f t="shared" si="27"/>
        <v>915</v>
      </c>
      <c r="F72">
        <f t="shared" si="27"/>
        <v>1179</v>
      </c>
      <c r="G72">
        <f t="shared" si="27"/>
        <v>1496</v>
      </c>
    </row>
    <row r="73" spans="1:7" x14ac:dyDescent="0.3">
      <c r="A73" s="1">
        <v>2037</v>
      </c>
      <c r="B73">
        <f t="shared" si="26"/>
        <v>1167</v>
      </c>
      <c r="C73">
        <f t="shared" si="26"/>
        <v>1430</v>
      </c>
      <c r="D73">
        <f t="shared" si="26"/>
        <v>1663</v>
      </c>
      <c r="E73">
        <f t="shared" si="27"/>
        <v>1050</v>
      </c>
      <c r="F73">
        <f t="shared" si="27"/>
        <v>1287</v>
      </c>
      <c r="G73">
        <f t="shared" si="27"/>
        <v>1496</v>
      </c>
    </row>
    <row r="74" spans="1:7" x14ac:dyDescent="0.3">
      <c r="A74" s="1">
        <v>2038</v>
      </c>
      <c r="B74">
        <f t="shared" si="26"/>
        <v>1299</v>
      </c>
      <c r="C74">
        <f t="shared" si="26"/>
        <v>1516</v>
      </c>
      <c r="D74">
        <f t="shared" si="26"/>
        <v>1663</v>
      </c>
      <c r="E74">
        <f t="shared" si="27"/>
        <v>1169</v>
      </c>
      <c r="F74">
        <f t="shared" si="27"/>
        <v>1364</v>
      </c>
      <c r="G74">
        <f t="shared" si="27"/>
        <v>1496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F1" workbookViewId="0">
      <selection activeCell="M25" sqref="M25"/>
    </sheetView>
  </sheetViews>
  <sheetFormatPr defaultRowHeight="15" x14ac:dyDescent="0.25"/>
  <cols>
    <col min="1" max="1" width="30.85546875" customWidth="1"/>
    <col min="2" max="2" width="28" customWidth="1"/>
    <col min="3" max="3" width="18" customWidth="1"/>
    <col min="4" max="4" width="20.7109375" customWidth="1"/>
    <col min="5" max="5" width="19.28515625" customWidth="1"/>
    <col min="6" max="6" width="34.5703125" customWidth="1"/>
    <col min="7" max="7" width="22.7109375" customWidth="1"/>
    <col min="8" max="8" width="25" customWidth="1"/>
    <col min="9" max="9" width="17.28515625" customWidth="1"/>
    <col min="10" max="10" width="16" customWidth="1"/>
    <col min="11" max="11" width="16.85546875" customWidth="1"/>
    <col min="12" max="12" width="12.5703125" customWidth="1"/>
    <col min="13" max="13" width="15.28515625" customWidth="1"/>
    <col min="14" max="14" width="16.42578125" customWidth="1"/>
    <col min="15" max="15" width="25.7109375" customWidth="1"/>
  </cols>
  <sheetData>
    <row r="1" spans="1:15" x14ac:dyDescent="0.3">
      <c r="A1" t="s">
        <v>22</v>
      </c>
      <c r="B1" s="10" t="s">
        <v>23</v>
      </c>
      <c r="C1" s="10" t="s">
        <v>73</v>
      </c>
      <c r="D1" s="10" t="s">
        <v>66</v>
      </c>
      <c r="E1" s="10" t="s">
        <v>67</v>
      </c>
      <c r="F1" s="10" t="s">
        <v>68</v>
      </c>
      <c r="G1" s="10" t="s">
        <v>69</v>
      </c>
      <c r="H1" s="10" t="s">
        <v>70</v>
      </c>
      <c r="I1" s="10" t="s">
        <v>71</v>
      </c>
      <c r="J1" s="10" t="s">
        <v>72</v>
      </c>
      <c r="K1" s="10" t="s">
        <v>74</v>
      </c>
      <c r="L1" s="10" t="s">
        <v>75</v>
      </c>
      <c r="M1" s="10" t="s">
        <v>76</v>
      </c>
      <c r="N1" s="10" t="s">
        <v>77</v>
      </c>
      <c r="O1" s="10" t="s">
        <v>78</v>
      </c>
    </row>
    <row r="2" spans="1:15" s="6" customFormat="1" x14ac:dyDescent="0.3">
      <c r="A2" t="s">
        <v>23</v>
      </c>
      <c r="B2">
        <v>0</v>
      </c>
      <c r="C2">
        <f>CAPEX!$X3</f>
        <v>685320.49758500769</v>
      </c>
      <c r="D2">
        <f>CAPEX!$X4</f>
        <v>488901.15606202511</v>
      </c>
      <c r="E2">
        <f>CAPEX!$X5</f>
        <v>433198.37939566193</v>
      </c>
      <c r="F2">
        <f>CAPEX!$X6</f>
        <v>647978.37939566188</v>
      </c>
      <c r="G2">
        <f>CAPEX!$X7</f>
        <v>652800.75606202509</v>
      </c>
      <c r="H2">
        <f>CAPEX!$X8</f>
        <v>784642.89758500771</v>
      </c>
      <c r="I2">
        <f>CAPEX!$X9</f>
        <v>501952.35606202506</v>
      </c>
      <c r="J2">
        <f>CAPEX!$X10</f>
        <v>449448.37939566193</v>
      </c>
      <c r="K2">
        <f>CAPEX!$X11</f>
        <v>443471.16896909516</v>
      </c>
      <c r="L2">
        <f>CAPEX!$X12</f>
        <v>458559.26274949865</v>
      </c>
      <c r="M2">
        <f>CAPEX!$X13</f>
        <v>419492.25412900344</v>
      </c>
      <c r="N2">
        <f>CAPEX!$X14</f>
        <v>593031.60963587556</v>
      </c>
      <c r="O2">
        <f>CAPEX!$X15</f>
        <v>456615.89812900347</v>
      </c>
    </row>
    <row r="3" spans="1:15" s="6" customFormat="1" x14ac:dyDescent="0.3">
      <c r="A3" t="s">
        <v>73</v>
      </c>
      <c r="B3">
        <v>0</v>
      </c>
      <c r="C3">
        <v>0</v>
      </c>
      <c r="D3">
        <f>IF(D2-C2&gt;0,D2-C2,0)</f>
        <v>0</v>
      </c>
      <c r="E3">
        <v>0</v>
      </c>
      <c r="F3">
        <v>0</v>
      </c>
      <c r="G3">
        <f>IF(G2-C2&gt;0,G2-C2,0)</f>
        <v>0</v>
      </c>
      <c r="H3">
        <f>H2-C2</f>
        <v>99322.400000000023</v>
      </c>
      <c r="I3">
        <f>I2-D2+D3</f>
        <v>13051.199999999953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s="6" customFormat="1" x14ac:dyDescent="0.3">
      <c r="A4" t="s">
        <v>66</v>
      </c>
      <c r="B4">
        <v>0</v>
      </c>
      <c r="C4">
        <v>0</v>
      </c>
      <c r="D4">
        <v>0</v>
      </c>
      <c r="E4">
        <v>0</v>
      </c>
      <c r="F4">
        <v>0</v>
      </c>
      <c r="G4">
        <f>G2-D2</f>
        <v>163899.59999999998</v>
      </c>
      <c r="H4">
        <v>0</v>
      </c>
      <c r="I4">
        <f>I2-D2</f>
        <v>13051.199999999953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s="6" customFormat="1" x14ac:dyDescent="0.3">
      <c r="A5" t="s">
        <v>67</v>
      </c>
      <c r="B5">
        <v>0</v>
      </c>
      <c r="C5">
        <v>0</v>
      </c>
      <c r="D5">
        <v>0</v>
      </c>
      <c r="E5">
        <v>0</v>
      </c>
      <c r="F5">
        <f>F2-E2</f>
        <v>214779.99999999994</v>
      </c>
      <c r="G5">
        <v>0</v>
      </c>
      <c r="H5">
        <v>0</v>
      </c>
      <c r="I5">
        <v>0</v>
      </c>
      <c r="J5">
        <f>J2-E2</f>
        <v>16250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s="6" customFormat="1" x14ac:dyDescent="0.3">
      <c r="A6" t="s">
        <v>68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s="6" customFormat="1" x14ac:dyDescent="0.3">
      <c r="A7" t="s">
        <v>69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s="6" customFormat="1" x14ac:dyDescent="0.3">
      <c r="A8" t="s">
        <v>70</v>
      </c>
      <c r="B8">
        <v>0</v>
      </c>
      <c r="C8">
        <v>0</v>
      </c>
      <c r="D8">
        <v>0</v>
      </c>
      <c r="E8">
        <v>0</v>
      </c>
      <c r="F8">
        <v>0</v>
      </c>
      <c r="G8">
        <f>IF(G2-H2&gt;0,G2-H2,0)</f>
        <v>0</v>
      </c>
      <c r="H8">
        <v>0</v>
      </c>
      <c r="I8">
        <f>IF(I2-H2&gt;0,I2-H2,0)</f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s="6" customFormat="1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f>G2-I2</f>
        <v>150848.40000000002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s="6" customFormat="1" x14ac:dyDescent="0.3">
      <c r="A10" t="s">
        <v>72</v>
      </c>
      <c r="B10">
        <v>0</v>
      </c>
      <c r="C10">
        <v>0</v>
      </c>
      <c r="D10">
        <v>0</v>
      </c>
      <c r="E10">
        <v>0</v>
      </c>
      <c r="F10">
        <f>F2-J2</f>
        <v>198529.99999999994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t="s">
        <v>74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f>IF(L2-K2&gt;0,L2-K2,0)</f>
        <v>15088.093780403491</v>
      </c>
      <c r="M11">
        <f>M2-K2</f>
        <v>-23978.914840091718</v>
      </c>
      <c r="N11">
        <f>N2-K2</f>
        <v>149560.4406667804</v>
      </c>
      <c r="O11">
        <f>O2-L2+L11</f>
        <v>13144.729159908311</v>
      </c>
    </row>
    <row r="12" spans="1:15" x14ac:dyDescent="0.3">
      <c r="A12" t="s">
        <v>75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f>M2-L2</f>
        <v>-39067.008620495209</v>
      </c>
      <c r="N12">
        <v>0</v>
      </c>
      <c r="O12">
        <f>O2-L2</f>
        <v>-1943.3646204951801</v>
      </c>
    </row>
    <row r="13" spans="1:15" x14ac:dyDescent="0.3">
      <c r="A13" t="s">
        <v>76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t="s">
        <v>77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f>M2-N2</f>
        <v>-173539.35550687212</v>
      </c>
      <c r="N14">
        <v>0</v>
      </c>
      <c r="O14">
        <f>IF(O2-N2&gt;0,O2-N2,0)</f>
        <v>0</v>
      </c>
    </row>
    <row r="15" spans="1:15" x14ac:dyDescent="0.3">
      <c r="A15" t="s">
        <v>78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f>M2-O2</f>
        <v>-37123.644000000029</v>
      </c>
      <c r="N15">
        <v>0</v>
      </c>
      <c r="O15">
        <v>0</v>
      </c>
    </row>
    <row r="31" spans="3:16" x14ac:dyDescent="0.3"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CAPEX</vt:lpstr>
      <vt:lpstr>OPEX</vt:lpstr>
      <vt:lpstr>Revenue</vt:lpstr>
      <vt:lpstr>MIG_MATRIX</vt:lpstr>
    </vt:vector>
  </TitlesOfParts>
  <Company>Technische Universität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Patri, Sai Kireet</cp:lastModifiedBy>
  <dcterms:created xsi:type="dcterms:W3CDTF">2018-03-18T14:40:49Z</dcterms:created>
  <dcterms:modified xsi:type="dcterms:W3CDTF">2018-07-18T16:31:35Z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