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85" windowWidth="15105" windowHeight="8565" activeTab="1"/>
  </bookViews>
  <sheets>
    <sheet name="CAPEX" sheetId="1" r:id="rId1"/>
    <sheet name="OPEX" sheetId="2" r:id="rId2"/>
    <sheet name="Revenue" sheetId="3" r:id="rId3"/>
    <sheet name="MIG_MATRIX" sheetId="11" r:id="rId4"/>
  </sheets>
  <calcPr calcId="145621"/>
</workbook>
</file>

<file path=xl/calcChain.xml><?xml version="1.0" encoding="utf-8"?>
<calcChain xmlns="http://schemas.openxmlformats.org/spreadsheetml/2006/main">
  <c r="Q6" i="1" l="1"/>
  <c r="V3" i="1" l="1"/>
  <c r="W3" i="1" l="1"/>
  <c r="C2" i="11" s="1"/>
  <c r="B13" i="1" l="1"/>
  <c r="B7" i="1"/>
  <c r="B6" i="1"/>
  <c r="B15" i="1"/>
  <c r="B14" i="1"/>
  <c r="B12" i="1"/>
  <c r="B11" i="1"/>
  <c r="B9" i="1"/>
  <c r="B10" i="1"/>
  <c r="B8" i="1"/>
  <c r="B5" i="1"/>
  <c r="B4" i="1"/>
  <c r="B3" i="1"/>
  <c r="Q13" i="1" l="1"/>
  <c r="W13" i="1" s="1"/>
  <c r="M2" i="11" s="1"/>
  <c r="P27" i="1"/>
  <c r="Q15" i="1"/>
  <c r="W14" i="1"/>
  <c r="N2" i="11" s="1"/>
  <c r="W11" i="1"/>
  <c r="K2" i="11" s="1"/>
  <c r="H10" i="1"/>
  <c r="W9" i="1"/>
  <c r="I2" i="11" s="1"/>
  <c r="G4" i="1"/>
  <c r="H4" i="1"/>
  <c r="G7" i="1"/>
  <c r="H7" i="1"/>
  <c r="G3" i="1"/>
  <c r="H3" i="1"/>
  <c r="W8" i="1"/>
  <c r="H2" i="11" s="1"/>
  <c r="H3" i="11" s="1"/>
  <c r="I6" i="3"/>
  <c r="V15" i="1"/>
  <c r="V14" i="1"/>
  <c r="V13" i="1"/>
  <c r="V10" i="1"/>
  <c r="V9" i="1"/>
  <c r="G6" i="1"/>
  <c r="H6" i="1"/>
  <c r="V6" i="1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" i="3"/>
  <c r="V44" i="1"/>
  <c r="S44" i="1"/>
  <c r="R44" i="1"/>
  <c r="I5" i="3"/>
  <c r="F47" i="3"/>
  <c r="D30" i="3"/>
  <c r="G30" i="3" s="1"/>
  <c r="D31" i="3"/>
  <c r="D32" i="3"/>
  <c r="G32" i="3" s="1"/>
  <c r="D33" i="3"/>
  <c r="D34" i="3"/>
  <c r="G34" i="3" s="1"/>
  <c r="D35" i="3"/>
  <c r="G35" i="3" s="1"/>
  <c r="D36" i="3"/>
  <c r="G36" i="3" s="1"/>
  <c r="D37" i="3"/>
  <c r="G37" i="3" s="1"/>
  <c r="D38" i="3"/>
  <c r="G38" i="3" s="1"/>
  <c r="D39" i="3"/>
  <c r="D40" i="3"/>
  <c r="G40" i="3" s="1"/>
  <c r="D41" i="3"/>
  <c r="G41" i="3" s="1"/>
  <c r="D42" i="3"/>
  <c r="G42" i="3" s="1"/>
  <c r="D43" i="3"/>
  <c r="D44" i="3"/>
  <c r="G44" i="3" s="1"/>
  <c r="D45" i="3"/>
  <c r="G45" i="3" s="1"/>
  <c r="D46" i="3"/>
  <c r="G46" i="3"/>
  <c r="D47" i="3"/>
  <c r="G47" i="3" s="1"/>
  <c r="D48" i="3"/>
  <c r="G48" i="3" s="1"/>
  <c r="D49" i="3"/>
  <c r="C30" i="3"/>
  <c r="C31" i="3"/>
  <c r="F31" i="3" s="1"/>
  <c r="C32" i="3"/>
  <c r="F32" i="3" s="1"/>
  <c r="C33" i="3"/>
  <c r="C34" i="3"/>
  <c r="F34" i="3" s="1"/>
  <c r="C35" i="3"/>
  <c r="C36" i="3"/>
  <c r="F36" i="3"/>
  <c r="C37" i="3"/>
  <c r="F37" i="3" s="1"/>
  <c r="C38" i="3"/>
  <c r="F38" i="3" s="1"/>
  <c r="C39" i="3"/>
  <c r="C40" i="3"/>
  <c r="C41" i="3"/>
  <c r="F41" i="3" s="1"/>
  <c r="C42" i="3"/>
  <c r="F42" i="3" s="1"/>
  <c r="C43" i="3"/>
  <c r="C44" i="3"/>
  <c r="F44" i="3" s="1"/>
  <c r="C45" i="3"/>
  <c r="C46" i="3"/>
  <c r="C47" i="3"/>
  <c r="C48" i="3"/>
  <c r="F48" i="3" s="1"/>
  <c r="C49" i="3"/>
  <c r="B30" i="3"/>
  <c r="E30" i="3" s="1"/>
  <c r="B31" i="3"/>
  <c r="E31" i="3" s="1"/>
  <c r="B32" i="3"/>
  <c r="E32" i="3" s="1"/>
  <c r="B33" i="3"/>
  <c r="E33" i="3" s="1"/>
  <c r="B34" i="3"/>
  <c r="B35" i="3"/>
  <c r="E35" i="3" s="1"/>
  <c r="B36" i="3"/>
  <c r="E36" i="3" s="1"/>
  <c r="B37" i="3"/>
  <c r="E37" i="3" s="1"/>
  <c r="B38" i="3"/>
  <c r="E38" i="3" s="1"/>
  <c r="B39" i="3"/>
  <c r="E39" i="3" s="1"/>
  <c r="B40" i="3"/>
  <c r="E40" i="3" s="1"/>
  <c r="B41" i="3"/>
  <c r="E41" i="3" s="1"/>
  <c r="B42" i="3"/>
  <c r="B43" i="3"/>
  <c r="E43" i="3" s="1"/>
  <c r="B44" i="3"/>
  <c r="E44" i="3" s="1"/>
  <c r="B45" i="3"/>
  <c r="E45" i="3" s="1"/>
  <c r="B46" i="3"/>
  <c r="E46" i="3"/>
  <c r="B47" i="3"/>
  <c r="E47" i="3" s="1"/>
  <c r="B48" i="3"/>
  <c r="B49" i="3"/>
  <c r="E49" i="3" s="1"/>
  <c r="D29" i="3"/>
  <c r="G29" i="3" s="1"/>
  <c r="C29" i="3"/>
  <c r="B29" i="3"/>
  <c r="E29" i="3" s="1"/>
  <c r="I12" i="3"/>
  <c r="I7" i="3"/>
  <c r="I8" i="3"/>
  <c r="N11" i="11" l="1"/>
  <c r="M14" i="11"/>
  <c r="O3" i="3"/>
  <c r="Q4" i="3"/>
  <c r="O5" i="3"/>
  <c r="S5" i="3"/>
  <c r="Q6" i="3"/>
  <c r="O7" i="3"/>
  <c r="S7" i="3"/>
  <c r="Q8" i="3"/>
  <c r="O9" i="3"/>
  <c r="S9" i="3"/>
  <c r="Q10" i="3"/>
  <c r="O11" i="3"/>
  <c r="S11" i="3"/>
  <c r="Q12" i="3"/>
  <c r="O13" i="3"/>
  <c r="Q14" i="3"/>
  <c r="O15" i="3"/>
  <c r="S15" i="3"/>
  <c r="Q16" i="3"/>
  <c r="O17" i="3"/>
  <c r="S17" i="3"/>
  <c r="Q18" i="3"/>
  <c r="O19" i="3"/>
  <c r="Q20" i="3"/>
  <c r="O21" i="3"/>
  <c r="S21" i="3"/>
  <c r="Q22" i="3"/>
  <c r="P2" i="3"/>
  <c r="T2" i="3"/>
  <c r="P5" i="3"/>
  <c r="P7" i="3"/>
  <c r="R8" i="3"/>
  <c r="T9" i="3"/>
  <c r="P11" i="3"/>
  <c r="T11" i="3"/>
  <c r="P13" i="3"/>
  <c r="R14" i="3"/>
  <c r="T15" i="3"/>
  <c r="R16" i="3"/>
  <c r="T17" i="3"/>
  <c r="R18" i="3"/>
  <c r="T19" i="3"/>
  <c r="R20" i="3"/>
  <c r="T21" i="3"/>
  <c r="Q2" i="3"/>
  <c r="O4" i="3"/>
  <c r="Q5" i="3"/>
  <c r="O6" i="3"/>
  <c r="O8" i="3"/>
  <c r="O10" i="3"/>
  <c r="Q11" i="3"/>
  <c r="Q13" i="3"/>
  <c r="Q15" i="3"/>
  <c r="S20" i="3"/>
  <c r="P4" i="3"/>
  <c r="R5" i="3"/>
  <c r="R9" i="3"/>
  <c r="R11" i="3"/>
  <c r="R13" i="3"/>
  <c r="R17" i="3"/>
  <c r="R19" i="3"/>
  <c r="P3" i="3"/>
  <c r="T3" i="3"/>
  <c r="R4" i="3"/>
  <c r="T5" i="3"/>
  <c r="R6" i="3"/>
  <c r="T7" i="3"/>
  <c r="P9" i="3"/>
  <c r="R10" i="3"/>
  <c r="R12" i="3"/>
  <c r="T13" i="3"/>
  <c r="P15" i="3"/>
  <c r="P17" i="3"/>
  <c r="P19" i="3"/>
  <c r="P21" i="3"/>
  <c r="R22" i="3"/>
  <c r="O2" i="3"/>
  <c r="S4" i="3"/>
  <c r="Q7" i="3"/>
  <c r="S8" i="3"/>
  <c r="S10" i="3"/>
  <c r="O14" i="3"/>
  <c r="O16" i="3"/>
  <c r="O18" i="3"/>
  <c r="Q19" i="3"/>
  <c r="Q21" i="3"/>
  <c r="R2" i="3"/>
  <c r="T8" i="3"/>
  <c r="T10" i="3"/>
  <c r="P12" i="3"/>
  <c r="P14" i="3"/>
  <c r="P16" i="3"/>
  <c r="P18" i="3"/>
  <c r="T20" i="3"/>
  <c r="Q3" i="3"/>
  <c r="S6" i="3"/>
  <c r="Q9" i="3"/>
  <c r="O12" i="3"/>
  <c r="S14" i="3"/>
  <c r="Q17" i="3"/>
  <c r="O20" i="3"/>
  <c r="O22" i="3"/>
  <c r="R3" i="3"/>
  <c r="P6" i="3"/>
  <c r="P8" i="3"/>
  <c r="P10" i="3"/>
  <c r="T14" i="3"/>
  <c r="T18" i="3"/>
  <c r="P20" i="3"/>
  <c r="P22" i="3"/>
  <c r="U5" i="3"/>
  <c r="U13" i="3"/>
  <c r="U21" i="3"/>
  <c r="U6" i="3"/>
  <c r="U14" i="3"/>
  <c r="U22" i="3"/>
  <c r="U2" i="3"/>
  <c r="U8" i="3"/>
  <c r="U16" i="3"/>
  <c r="U9" i="3"/>
  <c r="U17" i="3"/>
  <c r="U10" i="3"/>
  <c r="U18" i="3"/>
  <c r="U3" i="3"/>
  <c r="U11" i="3"/>
  <c r="U19" i="3"/>
  <c r="U4" i="3"/>
  <c r="U12" i="3"/>
  <c r="U20" i="3"/>
  <c r="U7" i="3"/>
  <c r="U15" i="3"/>
  <c r="W4" i="1"/>
  <c r="D2" i="11" s="1"/>
  <c r="V7" i="1"/>
  <c r="W7" i="1"/>
  <c r="G2" i="11" s="1"/>
  <c r="E42" i="3"/>
  <c r="R15" i="3" s="1"/>
  <c r="F46" i="3"/>
  <c r="S19" i="3" s="1"/>
  <c r="F40" i="3"/>
  <c r="S13" i="3" s="1"/>
  <c r="F35" i="3"/>
  <c r="F30" i="3"/>
  <c r="S3" i="3" s="1"/>
  <c r="G39" i="3"/>
  <c r="T12" i="3" s="1"/>
  <c r="G33" i="3"/>
  <c r="T6" i="3" s="1"/>
  <c r="W12" i="1"/>
  <c r="L2" i="11" s="1"/>
  <c r="M12" i="11" s="1"/>
  <c r="F29" i="3"/>
  <c r="S2" i="3" s="1"/>
  <c r="E48" i="3"/>
  <c r="R21" i="3" s="1"/>
  <c r="E34" i="3"/>
  <c r="R7" i="3" s="1"/>
  <c r="F49" i="3"/>
  <c r="S22" i="3" s="1"/>
  <c r="F45" i="3"/>
  <c r="S18" i="3" s="1"/>
  <c r="F39" i="3"/>
  <c r="S12" i="3" s="1"/>
  <c r="F33" i="3"/>
  <c r="G49" i="3"/>
  <c r="T22" i="3" s="1"/>
  <c r="G43" i="3"/>
  <c r="T16" i="3" s="1"/>
  <c r="G31" i="3"/>
  <c r="T4" i="3" s="1"/>
  <c r="F43" i="3"/>
  <c r="S16" i="3" s="1"/>
  <c r="V8" i="1"/>
  <c r="W15" i="1"/>
  <c r="O2" i="11" s="1"/>
  <c r="W6" i="1"/>
  <c r="F2" i="11" s="1"/>
  <c r="V12" i="1"/>
  <c r="V11" i="1"/>
  <c r="W10" i="1"/>
  <c r="J2" i="11" s="1"/>
  <c r="V5" i="1"/>
  <c r="W5" i="1"/>
  <c r="E2" i="11" s="1"/>
  <c r="V4" i="1"/>
  <c r="E3" i="11" l="1"/>
  <c r="F10" i="11"/>
  <c r="J5" i="11"/>
  <c r="G4" i="11"/>
  <c r="G9" i="11"/>
  <c r="O11" i="11"/>
  <c r="O12" i="11"/>
  <c r="M15" i="11"/>
  <c r="F5" i="11"/>
  <c r="D3" i="11"/>
  <c r="I3" i="11" s="1"/>
  <c r="G3" i="11"/>
  <c r="I4" i="11"/>
  <c r="V2" i="3"/>
  <c r="AC2" i="3" s="1"/>
  <c r="W20" i="3"/>
  <c r="AD20" i="3" s="1"/>
  <c r="AA20" i="3"/>
  <c r="AH20" i="3" s="1"/>
  <c r="V20" i="3"/>
  <c r="AC20" i="3" s="1"/>
  <c r="X20" i="3"/>
  <c r="AE20" i="3" s="1"/>
  <c r="Z20" i="3"/>
  <c r="AG20" i="3" s="1"/>
  <c r="Y20" i="3"/>
  <c r="AF20" i="3" s="1"/>
  <c r="W12" i="3"/>
  <c r="AD12" i="3" s="1"/>
  <c r="V12" i="3"/>
  <c r="AC12" i="3" s="1"/>
  <c r="Y12" i="3"/>
  <c r="AF12" i="3" s="1"/>
  <c r="Z12" i="3"/>
  <c r="AG12" i="3" s="1"/>
  <c r="X12" i="3"/>
  <c r="AE12" i="3" s="1"/>
  <c r="AA12" i="3"/>
  <c r="AH12" i="3" s="1"/>
  <c r="W14" i="3"/>
  <c r="AD14" i="3" s="1"/>
  <c r="Z14" i="3"/>
  <c r="AG14" i="3" s="1"/>
  <c r="V14" i="3"/>
  <c r="AC14" i="3" s="1"/>
  <c r="X14" i="3"/>
  <c r="AE14" i="3" s="1"/>
  <c r="AA14" i="3"/>
  <c r="AH14" i="3" s="1"/>
  <c r="Y14" i="3"/>
  <c r="AF14" i="3" s="1"/>
  <c r="V16" i="3"/>
  <c r="AC16" i="3" s="1"/>
  <c r="X16" i="3"/>
  <c r="AE16" i="3" s="1"/>
  <c r="W16" i="3"/>
  <c r="AD16" i="3" s="1"/>
  <c r="Z16" i="3"/>
  <c r="AG16" i="3" s="1"/>
  <c r="AA16" i="3"/>
  <c r="AH16" i="3" s="1"/>
  <c r="Y16" i="3"/>
  <c r="AF16" i="3" s="1"/>
  <c r="W6" i="3"/>
  <c r="AD6" i="3" s="1"/>
  <c r="Y6" i="3"/>
  <c r="AF6" i="3" s="1"/>
  <c r="AA6" i="3"/>
  <c r="AH6" i="3" s="1"/>
  <c r="V6" i="3"/>
  <c r="AC6" i="3" s="1"/>
  <c r="Z6" i="3"/>
  <c r="AG6" i="3" s="1"/>
  <c r="X6" i="3"/>
  <c r="AE6" i="3" s="1"/>
  <c r="Z19" i="3"/>
  <c r="AG19" i="3" s="1"/>
  <c r="Y19" i="3"/>
  <c r="AF19" i="3" s="1"/>
  <c r="X19" i="3"/>
  <c r="AE19" i="3" s="1"/>
  <c r="V19" i="3"/>
  <c r="AC19" i="3" s="1"/>
  <c r="AA19" i="3"/>
  <c r="AH19" i="3" s="1"/>
  <c r="W19" i="3"/>
  <c r="AD19" i="3" s="1"/>
  <c r="Z8" i="3"/>
  <c r="AG8" i="3" s="1"/>
  <c r="X8" i="3"/>
  <c r="AE8" i="3" s="1"/>
  <c r="W8" i="3"/>
  <c r="AD8" i="3" s="1"/>
  <c r="AA8" i="3"/>
  <c r="AH8" i="3" s="1"/>
  <c r="Y8" i="3"/>
  <c r="AF8" i="3" s="1"/>
  <c r="V8" i="3"/>
  <c r="AC8" i="3" s="1"/>
  <c r="Y17" i="3"/>
  <c r="AF17" i="3" s="1"/>
  <c r="Z17" i="3"/>
  <c r="AG17" i="3" s="1"/>
  <c r="V17" i="3"/>
  <c r="AC17" i="3" s="1"/>
  <c r="X17" i="3"/>
  <c r="AE17" i="3" s="1"/>
  <c r="W17" i="3"/>
  <c r="AD17" i="3" s="1"/>
  <c r="AA17" i="3"/>
  <c r="AH17" i="3" s="1"/>
  <c r="X11" i="3"/>
  <c r="AE11" i="3" s="1"/>
  <c r="W11" i="3"/>
  <c r="AD11" i="3" s="1"/>
  <c r="Y11" i="3"/>
  <c r="AF11" i="3" s="1"/>
  <c r="V11" i="3"/>
  <c r="AC11" i="3" s="1"/>
  <c r="AA11" i="3"/>
  <c r="AH11" i="3" s="1"/>
  <c r="Z11" i="3"/>
  <c r="AG11" i="3" s="1"/>
  <c r="V4" i="3"/>
  <c r="AC4" i="3" s="1"/>
  <c r="Z4" i="3"/>
  <c r="AG4" i="3" s="1"/>
  <c r="AA4" i="3"/>
  <c r="AH4" i="3" s="1"/>
  <c r="W4" i="3"/>
  <c r="AD4" i="3" s="1"/>
  <c r="X4" i="3"/>
  <c r="AE4" i="3" s="1"/>
  <c r="Y4" i="3"/>
  <c r="AF4" i="3" s="1"/>
  <c r="W21" i="3"/>
  <c r="AD21" i="3" s="1"/>
  <c r="AA21" i="3"/>
  <c r="AH21" i="3" s="1"/>
  <c r="Y21" i="3"/>
  <c r="AF21" i="3" s="1"/>
  <c r="X21" i="3"/>
  <c r="AE21" i="3" s="1"/>
  <c r="Z21" i="3"/>
  <c r="AG21" i="3" s="1"/>
  <c r="V21" i="3"/>
  <c r="AC21" i="3" s="1"/>
  <c r="W15" i="3"/>
  <c r="AD15" i="3" s="1"/>
  <c r="X15" i="3"/>
  <c r="AE15" i="3" s="1"/>
  <c r="Z15" i="3"/>
  <c r="AG15" i="3" s="1"/>
  <c r="AA15" i="3"/>
  <c r="AH15" i="3" s="1"/>
  <c r="V15" i="3"/>
  <c r="AC15" i="3" s="1"/>
  <c r="Y15" i="3"/>
  <c r="AF15" i="3" s="1"/>
  <c r="AA13" i="3"/>
  <c r="AH13" i="3" s="1"/>
  <c r="Y13" i="3"/>
  <c r="AF13" i="3" s="1"/>
  <c r="X13" i="3"/>
  <c r="AE13" i="3" s="1"/>
  <c r="V13" i="3"/>
  <c r="AC13" i="3" s="1"/>
  <c r="Z13" i="3"/>
  <c r="AG13" i="3" s="1"/>
  <c r="W13" i="3"/>
  <c r="AD13" i="3" s="1"/>
  <c r="AA18" i="3"/>
  <c r="AH18" i="3" s="1"/>
  <c r="Y18" i="3"/>
  <c r="AF18" i="3" s="1"/>
  <c r="Z18" i="3"/>
  <c r="AG18" i="3" s="1"/>
  <c r="V18" i="3"/>
  <c r="AC18" i="3" s="1"/>
  <c r="W18" i="3"/>
  <c r="AD18" i="3" s="1"/>
  <c r="X18" i="3"/>
  <c r="AE18" i="3" s="1"/>
  <c r="X9" i="3"/>
  <c r="AE9" i="3" s="1"/>
  <c r="Z9" i="3"/>
  <c r="AG9" i="3" s="1"/>
  <c r="Y9" i="3"/>
  <c r="AF9" i="3" s="1"/>
  <c r="W9" i="3"/>
  <c r="AD9" i="3" s="1"/>
  <c r="AA9" i="3"/>
  <c r="AH9" i="3" s="1"/>
  <c r="V9" i="3"/>
  <c r="AC9" i="3" s="1"/>
  <c r="Z22" i="3"/>
  <c r="AG22" i="3" s="1"/>
  <c r="Y22" i="3"/>
  <c r="AF22" i="3" s="1"/>
  <c r="V22" i="3"/>
  <c r="AC22" i="3" s="1"/>
  <c r="AA22" i="3"/>
  <c r="AH22" i="3" s="1"/>
  <c r="X22" i="3"/>
  <c r="AE22" i="3" s="1"/>
  <c r="W22" i="3"/>
  <c r="AD22" i="3" s="1"/>
  <c r="Z2" i="3"/>
  <c r="AG2" i="3" s="1"/>
  <c r="X2" i="3"/>
  <c r="AE2" i="3" s="1"/>
  <c r="Y2" i="3"/>
  <c r="AF2" i="3" s="1"/>
  <c r="AA2" i="3"/>
  <c r="AH2" i="3" s="1"/>
  <c r="W2" i="3"/>
  <c r="AD2" i="3" s="1"/>
  <c r="V3" i="3"/>
  <c r="AC3" i="3" s="1"/>
  <c r="AA3" i="3"/>
  <c r="AH3" i="3" s="1"/>
  <c r="Y3" i="3"/>
  <c r="AF3" i="3" s="1"/>
  <c r="Z3" i="3"/>
  <c r="AG3" i="3" s="1"/>
  <c r="W3" i="3"/>
  <c r="AD3" i="3" s="1"/>
  <c r="X3" i="3"/>
  <c r="AE3" i="3" s="1"/>
  <c r="AA7" i="3"/>
  <c r="AH7" i="3" s="1"/>
  <c r="Y7" i="3"/>
  <c r="AF7" i="3" s="1"/>
  <c r="V7" i="3"/>
  <c r="AC7" i="3" s="1"/>
  <c r="X7" i="3"/>
  <c r="AE7" i="3" s="1"/>
  <c r="Z7" i="3"/>
  <c r="AG7" i="3" s="1"/>
  <c r="W7" i="3"/>
  <c r="AD7" i="3" s="1"/>
  <c r="X5" i="3"/>
  <c r="AE5" i="3" s="1"/>
  <c r="Z5" i="3"/>
  <c r="AG5" i="3" s="1"/>
  <c r="AA5" i="3"/>
  <c r="AH5" i="3" s="1"/>
  <c r="W5" i="3"/>
  <c r="AD5" i="3" s="1"/>
  <c r="Y5" i="3"/>
  <c r="AF5" i="3" s="1"/>
  <c r="V5" i="3"/>
  <c r="AC5" i="3" s="1"/>
  <c r="W10" i="3"/>
  <c r="AD10" i="3" s="1"/>
  <c r="Y10" i="3"/>
  <c r="AF10" i="3" s="1"/>
  <c r="AA10" i="3"/>
  <c r="AH10" i="3" s="1"/>
  <c r="V10" i="3"/>
  <c r="AC10" i="3" s="1"/>
  <c r="X10" i="3"/>
  <c r="AE10" i="3" s="1"/>
  <c r="Z10" i="3"/>
  <c r="AG10" i="3" s="1"/>
</calcChain>
</file>

<file path=xl/comments1.xml><?xml version="1.0" encoding="utf-8"?>
<comments xmlns="http://schemas.openxmlformats.org/spreadsheetml/2006/main">
  <authors>
    <author>Patri, Sai Kireet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Here we have 93% of the buildings which are residential and we need 1 ONT per 2 buildings, hence the number of ONTs required are 0.93*4877/2
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table 5-6
Here multiplied by 2 because each config requires 20 gb not 10 gb
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Table 5-13, each building needs about 300 mbps, so only 1 OLT is enough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Table 5-19 only 1 OLT needed to cater to the buildings
Slightly overprovisioned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Need double the racks of Technology 3 to realise a GPON FTTH
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Patri, Sai Kireet:</t>
        </r>
        <r>
          <rPr>
            <sz val="9"/>
            <color indexed="81"/>
            <rFont val="Tahoma"/>
            <family val="2"/>
          </rPr>
          <t xml:space="preserve">
For per household speed of 100 mbps, every building needs 1 ONT of 625 Mbps
</t>
        </r>
      </text>
    </comment>
  </commentList>
</comments>
</file>

<file path=xl/sharedStrings.xml><?xml version="1.0" encoding="utf-8"?>
<sst xmlns="http://schemas.openxmlformats.org/spreadsheetml/2006/main" count="154" uniqueCount="81">
  <si>
    <t>Technology Name</t>
  </si>
  <si>
    <t>SR RN1</t>
  </si>
  <si>
    <t>SR RN2</t>
  </si>
  <si>
    <t>RN1 type</t>
  </si>
  <si>
    <t>RN2 type</t>
  </si>
  <si>
    <t>No. Of RN1</t>
  </si>
  <si>
    <t>No. Of RN2</t>
  </si>
  <si>
    <t>RN cost per client</t>
  </si>
  <si>
    <t>PS</t>
  </si>
  <si>
    <t>ONT</t>
  </si>
  <si>
    <t>OLT cost per client</t>
  </si>
  <si>
    <t>FF duct length (m)</t>
  </si>
  <si>
    <t>DF duct Length</t>
  </si>
  <si>
    <t>LMF/Cu duct length</t>
  </si>
  <si>
    <t>FF length</t>
  </si>
  <si>
    <t>DF length</t>
  </si>
  <si>
    <t>LMF/Cu Length</t>
  </si>
  <si>
    <t>Duct Cost</t>
  </si>
  <si>
    <t>Fiber Cost</t>
  </si>
  <si>
    <t>CO cost</t>
  </si>
  <si>
    <t>RN Cost</t>
  </si>
  <si>
    <t>Total Cost</t>
  </si>
  <si>
    <t>AWG</t>
  </si>
  <si>
    <t>Technology</t>
  </si>
  <si>
    <t>ADSL</t>
  </si>
  <si>
    <t>Year</t>
  </si>
  <si>
    <t>Conservative</t>
  </si>
  <si>
    <t>Likely</t>
  </si>
  <si>
    <t>Optimistic</t>
  </si>
  <si>
    <t>HH</t>
  </si>
  <si>
    <t>Cons</t>
  </si>
  <si>
    <t>Aggr</t>
  </si>
  <si>
    <t>OPEX</t>
  </si>
  <si>
    <t>Cons CF</t>
  </si>
  <si>
    <t>Likely CF</t>
  </si>
  <si>
    <t>Aggr CF</t>
  </si>
  <si>
    <t>Factor</t>
  </si>
  <si>
    <t>Cons PV</t>
  </si>
  <si>
    <t>Likely PV</t>
  </si>
  <si>
    <t>Aggr PV</t>
  </si>
  <si>
    <t>IRR</t>
  </si>
  <si>
    <t>PS+ONT+DSLAM</t>
  </si>
  <si>
    <t>Electronic Cost</t>
  </si>
  <si>
    <t>Conservative_churn</t>
  </si>
  <si>
    <t>Likely_churn</t>
  </si>
  <si>
    <t>Optimistic_churn</t>
  </si>
  <si>
    <t>Cons_churn</t>
  </si>
  <si>
    <t>Aggr_churn</t>
  </si>
  <si>
    <t>Cons CF_churn</t>
  </si>
  <si>
    <t>Likely CF_churn</t>
  </si>
  <si>
    <t>Aggr CF_churn</t>
  </si>
  <si>
    <t>Cons PV_churn</t>
  </si>
  <si>
    <t>Likely PV_churn</t>
  </si>
  <si>
    <t>Aggr PV_churn</t>
  </si>
  <si>
    <t>Cost components</t>
  </si>
  <si>
    <t>Unit</t>
  </si>
  <si>
    <t>All fiber</t>
  </si>
  <si>
    <t>Fiber_cost</t>
  </si>
  <si>
    <t>CU/m</t>
  </si>
  <si>
    <t>FF</t>
  </si>
  <si>
    <t>DF</t>
  </si>
  <si>
    <t>LMF</t>
  </si>
  <si>
    <t>Duct_cost</t>
  </si>
  <si>
    <t>Residential ONTs</t>
  </si>
  <si>
    <t>ONT Cost</t>
  </si>
  <si>
    <t>FTTC_GPON_25</t>
  </si>
  <si>
    <t>FTTB_XGPON_50</t>
  </si>
  <si>
    <t>FTTB_UDWDM_50</t>
  </si>
  <si>
    <t>FTTH_UDWDM_100</t>
  </si>
  <si>
    <t>FTTH_XGPON_100</t>
  </si>
  <si>
    <t>FTTC_GPON_100</t>
  </si>
  <si>
    <t>FTTB_XGPON_100</t>
  </si>
  <si>
    <t>FTTB_UDWDM_100</t>
  </si>
  <si>
    <t>FTTC_Hybridpon_25</t>
  </si>
  <si>
    <t>FTTB_Hybridpon_50</t>
  </si>
  <si>
    <t>FTTH_Hybridpon_100</t>
  </si>
  <si>
    <t>FTTC_Hybridpon_100</t>
  </si>
  <si>
    <t>FTTB_Hybridpon_100</t>
  </si>
  <si>
    <t>Revenue per year per subscriber</t>
  </si>
  <si>
    <t>Approx OPEX per year</t>
  </si>
  <si>
    <t>384090.367674523+20*5000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</si>
</sst>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%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</borders>
  <cellStyleXfs count="7">
    <xf numFmtId="0" fontId="0" fillId="0" borderId="0"/>
    <xf numFmtId="0" fontId="3" fillId="0" borderId="0"/>
    <xf numFmtId="0" fontId="4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3" borderId="2" applyNumberFormat="0" applyAlignment="0" applyProtection="0"/>
    <xf numFmtId="0" fontId="6" fillId="4" borderId="3" applyNumberFormat="0" applyAlignment="0" applyProtection="0"/>
    <xf numFmtId="0" fontId="7" fillId="4" borderId="2" applyNumberFormat="0" applyAlignment="0" applyProtection="0"/>
  </cellStyleXfs>
  <cellXfs count="15">
    <xf numFmtId="0" fontId="0" fillId="0" borderId="0" xfId="0"/>
    <xf numFmtId="0" fontId="3" fillId="0" borderId="0" xfId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0" fontId="4" fillId="0" borderId="1" xfId="2"/>
    <xf numFmtId="0" fontId="4" fillId="0" borderId="4" xfId="3" applyBorder="1"/>
    <xf numFmtId="0" fontId="5" fillId="3" borderId="2" xfId="4"/>
    <xf numFmtId="0" fontId="7" fillId="4" borderId="2" xfId="6"/>
    <xf numFmtId="0" fontId="6" fillId="4" borderId="3" xfId="5"/>
    <xf numFmtId="0" fontId="0" fillId="0" borderId="0" xfId="0"/>
    <xf numFmtId="0" fontId="8" fillId="0" borderId="5" xfId="0" applyFont="1" applyBorder="1"/>
    <xf numFmtId="0" fontId="8" fillId="5" borderId="6" xfId="0" applyFont="1" applyFill="1" applyBorder="1"/>
    <xf numFmtId="0" fontId="8" fillId="0" borderId="7" xfId="0" applyFont="1" applyBorder="1"/>
  </cellXfs>
  <cellStyles count="7">
    <cellStyle name="Calculation" xfId="6" builtinId="22"/>
    <cellStyle name="Heading 3" xfId="2" builtinId="18"/>
    <cellStyle name="Heading 4" xfId="3" builtinId="19"/>
    <cellStyle name="Input" xfId="4" builtinId="20"/>
    <cellStyle name="Normal" xfId="0" builtinId="0"/>
    <cellStyle name="Output" xfId="5" builtinId="21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Capital Expenditure of various technologies in Residential Scenario</a:t>
            </a:r>
          </a:p>
        </c:rich>
      </c:tx>
      <c:layout/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CAPEX!$R$1</c:f>
              <c:strCache>
                <c:ptCount val="1"/>
                <c:pt idx="0">
                  <c:v>Duct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CAPEX!$R$3:$R$15</c:f>
              <c:numCache>
                <c:formatCode>General</c:formatCode>
                <c:ptCount val="13"/>
                <c:pt idx="0">
                  <c:v>122492.30468757232</c:v>
                </c:pt>
                <c:pt idx="1">
                  <c:v>220258.5472510673</c:v>
                </c:pt>
                <c:pt idx="2">
                  <c:v>136195.87571102803</c:v>
                </c:pt>
                <c:pt idx="3">
                  <c:v>136195.87571102803</c:v>
                </c:pt>
                <c:pt idx="4">
                  <c:v>220258.5472510673</c:v>
                </c:pt>
                <c:pt idx="5">
                  <c:v>122492.30468757232</c:v>
                </c:pt>
                <c:pt idx="6">
                  <c:v>220258.5472510673</c:v>
                </c:pt>
                <c:pt idx="7">
                  <c:v>136195.87571102803</c:v>
                </c:pt>
                <c:pt idx="8">
                  <c:v>81959.434330663411</c:v>
                </c:pt>
                <c:pt idx="9">
                  <c:v>181766.91113571086</c:v>
                </c:pt>
                <c:pt idx="10">
                  <c:v>181766.91113571086</c:v>
                </c:pt>
                <c:pt idx="11">
                  <c:v>180489.8749974439</c:v>
                </c:pt>
                <c:pt idx="12">
                  <c:v>181766.91113571086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7DD-494B-898C-2092A609AD86}"/>
            </c:ext>
          </c:extLst>
        </c:ser>
        <c:ser>
          <c:idx val="1"/>
          <c:order val="1"/>
          <c:tx>
            <c:strRef>
              <c:f>CAPEX!$S$1</c:f>
              <c:strCache>
                <c:ptCount val="1"/>
                <c:pt idx="0">
                  <c:v>Fiber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CAPEX!$S$3:$S$15</c:f>
              <c:numCache>
                <c:formatCode>General</c:formatCode>
                <c:ptCount val="13"/>
                <c:pt idx="0">
                  <c:v>181054.59289743542</c:v>
                </c:pt>
                <c:pt idx="1">
                  <c:v>123148.20881095782</c:v>
                </c:pt>
                <c:pt idx="2">
                  <c:v>140422.50368463391</c:v>
                </c:pt>
                <c:pt idx="3">
                  <c:v>140422.50368463391</c:v>
                </c:pt>
                <c:pt idx="4">
                  <c:v>123148.20881095782</c:v>
                </c:pt>
                <c:pt idx="5">
                  <c:v>181054.59289743542</c:v>
                </c:pt>
                <c:pt idx="6">
                  <c:v>123148.20881095782</c:v>
                </c:pt>
                <c:pt idx="7">
                  <c:v>140422.50368463391</c:v>
                </c:pt>
                <c:pt idx="8">
                  <c:v>121030.53463843174</c:v>
                </c:pt>
                <c:pt idx="9">
                  <c:v>117354.15161378775</c:v>
                </c:pt>
                <c:pt idx="10">
                  <c:v>99287.142993292597</c:v>
                </c:pt>
                <c:pt idx="11">
                  <c:v>121030.53463843174</c:v>
                </c:pt>
                <c:pt idx="12">
                  <c:v>91410.786993292611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7DD-494B-898C-2092A609AD86}"/>
            </c:ext>
          </c:extLst>
        </c:ser>
        <c:ser>
          <c:idx val="2"/>
          <c:order val="2"/>
          <c:tx>
            <c:strRef>
              <c:f>CAPEX!$T$1</c:f>
              <c:strCache>
                <c:ptCount val="1"/>
                <c:pt idx="0">
                  <c:v>CO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CAPEX!$T$3:$T$15</c:f>
              <c:numCache>
                <c:formatCode>General</c:formatCode>
                <c:ptCount val="13"/>
                <c:pt idx="0">
                  <c:v>11620</c:v>
                </c:pt>
                <c:pt idx="1">
                  <c:v>16300</c:v>
                </c:pt>
                <c:pt idx="2">
                  <c:v>22950</c:v>
                </c:pt>
                <c:pt idx="3">
                  <c:v>160450</c:v>
                </c:pt>
                <c:pt idx="4">
                  <c:v>93800</c:v>
                </c:pt>
                <c:pt idx="5">
                  <c:v>15652</c:v>
                </c:pt>
                <c:pt idx="6">
                  <c:v>32500</c:v>
                </c:pt>
                <c:pt idx="7">
                  <c:v>39200</c:v>
                </c:pt>
                <c:pt idx="8">
                  <c:v>11720</c:v>
                </c:pt>
                <c:pt idx="9">
                  <c:v>24000</c:v>
                </c:pt>
                <c:pt idx="10">
                  <c:v>48000</c:v>
                </c:pt>
                <c:pt idx="11">
                  <c:v>46280</c:v>
                </c:pt>
                <c:pt idx="12">
                  <c:v>48000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37DD-494B-898C-2092A609AD86}"/>
            </c:ext>
          </c:extLst>
        </c:ser>
        <c:ser>
          <c:idx val="3"/>
          <c:order val="3"/>
          <c:tx>
            <c:strRef>
              <c:f>CAPEX!$U$1</c:f>
              <c:strCache>
                <c:ptCount val="1"/>
                <c:pt idx="0">
                  <c:v>RN Cost</c:v>
                </c:pt>
              </c:strCache>
            </c:strRef>
          </c:tx>
          <c:invertIfNegative val="0"/>
          <c:cat>
            <c:strRef>
              <c:f>CAPEX!$A$3:$A$15</c:f>
              <c:strCache>
                <c:ptCount val="13"/>
                <c:pt idx="0">
                  <c:v>FTTC_GPON_25</c:v>
                </c:pt>
                <c:pt idx="1">
                  <c:v>FTTB_XGPON_50</c:v>
                </c:pt>
                <c:pt idx="2">
                  <c:v>FTTB_UDWDM_50</c:v>
                </c:pt>
                <c:pt idx="3">
                  <c:v>FTTH_UDWDM_100</c:v>
                </c:pt>
                <c:pt idx="4">
                  <c:v>FTTH_XGPON_100</c:v>
                </c:pt>
                <c:pt idx="5">
                  <c:v>FTTC_GPON_100</c:v>
                </c:pt>
                <c:pt idx="6">
                  <c:v>FTTB_XGPON_100</c:v>
                </c:pt>
                <c:pt idx="7">
                  <c:v>FTTB_UDWDM_100</c:v>
                </c:pt>
                <c:pt idx="8">
                  <c:v>FTTC_Hybridpon_25</c:v>
                </c:pt>
                <c:pt idx="9">
                  <c:v>FTTB_Hybridpon_50</c:v>
                </c:pt>
                <c:pt idx="10">
                  <c:v>FTTH_Hybridpon_100</c:v>
                </c:pt>
                <c:pt idx="11">
                  <c:v>FTTC_Hybridpon_100</c:v>
                </c:pt>
                <c:pt idx="12">
                  <c:v>FTTB_Hybridpon_100</c:v>
                </c:pt>
              </c:strCache>
            </c:strRef>
          </c:cat>
          <c:val>
            <c:numRef>
              <c:f>CAPEX!$U$3:$U$15</c:f>
              <c:numCache>
                <c:formatCode>General</c:formatCode>
                <c:ptCount val="13"/>
                <c:pt idx="0">
                  <c:v>370153.6</c:v>
                </c:pt>
                <c:pt idx="1">
                  <c:v>129194.4</c:v>
                </c:pt>
                <c:pt idx="2">
                  <c:v>133630</c:v>
                </c:pt>
                <c:pt idx="3">
                  <c:v>210910</c:v>
                </c:pt>
                <c:pt idx="4">
                  <c:v>215594</c:v>
                </c:pt>
                <c:pt idx="5">
                  <c:v>465444</c:v>
                </c:pt>
                <c:pt idx="6">
                  <c:v>126045.59999999999</c:v>
                </c:pt>
                <c:pt idx="7">
                  <c:v>133630</c:v>
                </c:pt>
                <c:pt idx="8">
                  <c:v>228761.2</c:v>
                </c:pt>
                <c:pt idx="9">
                  <c:v>135438.20000000001</c:v>
                </c:pt>
                <c:pt idx="10">
                  <c:v>90438.2</c:v>
                </c:pt>
                <c:pt idx="11">
                  <c:v>245231.2</c:v>
                </c:pt>
                <c:pt idx="12">
                  <c:v>135438.20000000001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37DD-494B-898C-2092A609A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404736"/>
        <c:axId val="94001920"/>
      </c:barChart>
      <c:catAx>
        <c:axId val="1564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Technology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94001920"/>
        <c:crosses val="autoZero"/>
        <c:auto val="1"/>
        <c:lblAlgn val="ctr"/>
        <c:lblOffset val="100"/>
        <c:noMultiLvlLbl val="0"/>
      </c:catAx>
      <c:valAx>
        <c:axId val="94001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Cost in C.U.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6404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1"/>
          <c:order val="0"/>
          <c:tx>
            <c:strRef>
              <c:f>CAPEX!$A$3</c:f>
              <c:strCache>
                <c:ptCount val="1"/>
                <c:pt idx="0">
                  <c:v>FTTC_GPON_25</c:v>
                </c:pt>
              </c:strCache>
            </c:strRef>
          </c:tx>
          <c:cat>
            <c:strRef>
              <c:f>CAPEX!$R$1:$U$1</c:f>
              <c:strCache>
                <c:ptCount val="4"/>
                <c:pt idx="0">
                  <c:v>Duct Cost</c:v>
                </c:pt>
                <c:pt idx="1">
                  <c:v>Fiber Cost</c:v>
                </c:pt>
                <c:pt idx="2">
                  <c:v>CO cost</c:v>
                </c:pt>
                <c:pt idx="3">
                  <c:v>RN Cost</c:v>
                </c:pt>
              </c:strCache>
            </c:strRef>
          </c:cat>
          <c:val>
            <c:numRef>
              <c:f>CAPEX!$R$3:$U$3</c:f>
              <c:numCache>
                <c:formatCode>General</c:formatCode>
                <c:ptCount val="4"/>
                <c:pt idx="0">
                  <c:v>122492.30468757232</c:v>
                </c:pt>
                <c:pt idx="1">
                  <c:v>181054.59289743542</c:v>
                </c:pt>
                <c:pt idx="2">
                  <c:v>11620</c:v>
                </c:pt>
                <c:pt idx="3">
                  <c:v>370153.6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E8-43A2-851D-BC93CBA0B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Approx. OPEX per year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OPEX!$B$1</c:f>
              <c:strCache>
                <c:ptCount val="1"/>
                <c:pt idx="0">
                  <c:v>Approx OPEX per year</c:v>
                </c:pt>
              </c:strCache>
            </c:strRef>
          </c:tx>
          <c:invertIfNegative val="0"/>
          <c:cat>
            <c:strRef>
              <c:f>OPEX!$A$2:$A$15</c:f>
              <c:strCache>
                <c:ptCount val="14"/>
                <c:pt idx="0">
                  <c:v>ADSL</c:v>
                </c:pt>
                <c:pt idx="1">
                  <c:v>FTTC_GPON_25</c:v>
                </c:pt>
                <c:pt idx="2">
                  <c:v>FTTB_XGPON_50</c:v>
                </c:pt>
                <c:pt idx="3">
                  <c:v>FTTB_UDWDM_50</c:v>
                </c:pt>
                <c:pt idx="4">
                  <c:v>FTTH_UDWDM_100</c:v>
                </c:pt>
                <c:pt idx="5">
                  <c:v>FTTH_XGPON_100</c:v>
                </c:pt>
                <c:pt idx="6">
                  <c:v>FTTC_GPON_100</c:v>
                </c:pt>
                <c:pt idx="7">
                  <c:v>FTTB_XGPON_100</c:v>
                </c:pt>
                <c:pt idx="8">
                  <c:v>FTTB_UDWDM_100</c:v>
                </c:pt>
                <c:pt idx="9">
                  <c:v>FTTC_Hybridpon_25</c:v>
                </c:pt>
                <c:pt idx="10">
                  <c:v>FTTB_Hybridpon_50</c:v>
                </c:pt>
                <c:pt idx="11">
                  <c:v>FTTH_Hybridpon_100</c:v>
                </c:pt>
                <c:pt idx="12">
                  <c:v>FTTC_Hybridpon_100</c:v>
                </c:pt>
                <c:pt idx="13">
                  <c:v>FTTB_Hybridpon_100</c:v>
                </c:pt>
              </c:strCache>
            </c:strRef>
          </c:cat>
          <c:val>
            <c:numRef>
              <c:f>OPEX!$B$2:$B$15</c:f>
              <c:numCache>
                <c:formatCode>General</c:formatCode>
                <c:ptCount val="14"/>
                <c:pt idx="0">
                  <c:v>10000</c:v>
                </c:pt>
                <c:pt idx="1">
                  <c:v>19283.042118970367</c:v>
                </c:pt>
                <c:pt idx="2">
                  <c:v>43709.823692218881</c:v>
                </c:pt>
                <c:pt idx="3">
                  <c:v>44248.4220525376</c:v>
                </c:pt>
                <c:pt idx="4">
                  <c:v>19212.762708578561</c:v>
                </c:pt>
                <c:pt idx="5">
                  <c:v>11938.918689039821</c:v>
                </c:pt>
                <c:pt idx="6">
                  <c:v>50983.71612182937</c:v>
                </c:pt>
                <c:pt idx="7">
                  <c:v>47726.863400003029</c:v>
                </c:pt>
                <c:pt idx="8">
                  <c:v>48220.289169209609</c:v>
                </c:pt>
                <c:pt idx="9">
                  <c:v>37682.867713520049</c:v>
                </c:pt>
                <c:pt idx="10">
                  <c:v>44827.8721002112</c:v>
                </c:pt>
                <c:pt idx="11">
                  <c:v>12139.814930199653</c:v>
                </c:pt>
                <c:pt idx="12">
                  <c:v>47419.574760442287</c:v>
                </c:pt>
                <c:pt idx="13">
                  <c:v>50088.476920599649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8F6-416E-AD21-7DE814CEB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438016"/>
        <c:axId val="156662528"/>
      </c:barChart>
      <c:catAx>
        <c:axId val="1804380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6662528"/>
        <c:crosses val="autoZero"/>
        <c:auto val="1"/>
        <c:lblAlgn val="ctr"/>
        <c:lblOffset val="100"/>
        <c:noMultiLvlLbl val="0"/>
      </c:catAx>
      <c:valAx>
        <c:axId val="1566625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Cost Units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0438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Revenue per year per subscriber</c:v>
          </c:tx>
          <c:invertIfNegative val="0"/>
          <c:cat>
            <c:strRef>
              <c:f>OPEX!$A$2:$A$15</c:f>
              <c:strCache>
                <c:ptCount val="14"/>
                <c:pt idx="0">
                  <c:v>ADSL</c:v>
                </c:pt>
                <c:pt idx="1">
                  <c:v>FTTC_GPON_25</c:v>
                </c:pt>
                <c:pt idx="2">
                  <c:v>FTTB_XGPON_50</c:v>
                </c:pt>
                <c:pt idx="3">
                  <c:v>FTTB_UDWDM_50</c:v>
                </c:pt>
                <c:pt idx="4">
                  <c:v>FTTH_UDWDM_100</c:v>
                </c:pt>
                <c:pt idx="5">
                  <c:v>FTTH_XGPON_100</c:v>
                </c:pt>
                <c:pt idx="6">
                  <c:v>FTTC_GPON_100</c:v>
                </c:pt>
                <c:pt idx="7">
                  <c:v>FTTB_XGPON_100</c:v>
                </c:pt>
                <c:pt idx="8">
                  <c:v>FTTB_UDWDM_100</c:v>
                </c:pt>
                <c:pt idx="9">
                  <c:v>FTTC_Hybridpon_25</c:v>
                </c:pt>
                <c:pt idx="10">
                  <c:v>FTTB_Hybridpon_50</c:v>
                </c:pt>
                <c:pt idx="11">
                  <c:v>FTTH_Hybridpon_100</c:v>
                </c:pt>
                <c:pt idx="12">
                  <c:v>FTTC_Hybridpon_100</c:v>
                </c:pt>
                <c:pt idx="13">
                  <c:v>FTTB_Hybridpon_100</c:v>
                </c:pt>
              </c:strCache>
            </c:strRef>
          </c:cat>
          <c:val>
            <c:numRef>
              <c:f>OPEX!$C$2:$C$15</c:f>
              <c:numCache>
                <c:formatCode>General</c:formatCode>
                <c:ptCount val="14"/>
                <c:pt idx="0">
                  <c:v>3.6</c:v>
                </c:pt>
                <c:pt idx="1">
                  <c:v>7.2</c:v>
                </c:pt>
                <c:pt idx="2">
                  <c:v>9.6</c:v>
                </c:pt>
                <c:pt idx="3">
                  <c:v>9.6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7.2</c:v>
                </c:pt>
                <c:pt idx="10">
                  <c:v>9.6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DCA-4663-830D-82651783C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929984"/>
        <c:axId val="159965760"/>
      </c:barChart>
      <c:catAx>
        <c:axId val="85929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Technologies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159965760"/>
        <c:crosses val="autoZero"/>
        <c:auto val="1"/>
        <c:lblAlgn val="ctr"/>
        <c:lblOffset val="100"/>
        <c:noMultiLvlLbl val="0"/>
      </c:catAx>
      <c:valAx>
        <c:axId val="1599657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Cost Units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929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857250</xdr:colOff>
      <xdr:row>16</xdr:row>
      <xdr:rowOff>152400</xdr:rowOff>
    </xdr:from>
    <xdr:to>
      <xdr:col>11</xdr:col>
      <xdr:colOff>695324</xdr:colOff>
      <xdr:row>44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361950</xdr:colOff>
      <xdr:row>17</xdr:row>
      <xdr:rowOff>14287</xdr:rowOff>
    </xdr:from>
    <xdr:to>
      <xdr:col>23</xdr:col>
      <xdr:colOff>209550</xdr:colOff>
      <xdr:row>31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18</xdr:row>
      <xdr:rowOff>95250</xdr:rowOff>
    </xdr:from>
    <xdr:to>
      <xdr:col>10</xdr:col>
      <xdr:colOff>266700</xdr:colOff>
      <xdr:row>46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209549</xdr:colOff>
      <xdr:row>5</xdr:row>
      <xdr:rowOff>133350</xdr:rowOff>
    </xdr:from>
    <xdr:to>
      <xdr:col>22</xdr:col>
      <xdr:colOff>523874</xdr:colOff>
      <xdr:row>36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65"/>
  <sheetViews>
    <sheetView topLeftCell="I1" workbookViewId="0">
      <selection activeCell="N24" sqref="N24"/>
    </sheetView>
  </sheetViews>
  <sheetFormatPr defaultRowHeight="15" x14ac:dyDescent="0.25"/>
  <cols>
    <col min="1" max="1" width="29.42578125" customWidth="1"/>
    <col min="2" max="2" width="18.7109375" customWidth="1"/>
    <col min="3" max="3" width="18.28515625" customWidth="1"/>
    <col min="4" max="4" width="15.140625" customWidth="1"/>
    <col min="5" max="5" width="13.42578125" customWidth="1"/>
    <col min="6" max="6" width="13.5703125" customWidth="1"/>
    <col min="7" max="7" width="17.42578125" customWidth="1"/>
    <col min="8" max="9" width="19.140625" customWidth="1"/>
    <col min="10" max="10" width="14" customWidth="1"/>
    <col min="11" max="11" width="13.42578125" customWidth="1"/>
    <col min="12" max="12" width="16.7109375" customWidth="1"/>
    <col min="13" max="13" width="16.42578125" customWidth="1"/>
    <col min="14" max="14" width="22.140625" customWidth="1"/>
    <col min="15" max="15" width="13.5703125" customWidth="1"/>
    <col min="16" max="17" width="11.7109375" customWidth="1"/>
    <col min="23" max="23" width="13.42578125" customWidth="1"/>
  </cols>
  <sheetData>
    <row r="1" spans="1:23" ht="14.45" x14ac:dyDescent="0.3">
      <c r="A1" s="7" t="s">
        <v>0</v>
      </c>
      <c r="B1" s="7" t="s">
        <v>63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10</v>
      </c>
      <c r="H1" s="7" t="s">
        <v>7</v>
      </c>
      <c r="I1" s="7" t="s">
        <v>64</v>
      </c>
      <c r="J1" s="7" t="s">
        <v>5</v>
      </c>
      <c r="K1" s="7" t="s">
        <v>6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42</v>
      </c>
      <c r="W1" s="7" t="s">
        <v>21</v>
      </c>
    </row>
    <row r="2" spans="1:23" ht="14.45" x14ac:dyDescent="0.3">
      <c r="A2" s="7" t="s">
        <v>24</v>
      </c>
      <c r="B2" s="8">
        <v>0</v>
      </c>
      <c r="C2" s="8">
        <v>8</v>
      </c>
      <c r="D2" s="8">
        <v>4</v>
      </c>
      <c r="E2" s="8" t="s">
        <v>8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9"/>
      <c r="T2" s="9"/>
      <c r="U2" s="9"/>
      <c r="V2" s="9">
        <v>10000</v>
      </c>
      <c r="W2" s="10">
        <v>10000</v>
      </c>
    </row>
    <row r="3" spans="1:23" x14ac:dyDescent="0.25">
      <c r="A3" s="7" t="s">
        <v>65</v>
      </c>
      <c r="B3" s="8">
        <f>CEILING((4877+0.1*4877)/2,1)</f>
        <v>2683</v>
      </c>
      <c r="C3" s="8">
        <v>8</v>
      </c>
      <c r="D3" s="8">
        <v>4</v>
      </c>
      <c r="E3" s="8" t="s">
        <v>8</v>
      </c>
      <c r="F3" s="8" t="s">
        <v>9</v>
      </c>
      <c r="G3" s="8">
        <f>0.64</f>
        <v>0.64</v>
      </c>
      <c r="H3" s="8">
        <f>0.88</f>
        <v>0.88</v>
      </c>
      <c r="I3" s="8">
        <v>1</v>
      </c>
      <c r="J3" s="8">
        <v>156</v>
      </c>
      <c r="K3" s="8">
        <v>1244</v>
      </c>
      <c r="L3" s="8">
        <v>31505.122417993502</v>
      </c>
      <c r="M3" s="8">
        <v>54442.326843564399</v>
      </c>
      <c r="N3" s="8">
        <v>68598.261692039698</v>
      </c>
      <c r="O3" s="8">
        <v>171056.49354431301</v>
      </c>
      <c r="P3" s="8">
        <v>85582.633114971599</v>
      </c>
      <c r="Q3" s="8">
        <v>685372.28279667499</v>
      </c>
      <c r="R3" s="11">
        <v>122492.30468757232</v>
      </c>
      <c r="S3" s="11">
        <v>181054.59289743542</v>
      </c>
      <c r="T3" s="11">
        <v>11620</v>
      </c>
      <c r="U3" s="11">
        <v>370153.6</v>
      </c>
      <c r="V3" s="9">
        <f>SUM(T3,U3)</f>
        <v>381773.6</v>
      </c>
      <c r="W3" s="10">
        <f>R3+S3+T3+U3</f>
        <v>685320.49758500769</v>
      </c>
    </row>
    <row r="4" spans="1:23" x14ac:dyDescent="0.25">
      <c r="A4" s="7" t="s">
        <v>66</v>
      </c>
      <c r="B4" s="8">
        <f>CEILING(4877+0.1*(4877),1)</f>
        <v>5365</v>
      </c>
      <c r="C4" s="8">
        <v>8</v>
      </c>
      <c r="D4" s="8">
        <v>8</v>
      </c>
      <c r="E4" s="8" t="s">
        <v>8</v>
      </c>
      <c r="F4" s="8" t="s">
        <v>8</v>
      </c>
      <c r="G4" s="8">
        <f>0.3</f>
        <v>0.3</v>
      </c>
      <c r="H4" s="8">
        <f>0.58</f>
        <v>0.57999999999999996</v>
      </c>
      <c r="I4" s="8">
        <v>1.8</v>
      </c>
      <c r="J4" s="8">
        <v>156</v>
      </c>
      <c r="K4" s="8">
        <v>610</v>
      </c>
      <c r="L4" s="8">
        <v>31505.122417993502</v>
      </c>
      <c r="M4" s="8">
        <v>54442.326843564399</v>
      </c>
      <c r="N4" s="8">
        <v>68598.261692039698</v>
      </c>
      <c r="O4" s="8">
        <v>171056.49354431301</v>
      </c>
      <c r="P4" s="8">
        <v>85582.633114971599</v>
      </c>
      <c r="Q4" s="8">
        <v>384090.36767452297</v>
      </c>
      <c r="R4" s="11">
        <v>220258.5472510673</v>
      </c>
      <c r="S4" s="11">
        <v>123148.20881095782</v>
      </c>
      <c r="T4" s="11">
        <v>16300</v>
      </c>
      <c r="U4" s="11">
        <v>129194.4</v>
      </c>
      <c r="V4" s="9">
        <f t="shared" ref="V4:V15" si="0">SUM(T4,U4)</f>
        <v>145494.39999999999</v>
      </c>
      <c r="W4" s="10">
        <f t="shared" ref="W4:W15" si="1">R4+S4+T4+U4</f>
        <v>488901.15606202511</v>
      </c>
    </row>
    <row r="5" spans="1:23" x14ac:dyDescent="0.25">
      <c r="A5" s="7" t="s">
        <v>67</v>
      </c>
      <c r="B5" s="8">
        <f>CEILING(4877+0.1*(4877),1)</f>
        <v>5365</v>
      </c>
      <c r="C5" s="8">
        <v>80</v>
      </c>
      <c r="D5" s="8">
        <v>0</v>
      </c>
      <c r="E5" s="8" t="s">
        <v>22</v>
      </c>
      <c r="F5" s="8"/>
      <c r="G5" s="8">
        <v>1.18</v>
      </c>
      <c r="H5" s="8">
        <v>0.3</v>
      </c>
      <c r="I5" s="8">
        <v>1.86</v>
      </c>
      <c r="J5" s="8">
        <v>61</v>
      </c>
      <c r="K5" s="8">
        <v>4877</v>
      </c>
      <c r="L5" s="8">
        <v>23362.458319857102</v>
      </c>
      <c r="M5" s="8">
        <v>0</v>
      </c>
      <c r="N5" s="8">
        <v>72200.182510221493</v>
      </c>
      <c r="O5" s="8">
        <v>72320.005945671393</v>
      </c>
      <c r="P5" s="8">
        <v>0</v>
      </c>
      <c r="Q5" s="8">
        <v>658286.15266324603</v>
      </c>
      <c r="R5" s="11">
        <v>136195.87571102803</v>
      </c>
      <c r="S5" s="11">
        <v>140422.50368463391</v>
      </c>
      <c r="T5" s="11">
        <v>22950</v>
      </c>
      <c r="U5" s="11">
        <v>133630</v>
      </c>
      <c r="V5" s="9">
        <f t="shared" si="0"/>
        <v>156580</v>
      </c>
      <c r="W5" s="10">
        <f t="shared" si="1"/>
        <v>433198.37939566193</v>
      </c>
    </row>
    <row r="6" spans="1:23" x14ac:dyDescent="0.25">
      <c r="A6" s="7" t="s">
        <v>68</v>
      </c>
      <c r="B6" s="8">
        <f>CEILING(29262+0.1*29262,1)</f>
        <v>32189</v>
      </c>
      <c r="C6" s="8">
        <v>80</v>
      </c>
      <c r="D6" s="8">
        <v>8</v>
      </c>
      <c r="E6" s="8" t="s">
        <v>22</v>
      </c>
      <c r="F6" s="8" t="s">
        <v>8</v>
      </c>
      <c r="G6" s="8">
        <f>1.99/3</f>
        <v>0.66333333333333333</v>
      </c>
      <c r="H6" s="8">
        <f>0.26</f>
        <v>0.26</v>
      </c>
      <c r="I6" s="8">
        <v>3.07</v>
      </c>
      <c r="J6" s="8">
        <v>61</v>
      </c>
      <c r="K6" s="8">
        <v>4877</v>
      </c>
      <c r="L6" s="8">
        <v>23362.458319857102</v>
      </c>
      <c r="M6" s="8">
        <v>0</v>
      </c>
      <c r="N6" s="8">
        <v>72200.182510221493</v>
      </c>
      <c r="O6" s="8">
        <v>72320.005945671393</v>
      </c>
      <c r="P6" s="8">
        <v>0</v>
      </c>
      <c r="Q6" s="8">
        <f>658286.152663246+(20*5000)</f>
        <v>758286.15266324603</v>
      </c>
      <c r="R6" s="11">
        <v>136195.87571102803</v>
      </c>
      <c r="S6" s="11">
        <v>140422.50368463391</v>
      </c>
      <c r="T6" s="11">
        <v>160450</v>
      </c>
      <c r="U6" s="11">
        <v>210910</v>
      </c>
      <c r="V6" s="9">
        <f t="shared" si="0"/>
        <v>371360</v>
      </c>
      <c r="W6" s="10">
        <f t="shared" si="1"/>
        <v>647978.37939566188</v>
      </c>
    </row>
    <row r="7" spans="1:23" x14ac:dyDescent="0.25">
      <c r="A7" s="7" t="s">
        <v>69</v>
      </c>
      <c r="B7" s="8">
        <f>CEILING(29262+0.1*29262,1)</f>
        <v>32189</v>
      </c>
      <c r="C7" s="8">
        <v>8</v>
      </c>
      <c r="D7" s="8">
        <v>8</v>
      </c>
      <c r="E7" s="8" t="s">
        <v>8</v>
      </c>
      <c r="F7" s="8" t="s">
        <v>8</v>
      </c>
      <c r="G7" s="8">
        <f>0.3</f>
        <v>0.3</v>
      </c>
      <c r="H7" s="8">
        <f>0.58</f>
        <v>0.57999999999999996</v>
      </c>
      <c r="I7" s="8">
        <v>1.8</v>
      </c>
      <c r="J7" s="8">
        <v>8</v>
      </c>
      <c r="K7" s="8">
        <v>151</v>
      </c>
      <c r="L7" s="8">
        <v>31505.122417993502</v>
      </c>
      <c r="M7" s="8">
        <v>54442.326843564399</v>
      </c>
      <c r="N7" s="8">
        <v>68598.261692039698</v>
      </c>
      <c r="O7" s="8">
        <v>171056.49354431301</v>
      </c>
      <c r="P7" s="8">
        <v>85582.633114971599</v>
      </c>
      <c r="Q7" s="8" t="s">
        <v>80</v>
      </c>
      <c r="R7" s="11">
        <v>220258.5472510673</v>
      </c>
      <c r="S7" s="11">
        <v>123148.20881095782</v>
      </c>
      <c r="T7" s="11">
        <v>93800</v>
      </c>
      <c r="U7" s="11">
        <v>215594</v>
      </c>
      <c r="V7" s="9">
        <f t="shared" si="0"/>
        <v>309394</v>
      </c>
      <c r="W7" s="10">
        <f t="shared" si="1"/>
        <v>652800.75606202509</v>
      </c>
    </row>
    <row r="8" spans="1:23" x14ac:dyDescent="0.25">
      <c r="A8" s="7" t="s">
        <v>70</v>
      </c>
      <c r="B8" s="8">
        <f>CEILING(4877+0.1*(4877),1)</f>
        <v>5365</v>
      </c>
      <c r="C8" s="8">
        <v>8</v>
      </c>
      <c r="D8" s="8">
        <v>4</v>
      </c>
      <c r="E8" s="8" t="s">
        <v>8</v>
      </c>
      <c r="F8" s="8" t="s">
        <v>41</v>
      </c>
      <c r="G8" s="8">
        <v>1.3</v>
      </c>
      <c r="H8" s="8">
        <v>1.58</v>
      </c>
      <c r="I8" s="8">
        <v>1</v>
      </c>
      <c r="J8" s="8">
        <v>156</v>
      </c>
      <c r="K8" s="8">
        <v>1244</v>
      </c>
      <c r="L8" s="8">
        <v>31505.122417993502</v>
      </c>
      <c r="M8" s="8">
        <v>54442.326843564399</v>
      </c>
      <c r="N8" s="8">
        <v>68598.261692039698</v>
      </c>
      <c r="O8" s="8">
        <v>171056.49354431301</v>
      </c>
      <c r="P8" s="8">
        <v>85582.633114971599</v>
      </c>
      <c r="Q8" s="8">
        <v>685372.28279667499</v>
      </c>
      <c r="R8" s="11">
        <v>122492.30468757232</v>
      </c>
      <c r="S8" s="11">
        <v>181054.59289743542</v>
      </c>
      <c r="T8" s="11">
        <v>15652</v>
      </c>
      <c r="U8" s="11">
        <v>465444</v>
      </c>
      <c r="V8" s="9">
        <f t="shared" si="0"/>
        <v>481096</v>
      </c>
      <c r="W8" s="10">
        <f t="shared" si="1"/>
        <v>784642.89758500771</v>
      </c>
    </row>
    <row r="9" spans="1:23" x14ac:dyDescent="0.25">
      <c r="A9" s="7" t="s">
        <v>71</v>
      </c>
      <c r="B9" s="8">
        <f t="shared" ref="B9:B15" si="2">CEILING(4877+0.1*(4877),1)</f>
        <v>5365</v>
      </c>
      <c r="C9" s="8">
        <v>8</v>
      </c>
      <c r="D9" s="8">
        <v>8</v>
      </c>
      <c r="E9" s="8" t="s">
        <v>8</v>
      </c>
      <c r="F9" s="8" t="s">
        <v>8</v>
      </c>
      <c r="G9" s="8">
        <v>0.72</v>
      </c>
      <c r="H9" s="8">
        <v>0.94</v>
      </c>
      <c r="I9" s="8">
        <v>1.8</v>
      </c>
      <c r="J9" s="8">
        <v>19</v>
      </c>
      <c r="K9" s="8">
        <v>151</v>
      </c>
      <c r="L9" s="8">
        <v>31505.122417993502</v>
      </c>
      <c r="M9" s="8">
        <v>54442.326843564399</v>
      </c>
      <c r="N9" s="8">
        <v>68598.261692039698</v>
      </c>
      <c r="O9" s="8">
        <v>171056.49354431301</v>
      </c>
      <c r="P9" s="8">
        <v>85582.633114971599</v>
      </c>
      <c r="Q9" s="8">
        <v>384090.36767452297</v>
      </c>
      <c r="R9" s="11">
        <v>220258.5472510673</v>
      </c>
      <c r="S9" s="11">
        <v>123148.20881095782</v>
      </c>
      <c r="T9" s="11">
        <v>32500</v>
      </c>
      <c r="U9" s="11">
        <v>126045.59999999999</v>
      </c>
      <c r="V9" s="9">
        <f t="shared" si="0"/>
        <v>158545.59999999998</v>
      </c>
      <c r="W9" s="10">
        <f t="shared" si="1"/>
        <v>501952.35606202506</v>
      </c>
    </row>
    <row r="10" spans="1:23" x14ac:dyDescent="0.25">
      <c r="A10" s="7" t="s">
        <v>72</v>
      </c>
      <c r="B10" s="8">
        <f t="shared" si="2"/>
        <v>5365</v>
      </c>
      <c r="C10" s="8">
        <v>80</v>
      </c>
      <c r="D10" s="8">
        <v>0</v>
      </c>
      <c r="E10" s="8" t="s">
        <v>22</v>
      </c>
      <c r="F10" s="8"/>
      <c r="G10" s="8">
        <v>1.2</v>
      </c>
      <c r="H10" s="8">
        <f>0.3</f>
        <v>0.3</v>
      </c>
      <c r="I10" s="8">
        <v>1.86</v>
      </c>
      <c r="J10" s="8">
        <v>61</v>
      </c>
      <c r="K10" s="8">
        <v>4877</v>
      </c>
      <c r="L10" s="8">
        <v>23362.458319857102</v>
      </c>
      <c r="M10" s="8">
        <v>0</v>
      </c>
      <c r="N10" s="8">
        <v>72200.182510221493</v>
      </c>
      <c r="O10" s="8">
        <v>72320.005945671393</v>
      </c>
      <c r="P10" s="8">
        <v>0</v>
      </c>
      <c r="Q10" s="8">
        <v>658286.15266324603</v>
      </c>
      <c r="R10" s="11">
        <v>136195.87571102803</v>
      </c>
      <c r="S10" s="11">
        <v>140422.50368463391</v>
      </c>
      <c r="T10" s="11">
        <v>39200</v>
      </c>
      <c r="U10" s="11">
        <v>133630</v>
      </c>
      <c r="V10" s="9">
        <f t="shared" si="0"/>
        <v>172830</v>
      </c>
      <c r="W10" s="10">
        <f t="shared" si="1"/>
        <v>449448.37939566193</v>
      </c>
    </row>
    <row r="11" spans="1:23" x14ac:dyDescent="0.25">
      <c r="A11" s="7" t="s">
        <v>73</v>
      </c>
      <c r="B11" s="8">
        <f>CEILING((4877+0.1*4877)/3,1)</f>
        <v>1789</v>
      </c>
      <c r="C11" s="8">
        <v>80</v>
      </c>
      <c r="D11" s="8">
        <v>8</v>
      </c>
      <c r="E11" s="8" t="s">
        <v>22</v>
      </c>
      <c r="F11" s="8" t="s">
        <v>41</v>
      </c>
      <c r="G11" s="8">
        <v>0.54</v>
      </c>
      <c r="H11" s="8">
        <v>0.28000000000000003</v>
      </c>
      <c r="I11" s="8">
        <v>2.2000000000000002</v>
      </c>
      <c r="J11" s="8">
        <v>8</v>
      </c>
      <c r="K11" s="8">
        <v>610</v>
      </c>
      <c r="L11" s="8">
        <v>7039.7238495865004</v>
      </c>
      <c r="M11" s="8">
        <v>50467.597460168901</v>
      </c>
      <c r="N11" s="8">
        <v>69134.465806048596</v>
      </c>
      <c r="O11" s="8">
        <v>8635.1542501059794</v>
      </c>
      <c r="P11" s="8">
        <v>233483.63773783101</v>
      </c>
      <c r="Q11" s="8">
        <v>387592.626526276</v>
      </c>
      <c r="R11" s="11">
        <v>81959.434330663411</v>
      </c>
      <c r="S11" s="11">
        <v>121030.53463843174</v>
      </c>
      <c r="T11" s="11">
        <v>11720</v>
      </c>
      <c r="U11" s="11">
        <v>228761.2</v>
      </c>
      <c r="V11" s="9">
        <f t="shared" si="0"/>
        <v>240481.2</v>
      </c>
      <c r="W11" s="10">
        <f t="shared" si="1"/>
        <v>443471.16896909516</v>
      </c>
    </row>
    <row r="12" spans="1:23" x14ac:dyDescent="0.25">
      <c r="A12" s="7" t="s">
        <v>74</v>
      </c>
      <c r="B12" s="8">
        <f t="shared" si="2"/>
        <v>5365</v>
      </c>
      <c r="C12" s="8">
        <v>80</v>
      </c>
      <c r="D12" s="8">
        <v>16</v>
      </c>
      <c r="E12" s="8" t="s">
        <v>22</v>
      </c>
      <c r="F12" s="8" t="s">
        <v>8</v>
      </c>
      <c r="G12" s="8">
        <v>0.28000000000000003</v>
      </c>
      <c r="H12" s="8">
        <v>0.24</v>
      </c>
      <c r="I12" s="8">
        <v>3.1</v>
      </c>
      <c r="J12" s="8">
        <v>8</v>
      </c>
      <c r="K12" s="8">
        <v>305</v>
      </c>
      <c r="L12" s="8">
        <v>7039.7238495865004</v>
      </c>
      <c r="M12" s="8">
        <v>50467.597460168901</v>
      </c>
      <c r="N12" s="8">
        <v>70030.505757120001</v>
      </c>
      <c r="O12" s="8">
        <v>8635.1542501059794</v>
      </c>
      <c r="P12" s="8">
        <v>233483.63773783101</v>
      </c>
      <c r="Q12" s="8">
        <v>368464.72317224898</v>
      </c>
      <c r="R12" s="11">
        <v>181766.91113571086</v>
      </c>
      <c r="S12" s="11">
        <v>117354.15161378775</v>
      </c>
      <c r="T12" s="11">
        <v>24000</v>
      </c>
      <c r="U12" s="11">
        <v>135438.20000000001</v>
      </c>
      <c r="V12" s="9">
        <f t="shared" si="0"/>
        <v>159438.20000000001</v>
      </c>
      <c r="W12" s="10">
        <f t="shared" si="1"/>
        <v>458559.26274949865</v>
      </c>
    </row>
    <row r="13" spans="1:23" x14ac:dyDescent="0.25">
      <c r="A13" s="7" t="s">
        <v>75</v>
      </c>
      <c r="B13" s="8">
        <f>CEILING(29262+0.1*29262,1)</f>
        <v>32189</v>
      </c>
      <c r="C13" s="8">
        <v>80</v>
      </c>
      <c r="D13" s="8">
        <v>16</v>
      </c>
      <c r="E13" s="8" t="s">
        <v>22</v>
      </c>
      <c r="F13" s="8" t="s">
        <v>8</v>
      </c>
      <c r="G13" s="8">
        <v>0.54</v>
      </c>
      <c r="H13" s="8">
        <v>0.28000000000000003</v>
      </c>
      <c r="I13" s="8">
        <v>3.1</v>
      </c>
      <c r="J13" s="8">
        <v>8</v>
      </c>
      <c r="K13" s="8">
        <v>305</v>
      </c>
      <c r="L13" s="8">
        <v>7039.7238495865004</v>
      </c>
      <c r="M13" s="8">
        <v>50467.597460168901</v>
      </c>
      <c r="N13" s="8">
        <v>70030.505757120001</v>
      </c>
      <c r="O13" s="8">
        <v>8635.1542501059794</v>
      </c>
      <c r="P13" s="8">
        <v>233483.63773783101</v>
      </c>
      <c r="Q13" s="8">
        <f>$Q$12+20*$B$13</f>
        <v>1012244.723172249</v>
      </c>
      <c r="R13" s="11">
        <v>181766.91113571086</v>
      </c>
      <c r="S13" s="11">
        <v>99287.142993292597</v>
      </c>
      <c r="T13" s="11">
        <v>48000</v>
      </c>
      <c r="U13" s="11">
        <v>90438.2</v>
      </c>
      <c r="V13" s="9">
        <f t="shared" si="0"/>
        <v>138438.20000000001</v>
      </c>
      <c r="W13" s="10">
        <f t="shared" si="1"/>
        <v>419492.25412900344</v>
      </c>
    </row>
    <row r="14" spans="1:23" x14ac:dyDescent="0.25">
      <c r="A14" s="7" t="s">
        <v>76</v>
      </c>
      <c r="B14" s="8">
        <f t="shared" si="2"/>
        <v>5365</v>
      </c>
      <c r="C14" s="8">
        <v>80</v>
      </c>
      <c r="D14" s="8">
        <v>8</v>
      </c>
      <c r="E14" s="8" t="s">
        <v>22</v>
      </c>
      <c r="F14" s="8" t="s">
        <v>41</v>
      </c>
      <c r="G14" s="8">
        <v>0.54</v>
      </c>
      <c r="H14" s="8">
        <v>0.28000000000000003</v>
      </c>
      <c r="I14" s="8">
        <v>2.2000000000000002</v>
      </c>
      <c r="J14" s="8">
        <v>8</v>
      </c>
      <c r="K14" s="8">
        <v>610</v>
      </c>
      <c r="L14" s="8">
        <v>7039.7238495865004</v>
      </c>
      <c r="M14" s="8">
        <v>50467.597460168901</v>
      </c>
      <c r="N14" s="8">
        <v>69134.465806048596</v>
      </c>
      <c r="O14" s="8">
        <v>8635.1542501059794</v>
      </c>
      <c r="P14" s="8">
        <v>233483.63773783101</v>
      </c>
      <c r="Q14" s="8">
        <v>387592.626526276</v>
      </c>
      <c r="R14" s="11">
        <v>180489.8749974439</v>
      </c>
      <c r="S14" s="11">
        <v>121030.53463843174</v>
      </c>
      <c r="T14" s="11">
        <v>46280</v>
      </c>
      <c r="U14" s="11">
        <v>245231.2</v>
      </c>
      <c r="V14" s="9">
        <f t="shared" si="0"/>
        <v>291511.2</v>
      </c>
      <c r="W14" s="10">
        <f t="shared" si="1"/>
        <v>593031.60963587556</v>
      </c>
    </row>
    <row r="15" spans="1:23" x14ac:dyDescent="0.25">
      <c r="A15" s="7" t="s">
        <v>77</v>
      </c>
      <c r="B15" s="8">
        <f t="shared" si="2"/>
        <v>5365</v>
      </c>
      <c r="C15" s="8">
        <v>80</v>
      </c>
      <c r="D15" s="8">
        <v>16</v>
      </c>
      <c r="E15" s="8" t="s">
        <v>22</v>
      </c>
      <c r="F15" s="8" t="s">
        <v>8</v>
      </c>
      <c r="G15" s="8">
        <v>0.54</v>
      </c>
      <c r="H15" s="8">
        <v>0.28000000000000003</v>
      </c>
      <c r="I15" s="8">
        <v>3.1</v>
      </c>
      <c r="J15" s="8">
        <v>8</v>
      </c>
      <c r="K15" s="8">
        <v>305</v>
      </c>
      <c r="L15" s="8">
        <v>7039.7238495865004</v>
      </c>
      <c r="M15" s="8">
        <v>50467.597460168901</v>
      </c>
      <c r="N15" s="8">
        <v>70030.505757120001</v>
      </c>
      <c r="O15" s="8">
        <v>8635.1542501059794</v>
      </c>
      <c r="P15" s="8">
        <v>233483.63773783101</v>
      </c>
      <c r="Q15" s="8">
        <f>$Q$12</f>
        <v>368464.72317224898</v>
      </c>
      <c r="R15" s="11">
        <v>181766.91113571086</v>
      </c>
      <c r="S15" s="11">
        <v>91410.786993292611</v>
      </c>
      <c r="T15" s="11">
        <v>48000</v>
      </c>
      <c r="U15" s="11">
        <v>135438.20000000001</v>
      </c>
      <c r="V15" s="9">
        <f t="shared" si="0"/>
        <v>183438.2</v>
      </c>
      <c r="W15" s="10">
        <f t="shared" si="1"/>
        <v>456615.89812900347</v>
      </c>
    </row>
    <row r="27" spans="16:16" x14ac:dyDescent="0.25">
      <c r="P27">
        <f>0.02/1000</f>
        <v>2.0000000000000002E-5</v>
      </c>
    </row>
    <row r="42" spans="17:24" x14ac:dyDescent="0.25">
      <c r="Q42" s="5" t="s">
        <v>54</v>
      </c>
      <c r="R42" s="5"/>
      <c r="S42" s="5"/>
      <c r="T42" s="5"/>
      <c r="U42" s="5"/>
      <c r="V42" s="5"/>
      <c r="W42" s="5"/>
      <c r="X42" s="5" t="s">
        <v>55</v>
      </c>
    </row>
    <row r="43" spans="17:24" x14ac:dyDescent="0.25">
      <c r="R43" t="s">
        <v>56</v>
      </c>
    </row>
    <row r="44" spans="17:24" x14ac:dyDescent="0.25">
      <c r="Q44" t="s">
        <v>57</v>
      </c>
      <c r="R44">
        <f>0.02/1000</f>
        <v>2.0000000000000002E-5</v>
      </c>
      <c r="S44">
        <f>0.02/1000</f>
        <v>2.0000000000000002E-5</v>
      </c>
      <c r="V44">
        <f>0.02/1000</f>
        <v>2.0000000000000002E-5</v>
      </c>
      <c r="X44" t="s">
        <v>58</v>
      </c>
    </row>
    <row r="45" spans="17:24" x14ac:dyDescent="0.25">
      <c r="R45" t="s">
        <v>59</v>
      </c>
      <c r="S45" t="s">
        <v>60</v>
      </c>
      <c r="V45" t="s">
        <v>61</v>
      </c>
    </row>
    <row r="46" spans="17:24" x14ac:dyDescent="0.25">
      <c r="Q46" t="s">
        <v>62</v>
      </c>
      <c r="R46">
        <v>1.1200000000000001</v>
      </c>
      <c r="S46">
        <v>1.1200000000000001</v>
      </c>
      <c r="V46">
        <v>0.73</v>
      </c>
      <c r="X46" t="s">
        <v>58</v>
      </c>
    </row>
    <row r="65" spans="1:25" ht="15.75" thickBo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</sheetData>
  <pageMargins left="0.7" right="0.7" top="0.75" bottom="0.75" header="0.3" footer="0.3"/>
  <pageSetup paperSize="9" orientation="portrait" r:id="rId1"/>
  <headerFooter>
    <oddFooter>&amp;LUnrestricted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6" sqref="F6"/>
    </sheetView>
  </sheetViews>
  <sheetFormatPr defaultRowHeight="15" x14ac:dyDescent="0.25"/>
  <cols>
    <col min="1" max="1" width="27.7109375" customWidth="1"/>
    <col min="2" max="2" width="39.85546875" customWidth="1"/>
    <col min="3" max="3" width="15.140625" customWidth="1"/>
  </cols>
  <sheetData>
    <row r="1" spans="1:3" ht="14.45" x14ac:dyDescent="0.3">
      <c r="A1" t="s">
        <v>23</v>
      </c>
      <c r="B1" t="s">
        <v>79</v>
      </c>
      <c r="C1" t="s">
        <v>78</v>
      </c>
    </row>
    <row r="2" spans="1:3" ht="15.75" thickBot="1" x14ac:dyDescent="0.3">
      <c r="A2" s="7" t="s">
        <v>24</v>
      </c>
      <c r="B2">
        <v>10000</v>
      </c>
      <c r="C2">
        <v>3.6</v>
      </c>
    </row>
    <row r="3" spans="1:3" ht="16.5" thickTop="1" thickBot="1" x14ac:dyDescent="0.3">
      <c r="A3" s="7" t="s">
        <v>65</v>
      </c>
      <c r="B3" s="12">
        <v>19283.042118970367</v>
      </c>
      <c r="C3">
        <v>7.2</v>
      </c>
    </row>
    <row r="4" spans="1:3" ht="16.5" thickTop="1" thickBot="1" x14ac:dyDescent="0.3">
      <c r="A4" s="7" t="s">
        <v>66</v>
      </c>
      <c r="B4" s="12">
        <v>43709.823692218881</v>
      </c>
      <c r="C4">
        <v>9.6</v>
      </c>
    </row>
    <row r="5" spans="1:3" ht="16.5" thickTop="1" thickBot="1" x14ac:dyDescent="0.3">
      <c r="A5" s="7" t="s">
        <v>67</v>
      </c>
      <c r="B5" s="12">
        <v>44248.4220525376</v>
      </c>
      <c r="C5">
        <v>9.6</v>
      </c>
    </row>
    <row r="6" spans="1:3" ht="16.5" thickTop="1" thickBot="1" x14ac:dyDescent="0.3">
      <c r="A6" s="7" t="s">
        <v>68</v>
      </c>
      <c r="B6" s="12">
        <v>19212.762708578561</v>
      </c>
      <c r="C6">
        <v>12</v>
      </c>
    </row>
    <row r="7" spans="1:3" ht="16.5" thickTop="1" thickBot="1" x14ac:dyDescent="0.3">
      <c r="A7" s="7" t="s">
        <v>69</v>
      </c>
      <c r="B7" s="12">
        <v>11938.918689039821</v>
      </c>
      <c r="C7">
        <v>12</v>
      </c>
    </row>
    <row r="8" spans="1:3" ht="15.75" thickTop="1" x14ac:dyDescent="0.25">
      <c r="A8" s="7" t="s">
        <v>70</v>
      </c>
      <c r="B8" s="12">
        <v>50983.71612182937</v>
      </c>
      <c r="C8">
        <v>12</v>
      </c>
    </row>
    <row r="9" spans="1:3" x14ac:dyDescent="0.25">
      <c r="A9" s="7" t="s">
        <v>71</v>
      </c>
      <c r="B9" s="13">
        <v>47726.863400003029</v>
      </c>
      <c r="C9">
        <v>12</v>
      </c>
    </row>
    <row r="10" spans="1:3" x14ac:dyDescent="0.25">
      <c r="A10" s="7" t="s">
        <v>72</v>
      </c>
      <c r="B10" s="13">
        <v>48220.289169209609</v>
      </c>
      <c r="C10">
        <v>12</v>
      </c>
    </row>
    <row r="11" spans="1:3" ht="15.75" thickBot="1" x14ac:dyDescent="0.3">
      <c r="A11" s="7" t="s">
        <v>73</v>
      </c>
      <c r="B11" s="13">
        <v>37682.867713520049</v>
      </c>
      <c r="C11">
        <v>7.2</v>
      </c>
    </row>
    <row r="12" spans="1:3" ht="16.5" thickTop="1" thickBot="1" x14ac:dyDescent="0.3">
      <c r="A12" s="7" t="s">
        <v>74</v>
      </c>
      <c r="B12" s="12">
        <v>44827.8721002112</v>
      </c>
      <c r="C12">
        <v>9.6</v>
      </c>
    </row>
    <row r="13" spans="1:3" ht="16.5" thickTop="1" thickBot="1" x14ac:dyDescent="0.3">
      <c r="A13" s="7" t="s">
        <v>75</v>
      </c>
      <c r="B13" s="12">
        <v>12139.814930199653</v>
      </c>
      <c r="C13">
        <v>12</v>
      </c>
    </row>
    <row r="14" spans="1:3" ht="16.5" thickTop="1" thickBot="1" x14ac:dyDescent="0.3">
      <c r="A14" s="7" t="s">
        <v>76</v>
      </c>
      <c r="B14" s="12">
        <v>47419.574760442287</v>
      </c>
      <c r="C14">
        <v>12</v>
      </c>
    </row>
    <row r="15" spans="1:3" ht="15.75" thickTop="1" x14ac:dyDescent="0.25">
      <c r="A15" s="7" t="s">
        <v>77</v>
      </c>
      <c r="B15" s="14">
        <v>50088.476920599649</v>
      </c>
      <c r="C15">
        <v>12</v>
      </c>
    </row>
  </sheetData>
  <pageMargins left="0.7" right="0.7" top="0.75" bottom="0.75" header="0.3" footer="0.3"/>
  <pageSetup paperSize="9" orientation="portrait" verticalDpi="0" r:id="rId1"/>
  <headerFooter>
    <oddFooter>&amp;LUnrestricted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topLeftCell="B1" workbookViewId="0">
      <selection activeCell="R17" sqref="R17"/>
    </sheetView>
  </sheetViews>
  <sheetFormatPr defaultRowHeight="15" x14ac:dyDescent="0.25"/>
  <cols>
    <col min="2" max="2" width="16.7109375" customWidth="1"/>
    <col min="3" max="3" width="15.140625" customWidth="1"/>
    <col min="4" max="4" width="15.5703125" customWidth="1"/>
    <col min="5" max="5" width="19.28515625" customWidth="1"/>
    <col min="6" max="6" width="20.42578125" customWidth="1"/>
    <col min="7" max="7" width="23.5703125" customWidth="1"/>
  </cols>
  <sheetData>
    <row r="1" spans="1:34" ht="14.45" x14ac:dyDescent="0.3">
      <c r="A1" t="s">
        <v>25</v>
      </c>
      <c r="B1" t="s">
        <v>26</v>
      </c>
      <c r="C1" t="s">
        <v>27</v>
      </c>
      <c r="D1" t="s">
        <v>28</v>
      </c>
      <c r="M1" t="s">
        <v>23</v>
      </c>
      <c r="N1" t="s">
        <v>25</v>
      </c>
      <c r="O1" t="s">
        <v>30</v>
      </c>
      <c r="P1" t="s">
        <v>27</v>
      </c>
      <c r="Q1" t="s">
        <v>31</v>
      </c>
      <c r="R1" t="s">
        <v>46</v>
      </c>
      <c r="S1" t="s">
        <v>44</v>
      </c>
      <c r="T1" t="s">
        <v>47</v>
      </c>
      <c r="U1" t="s">
        <v>32</v>
      </c>
      <c r="V1" t="s">
        <v>33</v>
      </c>
      <c r="W1" t="s">
        <v>34</v>
      </c>
      <c r="X1" t="s">
        <v>35</v>
      </c>
      <c r="Y1" t="s">
        <v>48</v>
      </c>
      <c r="Z1" t="s">
        <v>49</v>
      </c>
      <c r="AA1" t="s">
        <v>50</v>
      </c>
      <c r="AB1" t="s">
        <v>36</v>
      </c>
      <c r="AC1" t="s">
        <v>37</v>
      </c>
      <c r="AD1" t="s">
        <v>38</v>
      </c>
      <c r="AE1" t="s">
        <v>39</v>
      </c>
      <c r="AF1" t="s">
        <v>51</v>
      </c>
      <c r="AG1" t="s">
        <v>52</v>
      </c>
      <c r="AH1" t="s">
        <v>53</v>
      </c>
    </row>
    <row r="2" spans="1:34" ht="14.45" x14ac:dyDescent="0.3">
      <c r="A2" s="1">
        <v>2018</v>
      </c>
      <c r="B2" s="2">
        <v>3.30316322E-3</v>
      </c>
      <c r="C2" s="2">
        <v>3.30316322E-3</v>
      </c>
      <c r="D2" s="2">
        <v>3.30316322E-3</v>
      </c>
      <c r="E2" s="4"/>
      <c r="F2" s="4"/>
      <c r="G2" s="4"/>
      <c r="M2">
        <v>5</v>
      </c>
      <c r="N2">
        <v>2018</v>
      </c>
      <c r="O2">
        <f>$I$6*B29</f>
        <v>691.2</v>
      </c>
      <c r="P2">
        <f t="shared" ref="P2:T2" si="0">$I$6*C29</f>
        <v>691.2</v>
      </c>
      <c r="Q2">
        <f t="shared" si="0"/>
        <v>691.2</v>
      </c>
      <c r="R2">
        <f t="shared" si="0"/>
        <v>619.20000000000005</v>
      </c>
      <c r="S2">
        <f t="shared" si="0"/>
        <v>619.20000000000005</v>
      </c>
      <c r="T2">
        <f t="shared" si="0"/>
        <v>619.20000000000005</v>
      </c>
      <c r="U2">
        <f>OPEX!$B$3</f>
        <v>19283.042118970367</v>
      </c>
      <c r="V2">
        <f>O2-U2</f>
        <v>-18591.842118970366</v>
      </c>
      <c r="W2">
        <f>P2-U2</f>
        <v>-18591.842118970366</v>
      </c>
      <c r="X2">
        <f t="shared" ref="X2:X22" si="1">Q2-U2</f>
        <v>-18591.842118970366</v>
      </c>
      <c r="Y2">
        <f>R2-$U2</f>
        <v>-18663.842118970366</v>
      </c>
      <c r="Z2">
        <f>S2-$U2</f>
        <v>-18663.842118970366</v>
      </c>
      <c r="AA2">
        <f>T2-$U2</f>
        <v>-18663.842118970366</v>
      </c>
      <c r="AB2">
        <f>1/POWER(1+$L$25,N2-2018)</f>
        <v>1</v>
      </c>
      <c r="AC2">
        <f>V2*AB2</f>
        <v>-18591.842118970366</v>
      </c>
      <c r="AD2">
        <f>W2*AB2</f>
        <v>-18591.842118970366</v>
      </c>
      <c r="AE2">
        <f>X2*AB2</f>
        <v>-18591.842118970366</v>
      </c>
      <c r="AF2">
        <f>Y2*$AB2</f>
        <v>-18663.842118970366</v>
      </c>
      <c r="AG2">
        <f>Z2*$AB2</f>
        <v>-18663.842118970366</v>
      </c>
      <c r="AH2">
        <f>AA2*$AB2</f>
        <v>-18663.842118970366</v>
      </c>
    </row>
    <row r="3" spans="1:34" ht="14.45" x14ac:dyDescent="0.3">
      <c r="A3" s="1">
        <v>2019</v>
      </c>
      <c r="B3" s="2">
        <v>4.3790008477530579E-3</v>
      </c>
      <c r="C3" s="2">
        <v>4.5205608805890677E-3</v>
      </c>
      <c r="D3" s="2">
        <v>6.1418523386151062E-3</v>
      </c>
      <c r="E3" s="4"/>
      <c r="F3" s="4"/>
      <c r="M3">
        <v>5</v>
      </c>
      <c r="N3">
        <v>2019</v>
      </c>
      <c r="O3">
        <f t="shared" ref="O3:O22" si="2">$I$6*B30</f>
        <v>921.6</v>
      </c>
      <c r="P3">
        <f t="shared" ref="P3:P22" si="3">$I$6*C30</f>
        <v>950.4</v>
      </c>
      <c r="Q3">
        <f t="shared" ref="Q3:Q22" si="4">$I$6*D30</f>
        <v>1288.8</v>
      </c>
      <c r="R3">
        <f t="shared" ref="R3:R22" si="5">$I$6*E30</f>
        <v>828</v>
      </c>
      <c r="S3">
        <f t="shared" ref="S3:S22" si="6">$I$6*F30</f>
        <v>849.6</v>
      </c>
      <c r="T3">
        <f t="shared" ref="T3:T22" si="7">$I$6*G30</f>
        <v>1159.2</v>
      </c>
      <c r="U3">
        <f>OPEX!$B$3</f>
        <v>19283.042118970367</v>
      </c>
      <c r="V3">
        <f t="shared" ref="V3:V22" si="8">O3-U3</f>
        <v>-18361.442118970368</v>
      </c>
      <c r="W3">
        <f t="shared" ref="W3:W22" si="9">P3-U3</f>
        <v>-18332.642118970365</v>
      </c>
      <c r="X3">
        <f t="shared" si="1"/>
        <v>-17994.242118970367</v>
      </c>
      <c r="Y3">
        <f t="shared" ref="Y3:Y22" si="10">R3-$U3</f>
        <v>-18455.042118970367</v>
      </c>
      <c r="Z3">
        <f t="shared" ref="Z3:Z22" si="11">S3-$U3</f>
        <v>-18433.442118970368</v>
      </c>
      <c r="AA3">
        <f t="shared" ref="AA3:AA22" si="12">T3-$U3</f>
        <v>-18123.842118970366</v>
      </c>
      <c r="AB3">
        <f t="shared" ref="AB3:AB22" si="13">1/POWER(1+$L$25,N3-2018)</f>
        <v>0.90909090909090906</v>
      </c>
      <c r="AC3">
        <f t="shared" ref="AC3:AC22" si="14">V3*AB3</f>
        <v>-16692.220108154881</v>
      </c>
      <c r="AD3">
        <f t="shared" ref="AD3:AD22" si="15">W3*AB3</f>
        <v>-16666.038289973058</v>
      </c>
      <c r="AE3">
        <f t="shared" ref="AE3:AE22" si="16">X3*AB3</f>
        <v>-16358.401926336697</v>
      </c>
      <c r="AF3">
        <f t="shared" ref="AF3:AF22" si="17">Y3*$AB3</f>
        <v>-16777.311017245785</v>
      </c>
      <c r="AG3">
        <f t="shared" ref="AG3:AG22" si="18">Z3*$AB3</f>
        <v>-16757.674653609425</v>
      </c>
      <c r="AH3">
        <f t="shared" ref="AH3:AH22" si="19">AA3*$AB3</f>
        <v>-16476.220108154877</v>
      </c>
    </row>
    <row r="4" spans="1:34" ht="14.45" x14ac:dyDescent="0.3">
      <c r="A4" s="1">
        <v>2020</v>
      </c>
      <c r="B4" s="2">
        <v>5.8865875045967493E-3</v>
      </c>
      <c r="C4" s="2">
        <v>6.281328148171679E-3</v>
      </c>
      <c r="D4" s="2">
        <v>1.1707792890537517E-2</v>
      </c>
      <c r="E4" s="4"/>
      <c r="F4" s="4"/>
      <c r="M4">
        <v>5</v>
      </c>
      <c r="N4">
        <v>2020</v>
      </c>
      <c r="O4">
        <f t="shared" si="2"/>
        <v>1238.4000000000001</v>
      </c>
      <c r="P4">
        <f t="shared" si="3"/>
        <v>1317.6000000000001</v>
      </c>
      <c r="Q4">
        <f t="shared" si="4"/>
        <v>2462.4</v>
      </c>
      <c r="R4">
        <f t="shared" si="5"/>
        <v>1108.8</v>
      </c>
      <c r="S4">
        <f t="shared" si="6"/>
        <v>1180.8</v>
      </c>
      <c r="T4">
        <f t="shared" si="7"/>
        <v>2210.4</v>
      </c>
      <c r="U4">
        <f>OPEX!$B$3</f>
        <v>19283.042118970367</v>
      </c>
      <c r="V4">
        <f t="shared" si="8"/>
        <v>-18044.642118970365</v>
      </c>
      <c r="W4">
        <f t="shared" si="9"/>
        <v>-17965.442118970368</v>
      </c>
      <c r="X4">
        <f t="shared" si="1"/>
        <v>-16820.642118970365</v>
      </c>
      <c r="Y4">
        <f t="shared" si="10"/>
        <v>-18174.242118970367</v>
      </c>
      <c r="Z4">
        <f t="shared" si="11"/>
        <v>-18102.242118970367</v>
      </c>
      <c r="AA4">
        <f t="shared" si="12"/>
        <v>-17072.642118970365</v>
      </c>
      <c r="AB4">
        <f t="shared" si="13"/>
        <v>0.82644628099173545</v>
      </c>
      <c r="AC4">
        <f t="shared" si="14"/>
        <v>-14912.927371049887</v>
      </c>
      <c r="AD4">
        <f t="shared" si="15"/>
        <v>-14847.472825595343</v>
      </c>
      <c r="AE4">
        <f t="shared" si="16"/>
        <v>-13901.357123116002</v>
      </c>
      <c r="AF4">
        <f t="shared" si="17"/>
        <v>-15020.034809066417</v>
      </c>
      <c r="AG4">
        <f t="shared" si="18"/>
        <v>-14960.530676835013</v>
      </c>
      <c r="AH4">
        <f t="shared" si="19"/>
        <v>-14109.621585925921</v>
      </c>
    </row>
    <row r="5" spans="1:34" ht="14.45" x14ac:dyDescent="0.3">
      <c r="A5" s="1">
        <v>2021</v>
      </c>
      <c r="B5" s="2">
        <v>7.9825182109571798E-3</v>
      </c>
      <c r="C5" s="2">
        <v>8.8107760924128423E-3</v>
      </c>
      <c r="D5" s="2">
        <v>2.2623018300336514E-2</v>
      </c>
      <c r="E5" s="4"/>
      <c r="F5" s="4"/>
      <c r="H5">
        <v>0</v>
      </c>
      <c r="I5">
        <f>15*12/50</f>
        <v>3.6</v>
      </c>
      <c r="M5">
        <v>5</v>
      </c>
      <c r="N5">
        <v>2021</v>
      </c>
      <c r="O5">
        <f t="shared" si="2"/>
        <v>1677.6000000000001</v>
      </c>
      <c r="P5">
        <f t="shared" si="3"/>
        <v>1850.4</v>
      </c>
      <c r="Q5">
        <f t="shared" si="4"/>
        <v>4759.2</v>
      </c>
      <c r="R5">
        <f t="shared" si="5"/>
        <v>1504.8</v>
      </c>
      <c r="S5">
        <f t="shared" si="6"/>
        <v>1663.2</v>
      </c>
      <c r="T5">
        <f t="shared" si="7"/>
        <v>4276.8</v>
      </c>
      <c r="U5">
        <f>OPEX!$B$3</f>
        <v>19283.042118970367</v>
      </c>
      <c r="V5">
        <f t="shared" si="8"/>
        <v>-17605.442118970368</v>
      </c>
      <c r="W5">
        <f t="shared" si="9"/>
        <v>-17432.642118970365</v>
      </c>
      <c r="X5">
        <f t="shared" si="1"/>
        <v>-14523.842118970366</v>
      </c>
      <c r="Y5">
        <f t="shared" si="10"/>
        <v>-17778.242118970367</v>
      </c>
      <c r="Z5">
        <f t="shared" si="11"/>
        <v>-17619.842118970366</v>
      </c>
      <c r="AA5">
        <f t="shared" si="12"/>
        <v>-15006.242118970367</v>
      </c>
      <c r="AB5">
        <f t="shared" si="13"/>
        <v>0.75131480090157754</v>
      </c>
      <c r="AC5">
        <f t="shared" si="14"/>
        <v>-13227.22924039847</v>
      </c>
      <c r="AD5">
        <f t="shared" si="15"/>
        <v>-13097.402042802674</v>
      </c>
      <c r="AE5">
        <f t="shared" si="16"/>
        <v>-10911.977549940166</v>
      </c>
      <c r="AF5">
        <f t="shared" si="17"/>
        <v>-13357.056437994261</v>
      </c>
      <c r="AG5">
        <f t="shared" si="18"/>
        <v>-13238.04817353145</v>
      </c>
      <c r="AH5">
        <f t="shared" si="19"/>
        <v>-11274.411809895089</v>
      </c>
    </row>
    <row r="6" spans="1:34" ht="14.45" x14ac:dyDescent="0.3">
      <c r="A6" s="1">
        <v>2022</v>
      </c>
      <c r="B6" s="2">
        <v>1.0879817973447734E-2</v>
      </c>
      <c r="C6" s="2">
        <v>1.242562877324002E-2</v>
      </c>
      <c r="D6" s="2">
        <v>4.3880942981604595E-2</v>
      </c>
      <c r="E6" s="4"/>
      <c r="F6" s="4"/>
      <c r="H6">
        <v>1</v>
      </c>
      <c r="I6">
        <f>30*12/50</f>
        <v>7.2</v>
      </c>
      <c r="M6">
        <v>5</v>
      </c>
      <c r="N6">
        <v>2022</v>
      </c>
      <c r="O6">
        <f t="shared" si="2"/>
        <v>2289.6</v>
      </c>
      <c r="P6">
        <f t="shared" si="3"/>
        <v>2613.6</v>
      </c>
      <c r="Q6">
        <f t="shared" si="4"/>
        <v>9244.8000000000011</v>
      </c>
      <c r="R6">
        <f t="shared" si="5"/>
        <v>2059.2000000000003</v>
      </c>
      <c r="S6">
        <f t="shared" si="6"/>
        <v>2347.2000000000003</v>
      </c>
      <c r="T6">
        <f t="shared" si="7"/>
        <v>8316</v>
      </c>
      <c r="U6">
        <f>OPEX!$B$3</f>
        <v>19283.042118970367</v>
      </c>
      <c r="V6">
        <f t="shared" si="8"/>
        <v>-16993.442118970368</v>
      </c>
      <c r="W6">
        <f t="shared" si="9"/>
        <v>-16669.442118970368</v>
      </c>
      <c r="X6">
        <f t="shared" si="1"/>
        <v>-10038.242118970365</v>
      </c>
      <c r="Y6">
        <f t="shared" si="10"/>
        <v>-17223.842118970366</v>
      </c>
      <c r="Z6">
        <f t="shared" si="11"/>
        <v>-16935.842118970366</v>
      </c>
      <c r="AA6">
        <f t="shared" si="12"/>
        <v>-10967.042118970367</v>
      </c>
      <c r="AB6">
        <f t="shared" si="13"/>
        <v>0.68301345536507052</v>
      </c>
      <c r="AC6">
        <f t="shared" si="14"/>
        <v>-11606.749620224276</v>
      </c>
      <c r="AD6">
        <f t="shared" si="15"/>
        <v>-11385.453260685994</v>
      </c>
      <c r="AE6">
        <f t="shared" si="16"/>
        <v>-6856.2544354691363</v>
      </c>
      <c r="AF6">
        <f t="shared" si="17"/>
        <v>-11764.115920340388</v>
      </c>
      <c r="AG6">
        <f t="shared" si="18"/>
        <v>-11567.408045195247</v>
      </c>
      <c r="AH6">
        <f t="shared" si="19"/>
        <v>-7490.6373328122145</v>
      </c>
    </row>
    <row r="7" spans="1:34" ht="14.45" x14ac:dyDescent="0.3">
      <c r="A7" s="1">
        <v>2023</v>
      </c>
      <c r="B7" s="2">
        <v>1.4866969947708513E-2</v>
      </c>
      <c r="C7" s="2">
        <v>1.7568307722274367E-2</v>
      </c>
      <c r="D7" s="2">
        <v>8.4529026793817325E-2</v>
      </c>
      <c r="E7" s="4"/>
      <c r="F7" s="4"/>
      <c r="H7">
        <v>2</v>
      </c>
      <c r="I7">
        <f>40*12/50</f>
        <v>9.6</v>
      </c>
      <c r="M7">
        <v>5</v>
      </c>
      <c r="N7">
        <v>2023</v>
      </c>
      <c r="O7">
        <f t="shared" si="2"/>
        <v>3132</v>
      </c>
      <c r="P7">
        <f t="shared" si="3"/>
        <v>3700.8</v>
      </c>
      <c r="Q7">
        <f t="shared" si="4"/>
        <v>17805.600000000002</v>
      </c>
      <c r="R7">
        <f t="shared" si="5"/>
        <v>2815.2000000000003</v>
      </c>
      <c r="S7">
        <f t="shared" si="6"/>
        <v>3326.4</v>
      </c>
      <c r="T7">
        <f t="shared" si="7"/>
        <v>16020</v>
      </c>
      <c r="U7">
        <f>OPEX!$B$3</f>
        <v>19283.042118970367</v>
      </c>
      <c r="V7">
        <f t="shared" si="8"/>
        <v>-16151.042118970367</v>
      </c>
      <c r="W7">
        <f t="shared" si="9"/>
        <v>-15582.242118970367</v>
      </c>
      <c r="X7">
        <f t="shared" si="1"/>
        <v>-1477.4421189703644</v>
      </c>
      <c r="Y7">
        <f t="shared" si="10"/>
        <v>-16467.842118970366</v>
      </c>
      <c r="Z7">
        <f t="shared" si="11"/>
        <v>-15956.642118970367</v>
      </c>
      <c r="AA7">
        <f t="shared" si="12"/>
        <v>-3263.0421189703666</v>
      </c>
      <c r="AB7">
        <f t="shared" si="13"/>
        <v>0.62092132305915493</v>
      </c>
      <c r="AC7">
        <f t="shared" si="14"/>
        <v>-10028.526441295217</v>
      </c>
      <c r="AD7">
        <f t="shared" si="15"/>
        <v>-9675.3463927391695</v>
      </c>
      <c r="AE7">
        <f t="shared" si="16"/>
        <v>-917.37531525439999</v>
      </c>
      <c r="AF7">
        <f t="shared" si="17"/>
        <v>-10225.234316440357</v>
      </c>
      <c r="AG7">
        <f t="shared" si="18"/>
        <v>-9907.8193360925179</v>
      </c>
      <c r="AH7">
        <f t="shared" si="19"/>
        <v>-2026.0924297088284</v>
      </c>
    </row>
    <row r="8" spans="1:34" ht="14.45" x14ac:dyDescent="0.3">
      <c r="A8" s="1">
        <v>2024</v>
      </c>
      <c r="B8" s="2">
        <v>2.0331740194314465E-2</v>
      </c>
      <c r="C8" s="2">
        <v>2.4850680198143484E-2</v>
      </c>
      <c r="D8" s="2">
        <v>0.15926071421904917</v>
      </c>
      <c r="E8" s="4"/>
      <c r="F8" s="4"/>
      <c r="H8">
        <v>3</v>
      </c>
      <c r="I8">
        <f>40*12/50</f>
        <v>9.6</v>
      </c>
      <c r="M8">
        <v>5</v>
      </c>
      <c r="N8">
        <v>2024</v>
      </c>
      <c r="O8">
        <f t="shared" si="2"/>
        <v>4276.8</v>
      </c>
      <c r="P8">
        <f t="shared" si="3"/>
        <v>5234.4000000000005</v>
      </c>
      <c r="Q8">
        <f t="shared" si="4"/>
        <v>33552</v>
      </c>
      <c r="R8">
        <f t="shared" si="5"/>
        <v>3844.8</v>
      </c>
      <c r="S8">
        <f t="shared" si="6"/>
        <v>4708.8</v>
      </c>
      <c r="T8">
        <f t="shared" si="7"/>
        <v>30196.799999999999</v>
      </c>
      <c r="U8">
        <f>OPEX!$B$3</f>
        <v>19283.042118970367</v>
      </c>
      <c r="V8">
        <f t="shared" si="8"/>
        <v>-15006.242118970367</v>
      </c>
      <c r="W8">
        <f t="shared" si="9"/>
        <v>-14048.642118970365</v>
      </c>
      <c r="X8">
        <f t="shared" si="1"/>
        <v>14268.957881029633</v>
      </c>
      <c r="Y8">
        <f t="shared" si="10"/>
        <v>-15438.242118970367</v>
      </c>
      <c r="Z8">
        <f t="shared" si="11"/>
        <v>-14574.242118970367</v>
      </c>
      <c r="AA8">
        <f t="shared" si="12"/>
        <v>10913.757881029633</v>
      </c>
      <c r="AB8">
        <f t="shared" si="13"/>
        <v>0.56447393005377722</v>
      </c>
      <c r="AC8">
        <f t="shared" si="14"/>
        <v>-8470.632464233724</v>
      </c>
      <c r="AD8">
        <f t="shared" si="15"/>
        <v>-7930.0922288142265</v>
      </c>
      <c r="AE8">
        <f t="shared" si="16"/>
        <v>8054.4547328766148</v>
      </c>
      <c r="AF8">
        <f t="shared" si="17"/>
        <v>-8714.4852020169565</v>
      </c>
      <c r="AG8">
        <f t="shared" si="18"/>
        <v>-8226.7797264504934</v>
      </c>
      <c r="AH8">
        <f t="shared" si="19"/>
        <v>6160.5318027601807</v>
      </c>
    </row>
    <row r="9" spans="1:34" ht="14.45" x14ac:dyDescent="0.3">
      <c r="A9" s="1">
        <v>2025</v>
      </c>
      <c r="B9" s="2">
        <v>2.7789822634922204E-2</v>
      </c>
      <c r="C9" s="2">
        <v>3.5106545426236535E-2</v>
      </c>
      <c r="D9" s="2">
        <v>0.286158081334489</v>
      </c>
      <c r="E9" s="4"/>
      <c r="F9" s="4"/>
      <c r="H9">
        <v>4</v>
      </c>
      <c r="I9">
        <v>12</v>
      </c>
      <c r="M9">
        <v>5</v>
      </c>
      <c r="N9">
        <v>2025</v>
      </c>
      <c r="O9">
        <f t="shared" si="2"/>
        <v>5853.6</v>
      </c>
      <c r="P9">
        <f t="shared" si="3"/>
        <v>7394.4000000000005</v>
      </c>
      <c r="Q9">
        <f t="shared" si="4"/>
        <v>60285.599999999999</v>
      </c>
      <c r="R9">
        <f t="shared" si="5"/>
        <v>5263.2</v>
      </c>
      <c r="S9">
        <f t="shared" si="6"/>
        <v>6652.8</v>
      </c>
      <c r="T9">
        <f t="shared" si="7"/>
        <v>54252</v>
      </c>
      <c r="U9">
        <f>OPEX!$B$3</f>
        <v>19283.042118970367</v>
      </c>
      <c r="V9">
        <f t="shared" si="8"/>
        <v>-13429.442118970366</v>
      </c>
      <c r="W9">
        <f t="shared" si="9"/>
        <v>-11888.642118970365</v>
      </c>
      <c r="X9">
        <f t="shared" si="1"/>
        <v>41002.557881029628</v>
      </c>
      <c r="Y9">
        <f t="shared" si="10"/>
        <v>-14019.842118970366</v>
      </c>
      <c r="Z9">
        <f t="shared" si="11"/>
        <v>-12630.242118970367</v>
      </c>
      <c r="AA9">
        <f t="shared" si="12"/>
        <v>34968.957881029637</v>
      </c>
      <c r="AB9">
        <f t="shared" si="13"/>
        <v>0.51315811823070645</v>
      </c>
      <c r="AC9">
        <f t="shared" si="14"/>
        <v>-6891.4272466590237</v>
      </c>
      <c r="AD9">
        <f t="shared" si="15"/>
        <v>-6100.7532180891512</v>
      </c>
      <c r="AE9">
        <f t="shared" si="16"/>
        <v>21040.795444874788</v>
      </c>
      <c r="AF9">
        <f t="shared" si="17"/>
        <v>-7194.3957996624331</v>
      </c>
      <c r="AG9">
        <f t="shared" si="18"/>
        <v>-6481.3112785690437</v>
      </c>
      <c r="AH9">
        <f t="shared" si="19"/>
        <v>17944.604622718001</v>
      </c>
    </row>
    <row r="10" spans="1:34" ht="14.45" x14ac:dyDescent="0.3">
      <c r="A10" s="1">
        <v>2026</v>
      </c>
      <c r="B10" s="2">
        <v>3.7916881685144836E-2</v>
      </c>
      <c r="C10" s="2">
        <v>4.9447642562598981E-2</v>
      </c>
      <c r="D10" s="2">
        <v>0.47025942843694951</v>
      </c>
      <c r="E10" s="4"/>
      <c r="F10" s="4"/>
      <c r="H10">
        <v>5</v>
      </c>
      <c r="I10">
        <v>12</v>
      </c>
      <c r="M10">
        <v>5</v>
      </c>
      <c r="N10">
        <v>2026</v>
      </c>
      <c r="O10">
        <f t="shared" si="2"/>
        <v>7984.8</v>
      </c>
      <c r="P10">
        <f t="shared" si="3"/>
        <v>10411.200000000001</v>
      </c>
      <c r="Q10">
        <f t="shared" si="4"/>
        <v>99072</v>
      </c>
      <c r="R10">
        <f t="shared" si="5"/>
        <v>7185.6</v>
      </c>
      <c r="S10">
        <f t="shared" si="6"/>
        <v>9367.2000000000007</v>
      </c>
      <c r="T10">
        <f t="shared" si="7"/>
        <v>89164.800000000003</v>
      </c>
      <c r="U10">
        <f>OPEX!$B$3</f>
        <v>19283.042118970367</v>
      </c>
      <c r="V10">
        <f t="shared" si="8"/>
        <v>-11298.242118970367</v>
      </c>
      <c r="W10">
        <f t="shared" si="9"/>
        <v>-8871.8421189703658</v>
      </c>
      <c r="X10">
        <f t="shared" si="1"/>
        <v>79788.957881029637</v>
      </c>
      <c r="Y10">
        <f t="shared" si="10"/>
        <v>-12097.442118970366</v>
      </c>
      <c r="Z10">
        <f t="shared" si="11"/>
        <v>-9915.8421189703658</v>
      </c>
      <c r="AA10">
        <f t="shared" si="12"/>
        <v>69881.75788102964</v>
      </c>
      <c r="AB10">
        <f t="shared" si="13"/>
        <v>0.46650738020973315</v>
      </c>
      <c r="AC10">
        <f t="shared" si="14"/>
        <v>-5270.7133318961305</v>
      </c>
      <c r="AD10">
        <f t="shared" si="15"/>
        <v>-4138.7798245552331</v>
      </c>
      <c r="AE10">
        <f t="shared" si="16"/>
        <v>37222.137710743875</v>
      </c>
      <c r="AF10">
        <f t="shared" si="17"/>
        <v>-5643.5460301597486</v>
      </c>
      <c r="AG10">
        <f t="shared" si="18"/>
        <v>-4625.8135294941949</v>
      </c>
      <c r="AH10">
        <f t="shared" si="19"/>
        <v>32600.355793530009</v>
      </c>
    </row>
    <row r="11" spans="1:34" ht="14.45" x14ac:dyDescent="0.3">
      <c r="A11" s="1">
        <v>2027</v>
      </c>
      <c r="B11" s="2">
        <v>5.1579664289345135E-2</v>
      </c>
      <c r="C11" s="2">
        <v>6.9308704628144521E-2</v>
      </c>
      <c r="D11" s="2">
        <v>0.66698456387491634</v>
      </c>
      <c r="E11" s="4"/>
      <c r="F11" s="4"/>
      <c r="H11">
        <v>6</v>
      </c>
      <c r="I11">
        <v>12</v>
      </c>
      <c r="M11">
        <v>5</v>
      </c>
      <c r="N11">
        <v>2027</v>
      </c>
      <c r="O11">
        <f t="shared" si="2"/>
        <v>10864.800000000001</v>
      </c>
      <c r="P11">
        <f t="shared" si="3"/>
        <v>14601.6</v>
      </c>
      <c r="Q11">
        <f t="shared" si="4"/>
        <v>140522.4</v>
      </c>
      <c r="R11">
        <f t="shared" si="5"/>
        <v>9777.6</v>
      </c>
      <c r="S11">
        <f t="shared" si="6"/>
        <v>13140</v>
      </c>
      <c r="T11">
        <f t="shared" si="7"/>
        <v>126468</v>
      </c>
      <c r="U11">
        <f>OPEX!$B$3</f>
        <v>19283.042118970367</v>
      </c>
      <c r="V11">
        <f t="shared" si="8"/>
        <v>-8418.2421189703655</v>
      </c>
      <c r="W11">
        <f t="shared" si="9"/>
        <v>-4681.4421189703662</v>
      </c>
      <c r="X11">
        <f t="shared" si="1"/>
        <v>121239.35788102963</v>
      </c>
      <c r="Y11">
        <f t="shared" si="10"/>
        <v>-9505.4421189703662</v>
      </c>
      <c r="Z11">
        <f t="shared" si="11"/>
        <v>-6143.0421189703666</v>
      </c>
      <c r="AA11">
        <f t="shared" si="12"/>
        <v>107184.95788102964</v>
      </c>
      <c r="AB11">
        <f t="shared" si="13"/>
        <v>0.42409761837248466</v>
      </c>
      <c r="AC11">
        <f t="shared" si="14"/>
        <v>-3570.1564335382709</v>
      </c>
      <c r="AD11">
        <f t="shared" si="15"/>
        <v>-1985.3884532039704</v>
      </c>
      <c r="AE11">
        <f t="shared" si="16"/>
        <v>51417.322930353992</v>
      </c>
      <c r="AF11">
        <f t="shared" si="17"/>
        <v>-4031.2353642328362</v>
      </c>
      <c r="AG11">
        <f t="shared" si="18"/>
        <v>-2605.249532217194</v>
      </c>
      <c r="AH11">
        <f t="shared" si="19"/>
        <v>45456.885362699752</v>
      </c>
    </row>
    <row r="12" spans="1:34" ht="14.45" x14ac:dyDescent="0.3">
      <c r="A12" s="1">
        <v>2028</v>
      </c>
      <c r="B12" s="2">
        <v>6.9856627045960282E-2</v>
      </c>
      <c r="C12" s="2">
        <v>9.6450395049765575E-2</v>
      </c>
      <c r="D12" s="2">
        <v>0.78509413491423363</v>
      </c>
      <c r="E12" s="4"/>
      <c r="F12" s="4"/>
      <c r="H12">
        <v>7</v>
      </c>
      <c r="I12">
        <f>50*12/50</f>
        <v>12</v>
      </c>
      <c r="M12">
        <v>5</v>
      </c>
      <c r="N12">
        <v>2028</v>
      </c>
      <c r="O12">
        <f t="shared" si="2"/>
        <v>14716.800000000001</v>
      </c>
      <c r="P12">
        <f t="shared" si="3"/>
        <v>20318.400000000001</v>
      </c>
      <c r="Q12">
        <f t="shared" si="4"/>
        <v>165405.6</v>
      </c>
      <c r="R12">
        <f t="shared" si="5"/>
        <v>13240.800000000001</v>
      </c>
      <c r="S12">
        <f t="shared" si="6"/>
        <v>18280.8</v>
      </c>
      <c r="T12">
        <f t="shared" si="7"/>
        <v>148860</v>
      </c>
      <c r="U12">
        <f>OPEX!$B$3</f>
        <v>19283.042118970367</v>
      </c>
      <c r="V12">
        <f t="shared" si="8"/>
        <v>-4566.2421189703655</v>
      </c>
      <c r="W12">
        <f t="shared" si="9"/>
        <v>1035.3578810296349</v>
      </c>
      <c r="X12">
        <f t="shared" si="1"/>
        <v>146122.55788102964</v>
      </c>
      <c r="Y12">
        <f t="shared" si="10"/>
        <v>-6042.2421189703655</v>
      </c>
      <c r="Z12">
        <f t="shared" si="11"/>
        <v>-1002.2421189703673</v>
      </c>
      <c r="AA12">
        <f t="shared" si="12"/>
        <v>129576.95788102964</v>
      </c>
      <c r="AB12">
        <f t="shared" si="13"/>
        <v>0.38554328942953148</v>
      </c>
      <c r="AC12">
        <f t="shared" si="14"/>
        <v>-1760.4840068795088</v>
      </c>
      <c r="AD12">
        <f t="shared" si="15"/>
        <v>399.17528318895495</v>
      </c>
      <c r="AE12">
        <f t="shared" si="16"/>
        <v>56336.571625309276</v>
      </c>
      <c r="AF12">
        <f t="shared" si="17"/>
        <v>-2329.545902077497</v>
      </c>
      <c r="AG12">
        <f t="shared" si="18"/>
        <v>-386.40772335265922</v>
      </c>
      <c r="AH12">
        <f t="shared" si="19"/>
        <v>49957.526575724019</v>
      </c>
    </row>
    <row r="13" spans="1:34" ht="14.45" x14ac:dyDescent="0.3">
      <c r="A13" s="1">
        <v>2029</v>
      </c>
      <c r="B13" s="2">
        <v>9.4030133446411479E-2</v>
      </c>
      <c r="C13" s="2">
        <v>0.13286350522208376</v>
      </c>
      <c r="D13" s="2">
        <v>0.81040059967158584</v>
      </c>
      <c r="E13" s="4"/>
      <c r="F13" s="4"/>
      <c r="H13">
        <v>8</v>
      </c>
      <c r="I13">
        <v>12</v>
      </c>
      <c r="M13">
        <v>5</v>
      </c>
      <c r="N13">
        <v>2029</v>
      </c>
      <c r="O13">
        <f t="shared" si="2"/>
        <v>19807.2</v>
      </c>
      <c r="P13">
        <f t="shared" si="3"/>
        <v>27986.400000000001</v>
      </c>
      <c r="Q13">
        <f t="shared" si="4"/>
        <v>170733.6</v>
      </c>
      <c r="R13">
        <f t="shared" si="5"/>
        <v>17820</v>
      </c>
      <c r="S13">
        <f t="shared" si="6"/>
        <v>25185.600000000002</v>
      </c>
      <c r="T13">
        <f t="shared" si="7"/>
        <v>153655.20000000001</v>
      </c>
      <c r="U13">
        <f>OPEX!$B$3</f>
        <v>19283.042118970367</v>
      </c>
      <c r="V13">
        <f t="shared" si="8"/>
        <v>524.15788102963415</v>
      </c>
      <c r="W13">
        <f t="shared" si="9"/>
        <v>8703.3578810296349</v>
      </c>
      <c r="X13">
        <f t="shared" si="1"/>
        <v>151450.55788102964</v>
      </c>
      <c r="Y13">
        <f t="shared" si="10"/>
        <v>-1463.0421189703666</v>
      </c>
      <c r="Z13">
        <f t="shared" si="11"/>
        <v>5902.5578810296356</v>
      </c>
      <c r="AA13">
        <f t="shared" si="12"/>
        <v>134372.15788102965</v>
      </c>
      <c r="AB13">
        <f t="shared" si="13"/>
        <v>0.3504938994813922</v>
      </c>
      <c r="AC13">
        <f t="shared" si="14"/>
        <v>183.71413966598013</v>
      </c>
      <c r="AD13">
        <f t="shared" si="15"/>
        <v>3050.4738423041836</v>
      </c>
      <c r="AE13">
        <f t="shared" si="16"/>
        <v>53082.496610354377</v>
      </c>
      <c r="AF13">
        <f t="shared" si="17"/>
        <v>-512.78733738344272</v>
      </c>
      <c r="AG13">
        <f t="shared" si="18"/>
        <v>2068.8105286367004</v>
      </c>
      <c r="AH13">
        <f t="shared" si="19"/>
        <v>47096.621597451369</v>
      </c>
    </row>
    <row r="14" spans="1:34" ht="14.45" x14ac:dyDescent="0.3">
      <c r="A14" s="1">
        <v>2030</v>
      </c>
      <c r="B14" s="2">
        <v>0.12552079465705115</v>
      </c>
      <c r="C14" s="2">
        <v>0.18048926277649102</v>
      </c>
      <c r="D14" s="2">
        <v>0.81156081089447252</v>
      </c>
      <c r="E14" s="4"/>
      <c r="F14" s="4"/>
      <c r="M14">
        <v>5</v>
      </c>
      <c r="N14">
        <v>2030</v>
      </c>
      <c r="O14">
        <f t="shared" si="2"/>
        <v>26438.400000000001</v>
      </c>
      <c r="P14">
        <f t="shared" si="3"/>
        <v>38023.200000000004</v>
      </c>
      <c r="Q14">
        <f t="shared" si="4"/>
        <v>170978.4</v>
      </c>
      <c r="R14">
        <f t="shared" si="5"/>
        <v>23788.799999999999</v>
      </c>
      <c r="S14">
        <f t="shared" si="6"/>
        <v>34214.400000000001</v>
      </c>
      <c r="T14">
        <f t="shared" si="7"/>
        <v>153878.39999999999</v>
      </c>
      <c r="U14">
        <f>OPEX!$B$3</f>
        <v>19283.042118970367</v>
      </c>
      <c r="V14">
        <f t="shared" si="8"/>
        <v>7155.3578810296349</v>
      </c>
      <c r="W14">
        <f t="shared" si="9"/>
        <v>18740.157881029638</v>
      </c>
      <c r="X14">
        <f t="shared" si="1"/>
        <v>151695.35788102963</v>
      </c>
      <c r="Y14">
        <f t="shared" si="10"/>
        <v>4505.7578810296327</v>
      </c>
      <c r="Z14">
        <f t="shared" si="11"/>
        <v>14931.357881029635</v>
      </c>
      <c r="AA14">
        <f t="shared" si="12"/>
        <v>134595.35788102963</v>
      </c>
      <c r="AB14">
        <f t="shared" si="13"/>
        <v>0.31863081771035656</v>
      </c>
      <c r="AC14">
        <f t="shared" si="14"/>
        <v>2279.9175326427167</v>
      </c>
      <c r="AD14">
        <f t="shared" si="15"/>
        <v>5971.191829653656</v>
      </c>
      <c r="AE14">
        <f t="shared" si="16"/>
        <v>48334.815924497656</v>
      </c>
      <c r="AF14">
        <f t="shared" si="17"/>
        <v>1435.6733180373553</v>
      </c>
      <c r="AG14">
        <f t="shared" si="18"/>
        <v>4757.5907711584496</v>
      </c>
      <c r="AH14">
        <f t="shared" si="19"/>
        <v>42886.228941650559</v>
      </c>
    </row>
    <row r="15" spans="1:34" ht="14.45" x14ac:dyDescent="0.3">
      <c r="A15" s="1">
        <v>2031</v>
      </c>
      <c r="B15" s="2">
        <v>0.16572310239246871</v>
      </c>
      <c r="C15" s="2">
        <v>0.24066361167047895</v>
      </c>
      <c r="D15" s="2">
        <v>0.81173922001271714</v>
      </c>
      <c r="E15" s="4"/>
      <c r="F15" s="4"/>
      <c r="M15">
        <v>5</v>
      </c>
      <c r="N15">
        <v>2031</v>
      </c>
      <c r="O15">
        <f t="shared" si="2"/>
        <v>34912.800000000003</v>
      </c>
      <c r="P15">
        <f t="shared" si="3"/>
        <v>50702.400000000001</v>
      </c>
      <c r="Q15">
        <f t="shared" si="4"/>
        <v>171021.6</v>
      </c>
      <c r="R15">
        <f t="shared" si="5"/>
        <v>31420.799999999999</v>
      </c>
      <c r="S15">
        <f t="shared" si="6"/>
        <v>45626.400000000001</v>
      </c>
      <c r="T15">
        <f t="shared" si="7"/>
        <v>153914.4</v>
      </c>
      <c r="U15">
        <f>OPEX!$B$3</f>
        <v>19283.042118970367</v>
      </c>
      <c r="V15">
        <f t="shared" si="8"/>
        <v>15629.757881029636</v>
      </c>
      <c r="W15">
        <f t="shared" si="9"/>
        <v>31419.357881029635</v>
      </c>
      <c r="X15">
        <f t="shared" si="1"/>
        <v>151738.55788102964</v>
      </c>
      <c r="Y15">
        <f t="shared" si="10"/>
        <v>12137.757881029633</v>
      </c>
      <c r="Z15">
        <f t="shared" si="11"/>
        <v>26343.357881029635</v>
      </c>
      <c r="AA15">
        <f t="shared" si="12"/>
        <v>134631.35788102963</v>
      </c>
      <c r="AB15">
        <f t="shared" si="13"/>
        <v>0.28966437973668779</v>
      </c>
      <c r="AC15">
        <f t="shared" si="14"/>
        <v>4527.3841220430577</v>
      </c>
      <c r="AD15">
        <f t="shared" si="15"/>
        <v>9101.0688123334621</v>
      </c>
      <c r="AE15">
        <f t="shared" si="16"/>
        <v>43953.255250747949</v>
      </c>
      <c r="AF15">
        <f t="shared" si="17"/>
        <v>3515.8761080025424</v>
      </c>
      <c r="AG15">
        <f t="shared" si="18"/>
        <v>7630.7324207900356</v>
      </c>
      <c r="AH15">
        <f t="shared" si="19"/>
        <v>38997.908773716481</v>
      </c>
    </row>
    <row r="16" spans="1:34" ht="14.45" x14ac:dyDescent="0.3">
      <c r="A16" s="1">
        <v>2032</v>
      </c>
      <c r="B16" s="2">
        <v>0.21570008452474451</v>
      </c>
      <c r="C16" s="2">
        <v>0.31326462411097972</v>
      </c>
      <c r="D16" s="2">
        <v>0.81184443859445832</v>
      </c>
      <c r="E16" s="4"/>
      <c r="F16" s="4"/>
      <c r="M16">
        <v>5</v>
      </c>
      <c r="N16">
        <v>2032</v>
      </c>
      <c r="O16">
        <f t="shared" si="2"/>
        <v>45439.200000000004</v>
      </c>
      <c r="P16">
        <f t="shared" si="3"/>
        <v>65995.199999999997</v>
      </c>
      <c r="Q16">
        <f t="shared" si="4"/>
        <v>171043.20000000001</v>
      </c>
      <c r="R16">
        <f t="shared" si="5"/>
        <v>40888.800000000003</v>
      </c>
      <c r="S16">
        <f t="shared" si="6"/>
        <v>59392.800000000003</v>
      </c>
      <c r="T16">
        <f t="shared" si="7"/>
        <v>153936</v>
      </c>
      <c r="U16">
        <f>OPEX!$B$3</f>
        <v>19283.042118970367</v>
      </c>
      <c r="V16">
        <f t="shared" si="8"/>
        <v>26156.157881029638</v>
      </c>
      <c r="W16">
        <f t="shared" si="9"/>
        <v>46712.157881029634</v>
      </c>
      <c r="X16">
        <f t="shared" si="1"/>
        <v>151760.15788102965</v>
      </c>
      <c r="Y16">
        <f t="shared" si="10"/>
        <v>21605.757881029636</v>
      </c>
      <c r="Z16">
        <f t="shared" si="11"/>
        <v>40109.75788102964</v>
      </c>
      <c r="AA16">
        <f t="shared" si="12"/>
        <v>134652.95788102964</v>
      </c>
      <c r="AB16">
        <f t="shared" si="13"/>
        <v>0.26333125430607973</v>
      </c>
      <c r="AC16">
        <f t="shared" si="14"/>
        <v>6887.7338626393876</v>
      </c>
      <c r="AD16">
        <f t="shared" si="15"/>
        <v>12300.771126155161</v>
      </c>
      <c r="AE16">
        <f t="shared" si="16"/>
        <v>39963.192728500231</v>
      </c>
      <c r="AF16">
        <f t="shared" si="17"/>
        <v>5689.4713230450016</v>
      </c>
      <c r="AG16">
        <f t="shared" si="18"/>
        <v>10562.152852724701</v>
      </c>
      <c r="AH16">
        <f t="shared" si="19"/>
        <v>35458.332294835258</v>
      </c>
    </row>
    <row r="17" spans="1:34" ht="14.45" x14ac:dyDescent="0.3">
      <c r="A17" s="1">
        <v>2033</v>
      </c>
      <c r="B17" s="2">
        <v>0.27572345083288785</v>
      </c>
      <c r="C17" s="2">
        <v>0.39576564546835558</v>
      </c>
      <c r="D17" s="2">
        <v>0.81190720274904282</v>
      </c>
      <c r="E17" s="4"/>
      <c r="F17" s="4"/>
      <c r="M17">
        <v>5</v>
      </c>
      <c r="N17">
        <v>2033</v>
      </c>
      <c r="O17">
        <f t="shared" si="2"/>
        <v>58089.599999999999</v>
      </c>
      <c r="P17">
        <f t="shared" si="3"/>
        <v>83376</v>
      </c>
      <c r="Q17">
        <f t="shared" si="4"/>
        <v>171057.6</v>
      </c>
      <c r="R17">
        <f t="shared" si="5"/>
        <v>52279.200000000004</v>
      </c>
      <c r="S17">
        <f t="shared" si="6"/>
        <v>75038.400000000009</v>
      </c>
      <c r="T17">
        <f t="shared" si="7"/>
        <v>153950.39999999999</v>
      </c>
      <c r="U17">
        <f>OPEX!$B$3</f>
        <v>19283.042118970367</v>
      </c>
      <c r="V17">
        <f t="shared" si="8"/>
        <v>38806.557881029628</v>
      </c>
      <c r="W17">
        <f t="shared" si="9"/>
        <v>64092.957881029637</v>
      </c>
      <c r="X17">
        <f t="shared" si="1"/>
        <v>151774.55788102964</v>
      </c>
      <c r="Y17">
        <f t="shared" si="10"/>
        <v>32996.157881029634</v>
      </c>
      <c r="Z17">
        <f t="shared" si="11"/>
        <v>55755.357881029646</v>
      </c>
      <c r="AA17">
        <f t="shared" si="12"/>
        <v>134667.35788102963</v>
      </c>
      <c r="AB17">
        <f t="shared" si="13"/>
        <v>0.23939204936916339</v>
      </c>
      <c r="AC17">
        <f t="shared" si="14"/>
        <v>9289.981420102742</v>
      </c>
      <c r="AD17">
        <f t="shared" si="15"/>
        <v>15343.344537271156</v>
      </c>
      <c r="AE17">
        <f t="shared" si="16"/>
        <v>36333.622453238393</v>
      </c>
      <c r="AF17">
        <f t="shared" si="17"/>
        <v>7899.0178564481557</v>
      </c>
      <c r="AG17">
        <f t="shared" si="18"/>
        <v>13347.389386450823</v>
      </c>
      <c r="AH17">
        <f t="shared" si="19"/>
        <v>32238.294786270239</v>
      </c>
    </row>
    <row r="18" spans="1:34" ht="14.45" x14ac:dyDescent="0.3">
      <c r="A18" s="1">
        <v>2034</v>
      </c>
      <c r="B18" s="2">
        <v>0.34473003819424058</v>
      </c>
      <c r="C18" s="2">
        <v>0.48275715310771816</v>
      </c>
      <c r="D18" s="2">
        <v>0.81194464329899008</v>
      </c>
      <c r="E18" s="4"/>
      <c r="F18" s="4"/>
      <c r="M18">
        <v>5</v>
      </c>
      <c r="N18">
        <v>2034</v>
      </c>
      <c r="O18">
        <f t="shared" si="2"/>
        <v>72626.400000000009</v>
      </c>
      <c r="P18">
        <f t="shared" si="3"/>
        <v>101707.2</v>
      </c>
      <c r="Q18">
        <f t="shared" si="4"/>
        <v>171064.80000000002</v>
      </c>
      <c r="R18">
        <f t="shared" si="5"/>
        <v>65361.599999999999</v>
      </c>
      <c r="S18">
        <f t="shared" si="6"/>
        <v>91533.6</v>
      </c>
      <c r="T18">
        <f t="shared" si="7"/>
        <v>153957.6</v>
      </c>
      <c r="U18">
        <f>OPEX!$B$3</f>
        <v>19283.042118970367</v>
      </c>
      <c r="V18">
        <f t="shared" si="8"/>
        <v>53343.357881029646</v>
      </c>
      <c r="W18">
        <f t="shared" si="9"/>
        <v>82424.157881029634</v>
      </c>
      <c r="X18">
        <f t="shared" si="1"/>
        <v>151781.75788102965</v>
      </c>
      <c r="Y18">
        <f t="shared" si="10"/>
        <v>46078.557881029628</v>
      </c>
      <c r="Z18">
        <f t="shared" si="11"/>
        <v>72250.557881029643</v>
      </c>
      <c r="AA18">
        <f t="shared" si="12"/>
        <v>134674.55788102964</v>
      </c>
      <c r="AB18">
        <f t="shared" si="13"/>
        <v>0.21762913579014853</v>
      </c>
      <c r="AC18">
        <f t="shared" si="14"/>
        <v>11609.068875793091</v>
      </c>
      <c r="AD18">
        <f t="shared" si="15"/>
        <v>17937.898247879239</v>
      </c>
      <c r="AE18">
        <f t="shared" si="16"/>
        <v>33032.132796358048</v>
      </c>
      <c r="AF18">
        <f t="shared" si="17"/>
        <v>10028.036730104815</v>
      </c>
      <c r="AG18">
        <f t="shared" si="18"/>
        <v>15723.826472004586</v>
      </c>
      <c r="AH18">
        <f t="shared" si="19"/>
        <v>29309.10764456882</v>
      </c>
    </row>
    <row r="19" spans="1:34" ht="14.45" x14ac:dyDescent="0.3">
      <c r="A19" s="1">
        <v>2035</v>
      </c>
      <c r="B19" s="2">
        <v>0.41990776110729683</v>
      </c>
      <c r="C19" s="2">
        <v>0.56669544119894444</v>
      </c>
      <c r="D19" s="2">
        <v>0.81196697777142901</v>
      </c>
      <c r="E19" s="4"/>
      <c r="F19" s="4"/>
      <c r="M19">
        <v>5</v>
      </c>
      <c r="N19">
        <v>2035</v>
      </c>
      <c r="O19">
        <f t="shared" si="2"/>
        <v>88466.400000000009</v>
      </c>
      <c r="P19">
        <f t="shared" si="3"/>
        <v>119390.40000000001</v>
      </c>
      <c r="Q19">
        <f t="shared" si="4"/>
        <v>171064.80000000002</v>
      </c>
      <c r="R19">
        <f t="shared" si="5"/>
        <v>79617.600000000006</v>
      </c>
      <c r="S19">
        <f t="shared" si="6"/>
        <v>107445.6</v>
      </c>
      <c r="T19">
        <f t="shared" si="7"/>
        <v>153957.6</v>
      </c>
      <c r="U19">
        <f>OPEX!$B$3</f>
        <v>19283.042118970367</v>
      </c>
      <c r="V19">
        <f t="shared" si="8"/>
        <v>69183.357881029646</v>
      </c>
      <c r="W19">
        <f t="shared" si="9"/>
        <v>100107.35788102965</v>
      </c>
      <c r="X19">
        <f t="shared" si="1"/>
        <v>151781.75788102965</v>
      </c>
      <c r="Y19">
        <f t="shared" si="10"/>
        <v>60334.557881029643</v>
      </c>
      <c r="Z19">
        <f t="shared" si="11"/>
        <v>88162.557881029643</v>
      </c>
      <c r="AA19">
        <f t="shared" si="12"/>
        <v>134674.55788102964</v>
      </c>
      <c r="AB19">
        <f t="shared" si="13"/>
        <v>0.19784466890013502</v>
      </c>
      <c r="AC19">
        <f t="shared" si="14"/>
        <v>13687.558533371857</v>
      </c>
      <c r="AD19">
        <f t="shared" si="15"/>
        <v>19805.707074439633</v>
      </c>
      <c r="AE19">
        <f t="shared" si="16"/>
        <v>30029.211633052772</v>
      </c>
      <c r="AF19">
        <f t="shared" si="17"/>
        <v>11936.870627208342</v>
      </c>
      <c r="AG19">
        <f t="shared" si="18"/>
        <v>17442.4920733613</v>
      </c>
      <c r="AH19">
        <f t="shared" si="19"/>
        <v>26644.643313244378</v>
      </c>
    </row>
    <row r="20" spans="1:34" ht="14.45" x14ac:dyDescent="0.3">
      <c r="A20" s="1">
        <v>2036</v>
      </c>
      <c r="B20" s="2">
        <v>0.49674879435971603</v>
      </c>
      <c r="C20" s="2">
        <v>0.6401094708398074</v>
      </c>
      <c r="D20" s="2">
        <v>0.81198030104420527</v>
      </c>
      <c r="E20" s="4"/>
      <c r="F20" s="4"/>
      <c r="M20">
        <v>5</v>
      </c>
      <c r="N20">
        <v>2036</v>
      </c>
      <c r="O20">
        <f t="shared" si="2"/>
        <v>104652</v>
      </c>
      <c r="P20">
        <f t="shared" si="3"/>
        <v>134856</v>
      </c>
      <c r="Q20">
        <f t="shared" si="4"/>
        <v>171072</v>
      </c>
      <c r="R20">
        <f t="shared" si="5"/>
        <v>94183.2</v>
      </c>
      <c r="S20">
        <f t="shared" si="6"/>
        <v>121370.40000000001</v>
      </c>
      <c r="T20">
        <f t="shared" si="7"/>
        <v>153964.80000000002</v>
      </c>
      <c r="U20">
        <f>OPEX!$B$3</f>
        <v>19283.042118970367</v>
      </c>
      <c r="V20">
        <f t="shared" si="8"/>
        <v>85368.957881029637</v>
      </c>
      <c r="W20">
        <f t="shared" si="9"/>
        <v>115572.95788102964</v>
      </c>
      <c r="X20">
        <f t="shared" si="1"/>
        <v>151788.95788102964</v>
      </c>
      <c r="Y20">
        <f t="shared" si="10"/>
        <v>74900.157881029634</v>
      </c>
      <c r="Z20">
        <f t="shared" si="11"/>
        <v>102087.35788102965</v>
      </c>
      <c r="AA20">
        <f t="shared" si="12"/>
        <v>134681.75788102965</v>
      </c>
      <c r="AB20">
        <f t="shared" si="13"/>
        <v>0.17985878990921364</v>
      </c>
      <c r="AC20">
        <f t="shared" si="14"/>
        <v>15354.357460292618</v>
      </c>
      <c r="AD20">
        <f t="shared" si="15"/>
        <v>20786.812350710505</v>
      </c>
      <c r="AE20">
        <f t="shared" si="16"/>
        <v>27300.578286062588</v>
      </c>
      <c r="AF20">
        <f t="shared" si="17"/>
        <v>13471.451760491042</v>
      </c>
      <c r="AG20">
        <f t="shared" si="18"/>
        <v>18361.308653510816</v>
      </c>
      <c r="AH20">
        <f t="shared" si="19"/>
        <v>24223.69799532769</v>
      </c>
    </row>
    <row r="21" spans="1:34" ht="14.45" x14ac:dyDescent="0.3">
      <c r="A21" s="1">
        <v>2037</v>
      </c>
      <c r="B21" s="2">
        <v>0.56983749764265379</v>
      </c>
      <c r="C21" s="2">
        <v>0.69821736159425984</v>
      </c>
      <c r="D21" s="2">
        <v>0.81198824884870602</v>
      </c>
      <c r="E21" s="4"/>
      <c r="F21" s="4"/>
      <c r="M21">
        <v>5</v>
      </c>
      <c r="N21">
        <v>2037</v>
      </c>
      <c r="O21">
        <f t="shared" si="2"/>
        <v>120052.8</v>
      </c>
      <c r="P21">
        <f t="shared" si="3"/>
        <v>147103.20000000001</v>
      </c>
      <c r="Q21">
        <f t="shared" si="4"/>
        <v>171072</v>
      </c>
      <c r="R21">
        <f t="shared" si="5"/>
        <v>108043.2</v>
      </c>
      <c r="S21">
        <f t="shared" si="6"/>
        <v>132386.4</v>
      </c>
      <c r="T21">
        <f t="shared" si="7"/>
        <v>153964.80000000002</v>
      </c>
      <c r="U21">
        <f>OPEX!$B$3</f>
        <v>19283.042118970367</v>
      </c>
      <c r="V21">
        <f t="shared" si="8"/>
        <v>100769.75788102964</v>
      </c>
      <c r="W21">
        <f t="shared" si="9"/>
        <v>127820.15788102965</v>
      </c>
      <c r="X21">
        <f t="shared" si="1"/>
        <v>151788.95788102964</v>
      </c>
      <c r="Y21">
        <f t="shared" si="10"/>
        <v>88760.157881029634</v>
      </c>
      <c r="Z21">
        <f t="shared" si="11"/>
        <v>113103.35788102963</v>
      </c>
      <c r="AA21">
        <f t="shared" si="12"/>
        <v>134681.75788102965</v>
      </c>
      <c r="AB21">
        <f t="shared" si="13"/>
        <v>0.16350799082655781</v>
      </c>
      <c r="AC21">
        <f t="shared" si="14"/>
        <v>16476.660647205845</v>
      </c>
      <c r="AD21">
        <f t="shared" si="15"/>
        <v>20899.617202260568</v>
      </c>
      <c r="AE21">
        <f t="shared" si="16"/>
        <v>24818.707532784163</v>
      </c>
      <c r="AF21">
        <f t="shared" si="17"/>
        <v>14512.995080575216</v>
      </c>
      <c r="AG21">
        <f t="shared" si="18"/>
        <v>18493.302802864277</v>
      </c>
      <c r="AH21">
        <f t="shared" si="19"/>
        <v>22021.543632116078</v>
      </c>
    </row>
    <row r="22" spans="1:34" ht="14.45" x14ac:dyDescent="0.3">
      <c r="A22" s="1">
        <v>2038</v>
      </c>
      <c r="B22" s="2">
        <v>0.6342422946353552</v>
      </c>
      <c r="C22" s="2">
        <v>0.7401737876946326</v>
      </c>
      <c r="D22" s="2">
        <v>0.81199299000255409</v>
      </c>
      <c r="E22" s="4"/>
      <c r="F22" s="4"/>
      <c r="M22">
        <v>5</v>
      </c>
      <c r="N22">
        <v>2038</v>
      </c>
      <c r="O22">
        <f t="shared" si="2"/>
        <v>133624.80000000002</v>
      </c>
      <c r="P22">
        <f t="shared" si="3"/>
        <v>155937.60000000001</v>
      </c>
      <c r="Q22">
        <f t="shared" si="4"/>
        <v>171072</v>
      </c>
      <c r="R22">
        <f t="shared" si="5"/>
        <v>120261.6</v>
      </c>
      <c r="S22">
        <f t="shared" si="6"/>
        <v>140342.39999999999</v>
      </c>
      <c r="T22">
        <f t="shared" si="7"/>
        <v>153964.80000000002</v>
      </c>
      <c r="U22">
        <f>OPEX!$B$3</f>
        <v>19283.042118970367</v>
      </c>
      <c r="V22">
        <f t="shared" si="8"/>
        <v>114341.75788102965</v>
      </c>
      <c r="W22">
        <f t="shared" si="9"/>
        <v>136654.55788102964</v>
      </c>
      <c r="X22">
        <f t="shared" si="1"/>
        <v>151788.95788102964</v>
      </c>
      <c r="Y22">
        <f t="shared" si="10"/>
        <v>100978.55788102964</v>
      </c>
      <c r="Z22">
        <f t="shared" si="11"/>
        <v>121059.35788102963</v>
      </c>
      <c r="AA22">
        <f t="shared" si="12"/>
        <v>134681.75788102965</v>
      </c>
      <c r="AB22">
        <f t="shared" si="13"/>
        <v>0.14864362802414349</v>
      </c>
      <c r="AC22">
        <f t="shared" si="14"/>
        <v>16996.17372609445</v>
      </c>
      <c r="AD22">
        <f t="shared" si="15"/>
        <v>20312.829269471556</v>
      </c>
      <c r="AE22">
        <f t="shared" si="16"/>
        <v>22562.461393440153</v>
      </c>
      <c r="AF22">
        <f t="shared" si="17"/>
        <v>15009.819196082213</v>
      </c>
      <c r="AG22">
        <f t="shared" si="18"/>
        <v>17994.702161709432</v>
      </c>
      <c r="AH22">
        <f t="shared" si="19"/>
        <v>20019.585120105527</v>
      </c>
    </row>
    <row r="25" spans="1:34" ht="14.45" x14ac:dyDescent="0.3">
      <c r="I25" t="s">
        <v>29</v>
      </c>
      <c r="J25" s="3">
        <v>29262</v>
      </c>
      <c r="K25" t="s">
        <v>40</v>
      </c>
      <c r="L25">
        <v>0.1</v>
      </c>
    </row>
    <row r="28" spans="1:34" x14ac:dyDescent="0.25">
      <c r="A28" t="s">
        <v>25</v>
      </c>
      <c r="B28" t="s">
        <v>26</v>
      </c>
      <c r="C28" t="s">
        <v>27</v>
      </c>
      <c r="D28" t="s">
        <v>28</v>
      </c>
      <c r="E28" t="s">
        <v>43</v>
      </c>
      <c r="F28" t="s">
        <v>44</v>
      </c>
      <c r="G28" t="s">
        <v>45</v>
      </c>
    </row>
    <row r="29" spans="1:34" x14ac:dyDescent="0.25">
      <c r="A29" s="1">
        <v>2018</v>
      </c>
      <c r="B29">
        <f>ROUNDDOWN(B2*J$25,0)</f>
        <v>96</v>
      </c>
      <c r="C29">
        <f>ROUNDDOWN(C2*J$25,0)</f>
        <v>96</v>
      </c>
      <c r="D29">
        <f>ROUNDDOWN(D2*J$25,0)</f>
        <v>96</v>
      </c>
      <c r="E29">
        <f>ROUNDDOWN(B29-0.1*(B29),0)</f>
        <v>86</v>
      </c>
      <c r="F29">
        <f>ROUNDDOWN(C29-0.1*(C29),0)</f>
        <v>86</v>
      </c>
      <c r="G29">
        <f>ROUNDDOWN(D29-0.1*(D29),0)</f>
        <v>86</v>
      </c>
    </row>
    <row r="30" spans="1:34" x14ac:dyDescent="0.25">
      <c r="A30" s="1">
        <v>2019</v>
      </c>
      <c r="B30">
        <f t="shared" ref="B30:B49" si="20">ROUNDDOWN(B3*J$25,0)</f>
        <v>128</v>
      </c>
      <c r="C30">
        <f t="shared" ref="C30:C49" si="21">ROUNDDOWN(C3*J$25,0)</f>
        <v>132</v>
      </c>
      <c r="D30">
        <f t="shared" ref="D30:D49" si="22">ROUNDDOWN(D3*J$25,0)</f>
        <v>179</v>
      </c>
      <c r="E30">
        <f t="shared" ref="E30:E49" si="23">ROUNDDOWN(B30-0.1*(B30),0)</f>
        <v>115</v>
      </c>
      <c r="F30">
        <f t="shared" ref="F30:F49" si="24">ROUNDDOWN(C30-0.1*(C30),0)</f>
        <v>118</v>
      </c>
      <c r="G30">
        <f t="shared" ref="G30:G49" si="25">ROUNDDOWN(D30-0.1*(D30),0)</f>
        <v>161</v>
      </c>
    </row>
    <row r="31" spans="1:34" x14ac:dyDescent="0.25">
      <c r="A31" s="1">
        <v>2020</v>
      </c>
      <c r="B31">
        <f t="shared" si="20"/>
        <v>172</v>
      </c>
      <c r="C31">
        <f t="shared" si="21"/>
        <v>183</v>
      </c>
      <c r="D31">
        <f t="shared" si="22"/>
        <v>342</v>
      </c>
      <c r="E31">
        <f t="shared" si="23"/>
        <v>154</v>
      </c>
      <c r="F31">
        <f t="shared" si="24"/>
        <v>164</v>
      </c>
      <c r="G31">
        <f t="shared" si="25"/>
        <v>307</v>
      </c>
    </row>
    <row r="32" spans="1:34" x14ac:dyDescent="0.25">
      <c r="A32" s="1">
        <v>2021</v>
      </c>
      <c r="B32">
        <f t="shared" si="20"/>
        <v>233</v>
      </c>
      <c r="C32">
        <f t="shared" si="21"/>
        <v>257</v>
      </c>
      <c r="D32">
        <f t="shared" si="22"/>
        <v>661</v>
      </c>
      <c r="E32">
        <f t="shared" si="23"/>
        <v>209</v>
      </c>
      <c r="F32">
        <f t="shared" si="24"/>
        <v>231</v>
      </c>
      <c r="G32">
        <f t="shared" si="25"/>
        <v>594</v>
      </c>
    </row>
    <row r="33" spans="1:7" x14ac:dyDescent="0.25">
      <c r="A33" s="1">
        <v>2022</v>
      </c>
      <c r="B33">
        <f t="shared" si="20"/>
        <v>318</v>
      </c>
      <c r="C33">
        <f t="shared" si="21"/>
        <v>363</v>
      </c>
      <c r="D33">
        <f t="shared" si="22"/>
        <v>1284</v>
      </c>
      <c r="E33">
        <f t="shared" si="23"/>
        <v>286</v>
      </c>
      <c r="F33">
        <f t="shared" si="24"/>
        <v>326</v>
      </c>
      <c r="G33">
        <f t="shared" si="25"/>
        <v>1155</v>
      </c>
    </row>
    <row r="34" spans="1:7" x14ac:dyDescent="0.25">
      <c r="A34" s="1">
        <v>2023</v>
      </c>
      <c r="B34">
        <f t="shared" si="20"/>
        <v>435</v>
      </c>
      <c r="C34">
        <f t="shared" si="21"/>
        <v>514</v>
      </c>
      <c r="D34">
        <f t="shared" si="22"/>
        <v>2473</v>
      </c>
      <c r="E34">
        <f t="shared" si="23"/>
        <v>391</v>
      </c>
      <c r="F34">
        <f t="shared" si="24"/>
        <v>462</v>
      </c>
      <c r="G34">
        <f t="shared" si="25"/>
        <v>2225</v>
      </c>
    </row>
    <row r="35" spans="1:7" x14ac:dyDescent="0.25">
      <c r="A35" s="1">
        <v>2024</v>
      </c>
      <c r="B35">
        <f t="shared" si="20"/>
        <v>594</v>
      </c>
      <c r="C35">
        <f t="shared" si="21"/>
        <v>727</v>
      </c>
      <c r="D35">
        <f t="shared" si="22"/>
        <v>4660</v>
      </c>
      <c r="E35">
        <f t="shared" si="23"/>
        <v>534</v>
      </c>
      <c r="F35">
        <f t="shared" si="24"/>
        <v>654</v>
      </c>
      <c r="G35">
        <f t="shared" si="25"/>
        <v>4194</v>
      </c>
    </row>
    <row r="36" spans="1:7" x14ac:dyDescent="0.25">
      <c r="A36" s="1">
        <v>2025</v>
      </c>
      <c r="B36">
        <f t="shared" si="20"/>
        <v>813</v>
      </c>
      <c r="C36">
        <f t="shared" si="21"/>
        <v>1027</v>
      </c>
      <c r="D36">
        <f t="shared" si="22"/>
        <v>8373</v>
      </c>
      <c r="E36">
        <f t="shared" si="23"/>
        <v>731</v>
      </c>
      <c r="F36">
        <f t="shared" si="24"/>
        <v>924</v>
      </c>
      <c r="G36">
        <f t="shared" si="25"/>
        <v>7535</v>
      </c>
    </row>
    <row r="37" spans="1:7" x14ac:dyDescent="0.25">
      <c r="A37" s="1">
        <v>2026</v>
      </c>
      <c r="B37">
        <f t="shared" si="20"/>
        <v>1109</v>
      </c>
      <c r="C37">
        <f t="shared" si="21"/>
        <v>1446</v>
      </c>
      <c r="D37">
        <f t="shared" si="22"/>
        <v>13760</v>
      </c>
      <c r="E37">
        <f t="shared" si="23"/>
        <v>998</v>
      </c>
      <c r="F37">
        <f t="shared" si="24"/>
        <v>1301</v>
      </c>
      <c r="G37">
        <f t="shared" si="25"/>
        <v>12384</v>
      </c>
    </row>
    <row r="38" spans="1:7" x14ac:dyDescent="0.25">
      <c r="A38" s="1">
        <v>2027</v>
      </c>
      <c r="B38">
        <f t="shared" si="20"/>
        <v>1509</v>
      </c>
      <c r="C38">
        <f t="shared" si="21"/>
        <v>2028</v>
      </c>
      <c r="D38">
        <f t="shared" si="22"/>
        <v>19517</v>
      </c>
      <c r="E38">
        <f t="shared" si="23"/>
        <v>1358</v>
      </c>
      <c r="F38">
        <f t="shared" si="24"/>
        <v>1825</v>
      </c>
      <c r="G38">
        <f t="shared" si="25"/>
        <v>17565</v>
      </c>
    </row>
    <row r="39" spans="1:7" x14ac:dyDescent="0.25">
      <c r="A39" s="1">
        <v>2028</v>
      </c>
      <c r="B39">
        <f t="shared" si="20"/>
        <v>2044</v>
      </c>
      <c r="C39">
        <f t="shared" si="21"/>
        <v>2822</v>
      </c>
      <c r="D39">
        <f t="shared" si="22"/>
        <v>22973</v>
      </c>
      <c r="E39">
        <f t="shared" si="23"/>
        <v>1839</v>
      </c>
      <c r="F39">
        <f t="shared" si="24"/>
        <v>2539</v>
      </c>
      <c r="G39">
        <f t="shared" si="25"/>
        <v>20675</v>
      </c>
    </row>
    <row r="40" spans="1:7" x14ac:dyDescent="0.25">
      <c r="A40" s="1">
        <v>2029</v>
      </c>
      <c r="B40">
        <f t="shared" si="20"/>
        <v>2751</v>
      </c>
      <c r="C40">
        <f t="shared" si="21"/>
        <v>3887</v>
      </c>
      <c r="D40">
        <f t="shared" si="22"/>
        <v>23713</v>
      </c>
      <c r="E40">
        <f t="shared" si="23"/>
        <v>2475</v>
      </c>
      <c r="F40">
        <f t="shared" si="24"/>
        <v>3498</v>
      </c>
      <c r="G40">
        <f t="shared" si="25"/>
        <v>21341</v>
      </c>
    </row>
    <row r="41" spans="1:7" x14ac:dyDescent="0.25">
      <c r="A41" s="1">
        <v>2030</v>
      </c>
      <c r="B41">
        <f t="shared" si="20"/>
        <v>3672</v>
      </c>
      <c r="C41">
        <f t="shared" si="21"/>
        <v>5281</v>
      </c>
      <c r="D41">
        <f t="shared" si="22"/>
        <v>23747</v>
      </c>
      <c r="E41">
        <f t="shared" si="23"/>
        <v>3304</v>
      </c>
      <c r="F41">
        <f t="shared" si="24"/>
        <v>4752</v>
      </c>
      <c r="G41">
        <f t="shared" si="25"/>
        <v>21372</v>
      </c>
    </row>
    <row r="42" spans="1:7" x14ac:dyDescent="0.25">
      <c r="A42" s="1">
        <v>2031</v>
      </c>
      <c r="B42">
        <f t="shared" si="20"/>
        <v>4849</v>
      </c>
      <c r="C42">
        <f t="shared" si="21"/>
        <v>7042</v>
      </c>
      <c r="D42">
        <f t="shared" si="22"/>
        <v>23753</v>
      </c>
      <c r="E42">
        <f t="shared" si="23"/>
        <v>4364</v>
      </c>
      <c r="F42">
        <f t="shared" si="24"/>
        <v>6337</v>
      </c>
      <c r="G42">
        <f t="shared" si="25"/>
        <v>21377</v>
      </c>
    </row>
    <row r="43" spans="1:7" x14ac:dyDescent="0.25">
      <c r="A43" s="1">
        <v>2032</v>
      </c>
      <c r="B43">
        <f t="shared" si="20"/>
        <v>6311</v>
      </c>
      <c r="C43">
        <f t="shared" si="21"/>
        <v>9166</v>
      </c>
      <c r="D43">
        <f t="shared" si="22"/>
        <v>23756</v>
      </c>
      <c r="E43">
        <f t="shared" si="23"/>
        <v>5679</v>
      </c>
      <c r="F43">
        <f t="shared" si="24"/>
        <v>8249</v>
      </c>
      <c r="G43">
        <f t="shared" si="25"/>
        <v>21380</v>
      </c>
    </row>
    <row r="44" spans="1:7" x14ac:dyDescent="0.25">
      <c r="A44" s="1">
        <v>2033</v>
      </c>
      <c r="B44">
        <f t="shared" si="20"/>
        <v>8068</v>
      </c>
      <c r="C44">
        <f t="shared" si="21"/>
        <v>11580</v>
      </c>
      <c r="D44">
        <f t="shared" si="22"/>
        <v>23758</v>
      </c>
      <c r="E44">
        <f t="shared" si="23"/>
        <v>7261</v>
      </c>
      <c r="F44">
        <f t="shared" si="24"/>
        <v>10422</v>
      </c>
      <c r="G44">
        <f t="shared" si="25"/>
        <v>21382</v>
      </c>
    </row>
    <row r="45" spans="1:7" x14ac:dyDescent="0.25">
      <c r="A45" s="1">
        <v>2034</v>
      </c>
      <c r="B45">
        <f t="shared" si="20"/>
        <v>10087</v>
      </c>
      <c r="C45">
        <f t="shared" si="21"/>
        <v>14126</v>
      </c>
      <c r="D45">
        <f t="shared" si="22"/>
        <v>23759</v>
      </c>
      <c r="E45">
        <f t="shared" si="23"/>
        <v>9078</v>
      </c>
      <c r="F45">
        <f t="shared" si="24"/>
        <v>12713</v>
      </c>
      <c r="G45">
        <f t="shared" si="25"/>
        <v>21383</v>
      </c>
    </row>
    <row r="46" spans="1:7" x14ac:dyDescent="0.25">
      <c r="A46" s="1">
        <v>2035</v>
      </c>
      <c r="B46">
        <f t="shared" si="20"/>
        <v>12287</v>
      </c>
      <c r="C46">
        <f t="shared" si="21"/>
        <v>16582</v>
      </c>
      <c r="D46">
        <f t="shared" si="22"/>
        <v>23759</v>
      </c>
      <c r="E46">
        <f t="shared" si="23"/>
        <v>11058</v>
      </c>
      <c r="F46">
        <f t="shared" si="24"/>
        <v>14923</v>
      </c>
      <c r="G46">
        <f t="shared" si="25"/>
        <v>21383</v>
      </c>
    </row>
    <row r="47" spans="1:7" x14ac:dyDescent="0.25">
      <c r="A47" s="1">
        <v>2036</v>
      </c>
      <c r="B47">
        <f t="shared" si="20"/>
        <v>14535</v>
      </c>
      <c r="C47">
        <f t="shared" si="21"/>
        <v>18730</v>
      </c>
      <c r="D47">
        <f t="shared" si="22"/>
        <v>23760</v>
      </c>
      <c r="E47">
        <f t="shared" si="23"/>
        <v>13081</v>
      </c>
      <c r="F47">
        <f t="shared" si="24"/>
        <v>16857</v>
      </c>
      <c r="G47">
        <f t="shared" si="25"/>
        <v>21384</v>
      </c>
    </row>
    <row r="48" spans="1:7" x14ac:dyDescent="0.25">
      <c r="A48" s="1">
        <v>2037</v>
      </c>
      <c r="B48">
        <f t="shared" si="20"/>
        <v>16674</v>
      </c>
      <c r="C48">
        <f t="shared" si="21"/>
        <v>20431</v>
      </c>
      <c r="D48">
        <f t="shared" si="22"/>
        <v>23760</v>
      </c>
      <c r="E48">
        <f t="shared" si="23"/>
        <v>15006</v>
      </c>
      <c r="F48">
        <f t="shared" si="24"/>
        <v>18387</v>
      </c>
      <c r="G48">
        <f t="shared" si="25"/>
        <v>21384</v>
      </c>
    </row>
    <row r="49" spans="1:7" x14ac:dyDescent="0.25">
      <c r="A49" s="1">
        <v>2038</v>
      </c>
      <c r="B49">
        <f t="shared" si="20"/>
        <v>18559</v>
      </c>
      <c r="C49">
        <f t="shared" si="21"/>
        <v>21658</v>
      </c>
      <c r="D49">
        <f t="shared" si="22"/>
        <v>23760</v>
      </c>
      <c r="E49">
        <f t="shared" si="23"/>
        <v>16703</v>
      </c>
      <c r="F49">
        <f t="shared" si="24"/>
        <v>19492</v>
      </c>
      <c r="G49">
        <f t="shared" si="25"/>
        <v>21384</v>
      </c>
    </row>
  </sheetData>
  <pageMargins left="0.7" right="0.7" top="0.75" bottom="0.75" header="0.3" footer="0.3"/>
  <pageSetup paperSize="9" orientation="portrait" r:id="rId1"/>
  <headerFooter>
    <oddFooter>&amp;LUnrestricted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="85" zoomScaleNormal="85" workbookViewId="0">
      <pane xSplit="1" topLeftCell="B1" activePane="topRight" state="frozen"/>
      <selection pane="topRight" activeCell="F31" sqref="F31"/>
    </sheetView>
  </sheetViews>
  <sheetFormatPr defaultRowHeight="15" x14ac:dyDescent="0.25"/>
  <cols>
    <col min="1" max="1" width="30.85546875" customWidth="1"/>
    <col min="2" max="2" width="28" customWidth="1"/>
    <col min="3" max="3" width="18" customWidth="1"/>
    <col min="4" max="4" width="20.7109375" customWidth="1"/>
    <col min="5" max="5" width="19.28515625" customWidth="1"/>
    <col min="6" max="6" width="34.5703125" customWidth="1"/>
    <col min="7" max="7" width="22.7109375" customWidth="1"/>
    <col min="8" max="8" width="25" customWidth="1"/>
    <col min="9" max="9" width="17.28515625" customWidth="1"/>
    <col min="10" max="10" width="16" customWidth="1"/>
    <col min="11" max="11" width="16.85546875" customWidth="1"/>
    <col min="12" max="12" width="12.5703125" customWidth="1"/>
    <col min="13" max="13" width="15.28515625" customWidth="1"/>
    <col min="14" max="14" width="16.42578125" customWidth="1"/>
    <col min="15" max="15" width="25.7109375" customWidth="1"/>
  </cols>
  <sheetData>
    <row r="1" spans="1:15" x14ac:dyDescent="0.3">
      <c r="A1" t="s">
        <v>23</v>
      </c>
      <c r="B1" s="7" t="s">
        <v>24</v>
      </c>
      <c r="C1" s="7" t="s">
        <v>65</v>
      </c>
      <c r="D1" s="7" t="s">
        <v>66</v>
      </c>
      <c r="E1" s="7" t="s">
        <v>67</v>
      </c>
      <c r="F1" s="7" t="s">
        <v>68</v>
      </c>
      <c r="G1" s="7" t="s">
        <v>69</v>
      </c>
      <c r="H1" s="7" t="s">
        <v>70</v>
      </c>
      <c r="I1" s="7" t="s">
        <v>71</v>
      </c>
      <c r="J1" s="7" t="s">
        <v>72</v>
      </c>
      <c r="K1" s="7" t="s">
        <v>73</v>
      </c>
      <c r="L1" s="7" t="s">
        <v>74</v>
      </c>
      <c r="M1" s="7" t="s">
        <v>75</v>
      </c>
      <c r="N1" s="7" t="s">
        <v>76</v>
      </c>
      <c r="O1" s="7" t="s">
        <v>77</v>
      </c>
    </row>
    <row r="2" spans="1:15" x14ac:dyDescent="0.3">
      <c r="A2" s="7" t="s">
        <v>24</v>
      </c>
      <c r="B2">
        <v>0</v>
      </c>
      <c r="C2">
        <f>CAPEX!$W3</f>
        <v>685320.49758500769</v>
      </c>
      <c r="D2">
        <f>CAPEX!$W4</f>
        <v>488901.15606202511</v>
      </c>
      <c r="E2">
        <f>CAPEX!$W5</f>
        <v>433198.37939566193</v>
      </c>
      <c r="F2">
        <f>CAPEX!$W6</f>
        <v>647978.37939566188</v>
      </c>
      <c r="G2">
        <f>CAPEX!$W7</f>
        <v>652800.75606202509</v>
      </c>
      <c r="H2">
        <f>CAPEX!$W8</f>
        <v>784642.89758500771</v>
      </c>
      <c r="I2">
        <f>CAPEX!$W9</f>
        <v>501952.35606202506</v>
      </c>
      <c r="J2">
        <f>CAPEX!$W10</f>
        <v>449448.37939566193</v>
      </c>
      <c r="K2">
        <f>CAPEX!$W11</f>
        <v>443471.16896909516</v>
      </c>
      <c r="L2">
        <f>CAPEX!$W12</f>
        <v>458559.26274949865</v>
      </c>
      <c r="M2">
        <f>CAPEX!$W13</f>
        <v>419492.25412900344</v>
      </c>
      <c r="N2">
        <f>CAPEX!$W14</f>
        <v>593031.60963587556</v>
      </c>
      <c r="O2">
        <f>CAPEX!$W15</f>
        <v>456615.89812900347</v>
      </c>
    </row>
    <row r="3" spans="1:15" x14ac:dyDescent="0.3">
      <c r="A3" s="7" t="s">
        <v>65</v>
      </c>
      <c r="B3">
        <v>0</v>
      </c>
      <c r="C3">
        <v>0</v>
      </c>
      <c r="D3">
        <f>IF(D2-C2&gt;0,D2-C2,0)</f>
        <v>0</v>
      </c>
      <c r="E3" s="11">
        <f t="shared" ref="E3" si="0">IF(E2-D2&gt;0,E2-D2,0)</f>
        <v>0</v>
      </c>
      <c r="F3" s="11">
        <v>0</v>
      </c>
      <c r="G3" s="11">
        <f>IF(D2-F2&gt;0,D2-F2,0)</f>
        <v>0</v>
      </c>
      <c r="H3">
        <f>H2-C2</f>
        <v>99322.400000000023</v>
      </c>
      <c r="I3">
        <f>D3+(I2-D2)</f>
        <v>13051.199999999953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s="7" t="s">
        <v>66</v>
      </c>
      <c r="B4">
        <v>0</v>
      </c>
      <c r="C4">
        <v>0</v>
      </c>
      <c r="D4">
        <v>0</v>
      </c>
      <c r="E4">
        <v>0</v>
      </c>
      <c r="F4">
        <v>0</v>
      </c>
      <c r="G4">
        <f>G2-D2</f>
        <v>163899.59999999998</v>
      </c>
      <c r="H4">
        <v>0</v>
      </c>
      <c r="I4">
        <f>I2-D2</f>
        <v>13051.199999999953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s="7" t="s">
        <v>67</v>
      </c>
      <c r="B5">
        <v>0</v>
      </c>
      <c r="C5">
        <v>0</v>
      </c>
      <c r="D5">
        <v>0</v>
      </c>
      <c r="E5">
        <v>0</v>
      </c>
      <c r="F5">
        <f>F2-E2</f>
        <v>214779.99999999994</v>
      </c>
      <c r="G5">
        <v>0</v>
      </c>
      <c r="H5">
        <v>0</v>
      </c>
      <c r="I5">
        <v>0</v>
      </c>
      <c r="J5">
        <f>J2-E2</f>
        <v>16250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7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7" t="s">
        <v>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7" t="s">
        <v>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s="7" t="s">
        <v>71</v>
      </c>
      <c r="B9">
        <v>0</v>
      </c>
      <c r="C9">
        <v>0</v>
      </c>
      <c r="D9">
        <v>0</v>
      </c>
      <c r="E9">
        <v>0</v>
      </c>
      <c r="F9">
        <v>0</v>
      </c>
      <c r="G9">
        <f>G2-I2</f>
        <v>150848.40000000002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7" t="s">
        <v>72</v>
      </c>
      <c r="B10">
        <v>0</v>
      </c>
      <c r="C10">
        <v>0</v>
      </c>
      <c r="D10">
        <v>0</v>
      </c>
      <c r="E10">
        <v>0</v>
      </c>
      <c r="F10">
        <f>F2-J2</f>
        <v>198529.99999999994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7" t="s">
        <v>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f>IF(N2-K2&gt;0,N2-K2,0)</f>
        <v>149560.4406667804</v>
      </c>
      <c r="O11">
        <f>IF(L11+(O2-L2)&gt;0,L11+(O2-L2),0)</f>
        <v>0</v>
      </c>
    </row>
    <row r="12" spans="1:15" x14ac:dyDescent="0.3">
      <c r="A12" s="7" t="s">
        <v>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f>M2-L2</f>
        <v>-39067.008620495209</v>
      </c>
      <c r="N12">
        <v>0</v>
      </c>
      <c r="O12">
        <f>O2-L2</f>
        <v>-1943.3646204951801</v>
      </c>
    </row>
    <row r="13" spans="1:15" x14ac:dyDescent="0.3">
      <c r="A13" s="7" t="s">
        <v>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7" t="s">
        <v>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f>M2-N2</f>
        <v>-173539.35550687212</v>
      </c>
      <c r="N14">
        <v>0</v>
      </c>
      <c r="O14">
        <v>0</v>
      </c>
    </row>
    <row r="15" spans="1:15" x14ac:dyDescent="0.3">
      <c r="A15" s="7" t="s">
        <v>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f>M2-O2</f>
        <v>-37123.644000000029</v>
      </c>
      <c r="N15">
        <v>0</v>
      </c>
      <c r="O15">
        <v>0</v>
      </c>
    </row>
  </sheetData>
  <pageMargins left="0.7" right="0.7" top="0.75" bottom="0.75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CAPEX</vt:lpstr>
      <vt:lpstr>OPEX</vt:lpstr>
      <vt:lpstr>Revenue</vt:lpstr>
      <vt:lpstr>MIG_MATRIX</vt:lpstr>
    </vt:vector>
  </TitlesOfParts>
  <Company>Technische Universität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Patri, Sai Kireet</dc:creator>
  <cp:keywords>C_Unrestricted</cp:keywords>
  <cp:lastModifiedBy>Patri, Sai Kireet</cp:lastModifiedBy>
  <dcterms:created xsi:type="dcterms:W3CDTF">2018-03-18T14:40:49Z</dcterms:created>
  <dcterms:modified xsi:type="dcterms:W3CDTF">2018-07-18T16:32:26Z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