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7795" windowHeight="13755" firstSheet="2" activeTab="8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1" r:id="rId16"/>
  </pivotCaches>
</workbook>
</file>

<file path=xl/calcChain.xml><?xml version="1.0" encoding="utf-8"?>
<calcChain xmlns="http://schemas.openxmlformats.org/spreadsheetml/2006/main">
  <c r="N3" i="15" l="1"/>
  <c r="N4" i="15"/>
  <c r="N5" i="15"/>
  <c r="N6" i="15"/>
  <c r="N7" i="15"/>
  <c r="N8" i="15"/>
  <c r="N9" i="15"/>
  <c r="N3" i="14"/>
  <c r="N4" i="14"/>
  <c r="N5" i="14"/>
  <c r="N6" i="14"/>
  <c r="N7" i="14"/>
  <c r="N8" i="14"/>
  <c r="N9" i="14"/>
  <c r="N10" i="14"/>
  <c r="N3" i="13"/>
  <c r="N4" i="13"/>
  <c r="N5" i="13"/>
  <c r="N6" i="13"/>
  <c r="N7" i="13"/>
  <c r="N8" i="13"/>
  <c r="N9" i="13"/>
  <c r="N3" i="12"/>
  <c r="N4" i="12"/>
  <c r="N5" i="12"/>
  <c r="N6" i="12"/>
  <c r="N7" i="12"/>
  <c r="N8" i="12"/>
  <c r="N9" i="12"/>
  <c r="N3" i="11"/>
  <c r="N4" i="11"/>
  <c r="N5" i="11"/>
  <c r="N6" i="11"/>
  <c r="N7" i="11"/>
  <c r="N8" i="11"/>
  <c r="N9" i="11"/>
  <c r="N10" i="11"/>
  <c r="N3" i="10"/>
  <c r="N4" i="10"/>
  <c r="N5" i="10"/>
  <c r="N6" i="10"/>
  <c r="N7" i="10"/>
  <c r="N8" i="10"/>
  <c r="N9" i="10"/>
  <c r="N10" i="10"/>
  <c r="N3" i="9"/>
  <c r="N4" i="9"/>
  <c r="N5" i="9"/>
  <c r="N6" i="9"/>
  <c r="N7" i="9"/>
  <c r="N8" i="9"/>
  <c r="N9" i="9"/>
  <c r="N10" i="9"/>
  <c r="N3" i="8"/>
  <c r="N4" i="8"/>
  <c r="N5" i="8"/>
  <c r="N6" i="8"/>
  <c r="N7" i="8"/>
  <c r="N8" i="8"/>
  <c r="N9" i="8"/>
  <c r="N10" i="8"/>
  <c r="N3" i="7"/>
  <c r="N4" i="7"/>
  <c r="N5" i="7"/>
  <c r="N6" i="7"/>
  <c r="N7" i="7"/>
  <c r="N8" i="7"/>
  <c r="N9" i="7"/>
  <c r="N10" i="7"/>
  <c r="N3" i="6"/>
  <c r="N4" i="6"/>
  <c r="N5" i="6"/>
  <c r="N6" i="6"/>
  <c r="N7" i="6"/>
  <c r="N8" i="6"/>
  <c r="N9" i="6"/>
  <c r="N10" i="6"/>
  <c r="N3" i="5"/>
  <c r="N4" i="5"/>
  <c r="N5" i="5"/>
  <c r="N6" i="5"/>
  <c r="N7" i="5"/>
  <c r="N8" i="5"/>
  <c r="N9" i="5"/>
  <c r="N10" i="5"/>
  <c r="N3" i="3"/>
  <c r="N4" i="3"/>
  <c r="N5" i="3"/>
  <c r="N6" i="3"/>
  <c r="N7" i="3"/>
  <c r="N8" i="3"/>
  <c r="N9" i="3"/>
  <c r="N10" i="3"/>
  <c r="N3" i="2"/>
  <c r="N4" i="2"/>
  <c r="N5" i="2"/>
  <c r="N6" i="2"/>
  <c r="N7" i="2"/>
  <c r="N8" i="2"/>
  <c r="N9" i="2"/>
  <c r="N2" i="2"/>
  <c r="I10" i="9"/>
  <c r="I10" i="10"/>
  <c r="O30" i="16" l="1"/>
  <c r="I30" i="16"/>
  <c r="H30" i="16"/>
  <c r="M28" i="16"/>
  <c r="L28" i="16"/>
  <c r="K28" i="16"/>
  <c r="J28" i="16"/>
  <c r="I28" i="16"/>
  <c r="H28" i="16"/>
  <c r="G28" i="16"/>
  <c r="F28" i="16"/>
  <c r="E28" i="16"/>
  <c r="Q28" i="16"/>
  <c r="P28" i="16"/>
  <c r="O28" i="16"/>
  <c r="N28" i="16"/>
  <c r="O15" i="16"/>
  <c r="I15" i="16"/>
  <c r="H15" i="16"/>
  <c r="Q13" i="16"/>
  <c r="P13" i="16"/>
  <c r="O13" i="16"/>
  <c r="N13" i="16"/>
  <c r="M13" i="16"/>
  <c r="L13" i="16"/>
  <c r="Z10" i="10"/>
  <c r="Z9" i="10"/>
  <c r="Z8" i="10"/>
  <c r="Z7" i="10"/>
  <c r="Z6" i="10"/>
  <c r="Z5" i="10"/>
  <c r="Z4" i="10"/>
  <c r="Z3" i="10"/>
  <c r="Z2" i="10"/>
  <c r="O19" i="10"/>
  <c r="N19" i="10"/>
  <c r="O18" i="10"/>
  <c r="N18" i="10"/>
  <c r="J18" i="10"/>
  <c r="J19" i="10"/>
  <c r="J20" i="10"/>
  <c r="K13" i="16"/>
  <c r="J13" i="16"/>
  <c r="I13" i="16"/>
  <c r="H13" i="16"/>
  <c r="G13" i="16"/>
  <c r="F13" i="16"/>
  <c r="E13" i="16"/>
  <c r="N2" i="15"/>
  <c r="N2" i="14"/>
  <c r="N2" i="13"/>
  <c r="N2" i="12"/>
  <c r="N2" i="11"/>
  <c r="N2" i="10"/>
  <c r="N2" i="9"/>
  <c r="N2" i="8"/>
  <c r="N2" i="7"/>
  <c r="N2" i="6"/>
  <c r="N2" i="5"/>
  <c r="N2" i="3"/>
  <c r="D8" i="6" l="1"/>
  <c r="D5" i="6"/>
  <c r="D4" i="6"/>
  <c r="D3" i="6"/>
  <c r="D2" i="6"/>
  <c r="O32" i="9" l="1"/>
  <c r="N32" i="9"/>
  <c r="N22" i="9"/>
  <c r="M22" i="9"/>
  <c r="N21" i="9"/>
  <c r="M21" i="9"/>
  <c r="N20" i="9"/>
  <c r="M20" i="9"/>
  <c r="I21" i="9"/>
  <c r="I22" i="9"/>
  <c r="I20" i="9"/>
  <c r="S22" i="7"/>
  <c r="R22" i="7"/>
  <c r="S21" i="7"/>
  <c r="R21" i="7"/>
  <c r="S20" i="7"/>
  <c r="R20" i="7"/>
  <c r="Z10" i="9"/>
  <c r="Z9" i="9"/>
  <c r="Z8" i="9"/>
  <c r="Z7" i="9"/>
  <c r="Z6" i="9"/>
  <c r="Z5" i="9"/>
  <c r="Z4" i="9"/>
  <c r="Z3" i="9"/>
  <c r="Z2" i="9"/>
  <c r="Q17" i="8"/>
  <c r="P17" i="8"/>
  <c r="O17" i="8"/>
  <c r="P16" i="8"/>
  <c r="O16" i="8"/>
  <c r="Q16" i="8" s="1"/>
  <c r="P15" i="8"/>
  <c r="O15" i="8"/>
  <c r="Q15" i="8" s="1"/>
  <c r="R24" i="8"/>
  <c r="Q24" i="8"/>
  <c r="Z10" i="8"/>
  <c r="Z9" i="8"/>
  <c r="Z8" i="8"/>
  <c r="Z7" i="8"/>
  <c r="Z6" i="8"/>
  <c r="Z5" i="8"/>
  <c r="Z4" i="8"/>
  <c r="Z3" i="8"/>
  <c r="Z2" i="8"/>
  <c r="O38" i="7"/>
  <c r="N38" i="7"/>
  <c r="O36" i="7"/>
  <c r="N36" i="7"/>
  <c r="M22" i="7"/>
  <c r="M20" i="7"/>
  <c r="N22" i="7"/>
  <c r="N21" i="7"/>
  <c r="M21" i="7"/>
  <c r="N20" i="7"/>
  <c r="AB11" i="7"/>
  <c r="AA11" i="7"/>
  <c r="AB3" i="7"/>
  <c r="AB4" i="7"/>
  <c r="AB5" i="7"/>
  <c r="AB6" i="7"/>
  <c r="AB7" i="7"/>
  <c r="AB8" i="7"/>
  <c r="AB9" i="7"/>
  <c r="AB10" i="7"/>
  <c r="AA3" i="7"/>
  <c r="AA4" i="7"/>
  <c r="AA5" i="7"/>
  <c r="AA6" i="7"/>
  <c r="AA7" i="7"/>
  <c r="AA8" i="7"/>
  <c r="AA9" i="7"/>
  <c r="AA10" i="7"/>
  <c r="AB2" i="7"/>
  <c r="AA2" i="7"/>
  <c r="P21" i="6"/>
  <c r="O21" i="6"/>
  <c r="O17" i="6"/>
  <c r="O16" i="6"/>
  <c r="N16" i="6"/>
  <c r="N17" i="6"/>
  <c r="O19" i="5"/>
  <c r="O18" i="5"/>
  <c r="N19" i="5"/>
  <c r="N18" i="5"/>
  <c r="P34" i="5"/>
  <c r="O34" i="5"/>
  <c r="AB3" i="5"/>
  <c r="AB4" i="5"/>
  <c r="AB5" i="5"/>
  <c r="AB6" i="5"/>
  <c r="AB7" i="5"/>
  <c r="AB8" i="5"/>
  <c r="AB10" i="5"/>
  <c r="AB2" i="5"/>
  <c r="AA3" i="5"/>
  <c r="AA4" i="5"/>
  <c r="AA5" i="5"/>
  <c r="AA6" i="5"/>
  <c r="AA7" i="5"/>
  <c r="AA8" i="5"/>
  <c r="AA10" i="5"/>
  <c r="AA2" i="5"/>
  <c r="P26" i="3"/>
  <c r="O26" i="3"/>
  <c r="N21" i="3"/>
  <c r="N22" i="3"/>
  <c r="N20" i="3"/>
  <c r="M21" i="3"/>
  <c r="M22" i="3"/>
  <c r="M20" i="3"/>
  <c r="O16" i="2"/>
  <c r="O17" i="2"/>
  <c r="O15" i="2"/>
  <c r="Q15" i="2" s="1"/>
  <c r="Z3" i="3"/>
  <c r="Z4" i="3"/>
  <c r="Z5" i="3"/>
  <c r="Z6" i="3"/>
  <c r="Z7" i="3"/>
  <c r="Z8" i="3"/>
  <c r="AB8" i="3" s="1"/>
  <c r="Z9" i="3"/>
  <c r="Z10" i="3"/>
  <c r="AB10" i="3" s="1"/>
  <c r="Z2" i="3"/>
  <c r="AB2" i="3" s="1"/>
  <c r="Z3" i="2"/>
  <c r="AB3" i="2" s="1"/>
  <c r="Z4" i="2"/>
  <c r="Z5" i="2"/>
  <c r="Z6" i="2"/>
  <c r="Z7" i="2"/>
  <c r="Z8" i="2"/>
  <c r="Z9" i="2"/>
  <c r="Z10" i="2"/>
  <c r="AB10" i="2" s="1"/>
  <c r="Z2" i="2"/>
  <c r="AB4" i="2"/>
  <c r="AB5" i="2"/>
  <c r="AB6" i="2"/>
  <c r="AB7" i="2"/>
  <c r="AB8" i="2"/>
  <c r="AB2" i="2"/>
  <c r="AB3" i="3"/>
  <c r="AB4" i="3"/>
  <c r="AB5" i="3"/>
  <c r="AB6" i="3"/>
  <c r="AB7" i="3"/>
  <c r="AA3" i="3"/>
  <c r="AA4" i="3"/>
  <c r="AA5" i="3"/>
  <c r="AA6" i="3"/>
  <c r="AA7" i="3"/>
  <c r="AA8" i="3"/>
  <c r="AA10" i="3"/>
  <c r="AA2" i="3"/>
  <c r="K26" i="2"/>
  <c r="J26" i="2"/>
  <c r="Q16" i="2"/>
  <c r="Q17" i="2"/>
  <c r="P16" i="2"/>
  <c r="P17" i="2"/>
  <c r="P15" i="2"/>
  <c r="AA3" i="2"/>
  <c r="AA4" i="2"/>
  <c r="AA5" i="2"/>
  <c r="AA6" i="2"/>
  <c r="AA7" i="2"/>
  <c r="AA8" i="2"/>
  <c r="AA10" i="2"/>
  <c r="AA2" i="2"/>
  <c r="L15" i="2"/>
  <c r="L10" i="8" l="1"/>
  <c r="E2" i="2" l="1"/>
  <c r="L4" i="7"/>
  <c r="M4" i="7" s="1"/>
  <c r="L4" i="6"/>
  <c r="M4" i="6" s="1"/>
  <c r="O4" i="6" s="1"/>
  <c r="L6" i="6"/>
  <c r="M6" i="6" s="1"/>
  <c r="O6" i="6" s="1"/>
  <c r="L3" i="6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L9" i="15"/>
  <c r="M9" i="15" s="1"/>
  <c r="O9" i="15" s="1"/>
  <c r="I9" i="15"/>
  <c r="F9" i="15"/>
  <c r="H9" i="15" s="1"/>
  <c r="W8" i="15"/>
  <c r="T8" i="15"/>
  <c r="S8" i="15"/>
  <c r="R8" i="15"/>
  <c r="L8" i="15"/>
  <c r="M8" i="15" s="1"/>
  <c r="O8" i="15" s="1"/>
  <c r="I8" i="15"/>
  <c r="F8" i="15"/>
  <c r="H8" i="15" s="1"/>
  <c r="T7" i="15"/>
  <c r="W7" i="15" s="1"/>
  <c r="S7" i="15"/>
  <c r="R7" i="15"/>
  <c r="O7" i="15"/>
  <c r="M7" i="15"/>
  <c r="I7" i="15"/>
  <c r="F7" i="15"/>
  <c r="H7" i="15" s="1"/>
  <c r="S6" i="15"/>
  <c r="T6" i="15" s="1"/>
  <c r="R6" i="15"/>
  <c r="W6" i="15" s="1"/>
  <c r="M6" i="15"/>
  <c r="O6" i="15" s="1"/>
  <c r="I6" i="15"/>
  <c r="H6" i="15"/>
  <c r="F6" i="15"/>
  <c r="C6" i="15"/>
  <c r="W5" i="15"/>
  <c r="T5" i="15"/>
  <c r="S5" i="15"/>
  <c r="R5" i="15"/>
  <c r="O5" i="15"/>
  <c r="M5" i="15"/>
  <c r="F5" i="15"/>
  <c r="H5" i="15" s="1"/>
  <c r="S4" i="15"/>
  <c r="T4" i="15" s="1"/>
  <c r="R4" i="15"/>
  <c r="W4" i="15" s="1"/>
  <c r="L4" i="15"/>
  <c r="M4" i="15" s="1"/>
  <c r="O4" i="15" s="1"/>
  <c r="F4" i="15"/>
  <c r="H4" i="15" s="1"/>
  <c r="C4" i="15"/>
  <c r="W3" i="15"/>
  <c r="T3" i="15"/>
  <c r="S3" i="15"/>
  <c r="R3" i="15"/>
  <c r="L3" i="15"/>
  <c r="M3" i="15" s="1"/>
  <c r="O3" i="15" s="1"/>
  <c r="I3" i="15"/>
  <c r="F3" i="15"/>
  <c r="H3" i="15" s="1"/>
  <c r="T2" i="15"/>
  <c r="W2" i="15" s="1"/>
  <c r="S2" i="15"/>
  <c r="R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M10" i="14"/>
  <c r="O10" i="14" s="1"/>
  <c r="H10" i="14"/>
  <c r="F10" i="14"/>
  <c r="S9" i="14"/>
  <c r="T9" i="14" s="1"/>
  <c r="R9" i="14"/>
  <c r="M9" i="14"/>
  <c r="O9" i="14" s="1"/>
  <c r="L9" i="14"/>
  <c r="I9" i="14"/>
  <c r="F9" i="14"/>
  <c r="H9" i="14" s="1"/>
  <c r="S8" i="14"/>
  <c r="T8" i="14" s="1"/>
  <c r="R8" i="14"/>
  <c r="W8" i="14" s="1"/>
  <c r="L8" i="14"/>
  <c r="M8" i="14" s="1"/>
  <c r="O8" i="14" s="1"/>
  <c r="I8" i="14"/>
  <c r="F8" i="14"/>
  <c r="H8" i="14" s="1"/>
  <c r="S7" i="14"/>
  <c r="T7" i="14" s="1"/>
  <c r="R7" i="14"/>
  <c r="L7" i="14"/>
  <c r="M7" i="14" s="1"/>
  <c r="O7" i="14" s="1"/>
  <c r="I7" i="14"/>
  <c r="F7" i="14"/>
  <c r="H7" i="14" s="1"/>
  <c r="T6" i="14"/>
  <c r="S6" i="14"/>
  <c r="R6" i="14"/>
  <c r="O6" i="14"/>
  <c r="M6" i="14"/>
  <c r="I6" i="14"/>
  <c r="F6" i="14"/>
  <c r="H6" i="14" s="1"/>
  <c r="S5" i="14"/>
  <c r="T5" i="14" s="1"/>
  <c r="R5" i="14"/>
  <c r="W5" i="14" s="1"/>
  <c r="M5" i="14"/>
  <c r="O5" i="14" s="1"/>
  <c r="I5" i="14"/>
  <c r="F5" i="14"/>
  <c r="H5" i="14" s="1"/>
  <c r="T4" i="14"/>
  <c r="S4" i="14"/>
  <c r="R4" i="14"/>
  <c r="L4" i="14"/>
  <c r="M4" i="14" s="1"/>
  <c r="O4" i="14" s="1"/>
  <c r="F4" i="14"/>
  <c r="H4" i="14" s="1"/>
  <c r="S3" i="14"/>
  <c r="T3" i="14" s="1"/>
  <c r="R3" i="14"/>
  <c r="W3" i="14" s="1"/>
  <c r="L3" i="14"/>
  <c r="M3" i="14" s="1"/>
  <c r="O3" i="14" s="1"/>
  <c r="I3" i="14"/>
  <c r="F3" i="14"/>
  <c r="H3" i="14" s="1"/>
  <c r="S2" i="14"/>
  <c r="T2" i="14" s="1"/>
  <c r="R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I9" i="13"/>
  <c r="F9" i="13"/>
  <c r="H9" i="13" s="1"/>
  <c r="S8" i="13"/>
  <c r="T8" i="13" s="1"/>
  <c r="R8" i="13"/>
  <c r="M8" i="13"/>
  <c r="O8" i="13" s="1"/>
  <c r="I8" i="13"/>
  <c r="F8" i="13"/>
  <c r="H8" i="13" s="1"/>
  <c r="T7" i="13"/>
  <c r="S7" i="13"/>
  <c r="R7" i="13"/>
  <c r="W7" i="13" s="1"/>
  <c r="O7" i="13"/>
  <c r="M7" i="13"/>
  <c r="I7" i="13"/>
  <c r="F7" i="13"/>
  <c r="H7" i="13" s="1"/>
  <c r="S6" i="13"/>
  <c r="T6" i="13" s="1"/>
  <c r="R6" i="13"/>
  <c r="W6" i="13" s="1"/>
  <c r="M6" i="13"/>
  <c r="O6" i="13" s="1"/>
  <c r="I6" i="13"/>
  <c r="F6" i="13"/>
  <c r="H6" i="13" s="1"/>
  <c r="S5" i="13"/>
  <c r="T5" i="13" s="1"/>
  <c r="R5" i="13"/>
  <c r="W5" i="13" s="1"/>
  <c r="M5" i="13"/>
  <c r="O5" i="13" s="1"/>
  <c r="F5" i="13"/>
  <c r="H5" i="13" s="1"/>
  <c r="S4" i="13"/>
  <c r="T4" i="13" s="1"/>
  <c r="R4" i="13"/>
  <c r="M4" i="13"/>
  <c r="O4" i="13" s="1"/>
  <c r="L4" i="13"/>
  <c r="F4" i="13"/>
  <c r="H4" i="13" s="1"/>
  <c r="S3" i="13"/>
  <c r="T3" i="13" s="1"/>
  <c r="R3" i="13"/>
  <c r="L3" i="13"/>
  <c r="M3" i="13" s="1"/>
  <c r="O3" i="13" s="1"/>
  <c r="I3" i="13"/>
  <c r="F3" i="13"/>
  <c r="H3" i="13" s="1"/>
  <c r="W2" i="13"/>
  <c r="T2" i="13"/>
  <c r="S2" i="13"/>
  <c r="R2" i="13"/>
  <c r="L2" i="13"/>
  <c r="M2" i="13" s="1"/>
  <c r="O2" i="13" s="1"/>
  <c r="I2" i="13"/>
  <c r="F2" i="13"/>
  <c r="H2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R9" i="11"/>
  <c r="W9" i="11" s="1"/>
  <c r="W11" i="11" s="1"/>
  <c r="P23" i="11" s="1"/>
  <c r="W3" i="12"/>
  <c r="W4" i="12"/>
  <c r="W5" i="12"/>
  <c r="W6" i="12"/>
  <c r="W7" i="12"/>
  <c r="W8" i="12"/>
  <c r="W2" i="12"/>
  <c r="R9" i="12"/>
  <c r="W9" i="12" s="1"/>
  <c r="R3" i="12"/>
  <c r="R4" i="12"/>
  <c r="R5" i="12"/>
  <c r="R6" i="12"/>
  <c r="R7" i="12"/>
  <c r="R8" i="12"/>
  <c r="R2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H18" i="10"/>
  <c r="I18" i="10" s="1"/>
  <c r="C18" i="10"/>
  <c r="B18" i="10"/>
  <c r="S10" i="10"/>
  <c r="T10" i="10" s="1"/>
  <c r="R10" i="10"/>
  <c r="L10" i="10"/>
  <c r="M10" i="10" s="1"/>
  <c r="O10" i="10" s="1"/>
  <c r="F10" i="10"/>
  <c r="H10" i="10" s="1"/>
  <c r="S9" i="10"/>
  <c r="T9" i="10" s="1"/>
  <c r="R9" i="10"/>
  <c r="L9" i="10"/>
  <c r="M9" i="10" s="1"/>
  <c r="O9" i="10" s="1"/>
  <c r="I9" i="10"/>
  <c r="F9" i="10"/>
  <c r="H9" i="10" s="1"/>
  <c r="S8" i="10"/>
  <c r="T8" i="10" s="1"/>
  <c r="R8" i="10"/>
  <c r="M8" i="10"/>
  <c r="O8" i="10" s="1"/>
  <c r="I8" i="10"/>
  <c r="F8" i="10"/>
  <c r="H8" i="10" s="1"/>
  <c r="S7" i="10"/>
  <c r="T7" i="10" s="1"/>
  <c r="R7" i="10"/>
  <c r="M7" i="10"/>
  <c r="O7" i="10" s="1"/>
  <c r="F7" i="10"/>
  <c r="H7" i="10" s="1"/>
  <c r="S6" i="10"/>
  <c r="T6" i="10" s="1"/>
  <c r="R6" i="10"/>
  <c r="L6" i="10"/>
  <c r="M6" i="10" s="1"/>
  <c r="O6" i="10" s="1"/>
  <c r="F6" i="10"/>
  <c r="H6" i="10" s="1"/>
  <c r="S5" i="10"/>
  <c r="T5" i="10" s="1"/>
  <c r="R5" i="10"/>
  <c r="M5" i="10"/>
  <c r="O5" i="10" s="1"/>
  <c r="F5" i="10"/>
  <c r="H5" i="10" s="1"/>
  <c r="S4" i="10"/>
  <c r="T4" i="10" s="1"/>
  <c r="R4" i="10"/>
  <c r="L4" i="10"/>
  <c r="M4" i="10" s="1"/>
  <c r="O4" i="10" s="1"/>
  <c r="H4" i="10"/>
  <c r="F4" i="10"/>
  <c r="S3" i="10"/>
  <c r="T3" i="10" s="1"/>
  <c r="R3" i="10"/>
  <c r="L3" i="10"/>
  <c r="M3" i="10" s="1"/>
  <c r="O3" i="10" s="1"/>
  <c r="I3" i="10"/>
  <c r="F3" i="10"/>
  <c r="H3" i="10" s="1"/>
  <c r="S2" i="10"/>
  <c r="T2" i="10" s="1"/>
  <c r="R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B16" i="9"/>
  <c r="B21" i="9" s="1"/>
  <c r="B15" i="9"/>
  <c r="B20" i="9" s="1"/>
  <c r="V10" i="9"/>
  <c r="S10" i="9"/>
  <c r="T10" i="9" s="1"/>
  <c r="R10" i="9"/>
  <c r="L10" i="9"/>
  <c r="M10" i="9" s="1"/>
  <c r="O10" i="9" s="1"/>
  <c r="F10" i="9"/>
  <c r="H10" i="9" s="1"/>
  <c r="V9" i="9"/>
  <c r="S9" i="9"/>
  <c r="T9" i="9" s="1"/>
  <c r="W9" i="9" s="1"/>
  <c r="R9" i="9"/>
  <c r="L9" i="9"/>
  <c r="M9" i="9" s="1"/>
  <c r="O9" i="9" s="1"/>
  <c r="I9" i="9"/>
  <c r="F9" i="9"/>
  <c r="H9" i="9" s="1"/>
  <c r="V8" i="9"/>
  <c r="S8" i="9"/>
  <c r="T8" i="9" s="1"/>
  <c r="R8" i="9"/>
  <c r="L8" i="9"/>
  <c r="M8" i="9" s="1"/>
  <c r="O8" i="9" s="1"/>
  <c r="I8" i="9"/>
  <c r="F8" i="9"/>
  <c r="H8" i="9" s="1"/>
  <c r="V7" i="9"/>
  <c r="S7" i="9"/>
  <c r="T7" i="9" s="1"/>
  <c r="R7" i="9"/>
  <c r="L7" i="9"/>
  <c r="M7" i="9" s="1"/>
  <c r="O7" i="9" s="1"/>
  <c r="F7" i="9"/>
  <c r="H7" i="9" s="1"/>
  <c r="V6" i="9"/>
  <c r="S6" i="9"/>
  <c r="T6" i="9" s="1"/>
  <c r="R6" i="9"/>
  <c r="L6" i="9"/>
  <c r="M6" i="9" s="1"/>
  <c r="O6" i="9" s="1"/>
  <c r="I6" i="9"/>
  <c r="V5" i="9"/>
  <c r="S5" i="9"/>
  <c r="T5" i="9" s="1"/>
  <c r="R5" i="9"/>
  <c r="L5" i="9"/>
  <c r="M5" i="9" s="1"/>
  <c r="O5" i="9" s="1"/>
  <c r="F5" i="9"/>
  <c r="H5" i="9" s="1"/>
  <c r="V4" i="9"/>
  <c r="S4" i="9"/>
  <c r="T4" i="9" s="1"/>
  <c r="R4" i="9"/>
  <c r="L4" i="9"/>
  <c r="M4" i="9" s="1"/>
  <c r="O4" i="9" s="1"/>
  <c r="F4" i="9"/>
  <c r="H4" i="9" s="1"/>
  <c r="V3" i="9"/>
  <c r="S3" i="9"/>
  <c r="T3" i="9" s="1"/>
  <c r="L3" i="9"/>
  <c r="M3" i="9" s="1"/>
  <c r="O3" i="9" s="1"/>
  <c r="F3" i="9"/>
  <c r="H3" i="9" s="1"/>
  <c r="V2" i="9"/>
  <c r="S2" i="9"/>
  <c r="T2" i="9" s="1"/>
  <c r="F2" i="9"/>
  <c r="H2" i="9" s="1"/>
  <c r="D8" i="8"/>
  <c r="R8" i="8" s="1"/>
  <c r="D10" i="8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V10" i="8"/>
  <c r="S10" i="8"/>
  <c r="T10" i="8" s="1"/>
  <c r="R10" i="8"/>
  <c r="F10" i="8"/>
  <c r="H10" i="8" s="1"/>
  <c r="V9" i="8"/>
  <c r="S9" i="8"/>
  <c r="T9" i="8" s="1"/>
  <c r="R9" i="8"/>
  <c r="L9" i="8"/>
  <c r="M9" i="8" s="1"/>
  <c r="O9" i="8" s="1"/>
  <c r="F9" i="8"/>
  <c r="H9" i="8" s="1"/>
  <c r="V8" i="8"/>
  <c r="S8" i="8"/>
  <c r="T8" i="8" s="1"/>
  <c r="V7" i="8"/>
  <c r="S7" i="8"/>
  <c r="T7" i="8" s="1"/>
  <c r="V6" i="8"/>
  <c r="S6" i="8"/>
  <c r="T6" i="8" s="1"/>
  <c r="R6" i="8"/>
  <c r="M6" i="8"/>
  <c r="O6" i="8" s="1"/>
  <c r="F6" i="8"/>
  <c r="H6" i="8" s="1"/>
  <c r="V5" i="8"/>
  <c r="S5" i="8"/>
  <c r="T5" i="8" s="1"/>
  <c r="R5" i="8"/>
  <c r="M5" i="8"/>
  <c r="O5" i="8" s="1"/>
  <c r="F5" i="8"/>
  <c r="H5" i="8" s="1"/>
  <c r="V4" i="8"/>
  <c r="S4" i="8"/>
  <c r="T4" i="8" s="1"/>
  <c r="R4" i="8"/>
  <c r="L4" i="8"/>
  <c r="M4" i="8" s="1"/>
  <c r="O4" i="8" s="1"/>
  <c r="F4" i="8"/>
  <c r="H4" i="8" s="1"/>
  <c r="V3" i="8"/>
  <c r="S3" i="8"/>
  <c r="T3" i="8" s="1"/>
  <c r="V2" i="8"/>
  <c r="S2" i="8"/>
  <c r="T2" i="8" s="1"/>
  <c r="R2" i="8"/>
  <c r="L2" i="8"/>
  <c r="M2" i="8" s="1"/>
  <c r="O2" i="8" s="1"/>
  <c r="G2" i="8"/>
  <c r="F2" i="8"/>
  <c r="L7" i="7"/>
  <c r="M7" i="7" s="1"/>
  <c r="B17" i="6"/>
  <c r="B17" i="7"/>
  <c r="L5" i="7"/>
  <c r="M5" i="7" s="1"/>
  <c r="O5" i="7" s="1"/>
  <c r="M6" i="7"/>
  <c r="M9" i="7"/>
  <c r="M10" i="7"/>
  <c r="L2" i="7"/>
  <c r="D8" i="7"/>
  <c r="R8" i="7" s="1"/>
  <c r="D7" i="7"/>
  <c r="D6" i="7"/>
  <c r="D3" i="7"/>
  <c r="L3" i="7" s="1"/>
  <c r="M3" i="7" s="1"/>
  <c r="O3" i="7" s="1"/>
  <c r="D2" i="7"/>
  <c r="F2" i="7" s="1"/>
  <c r="H2" i="7" s="1"/>
  <c r="I4" i="6"/>
  <c r="I5" i="6"/>
  <c r="I6" i="6"/>
  <c r="I7" i="6"/>
  <c r="I8" i="6"/>
  <c r="I9" i="6"/>
  <c r="I10" i="6"/>
  <c r="I3" i="6"/>
  <c r="T3" i="6"/>
  <c r="T7" i="6"/>
  <c r="W7" i="6" s="1"/>
  <c r="T10" i="6"/>
  <c r="T2" i="6"/>
  <c r="S3" i="6"/>
  <c r="S4" i="6"/>
  <c r="T4" i="6" s="1"/>
  <c r="S5" i="6"/>
  <c r="T5" i="6" s="1"/>
  <c r="S6" i="6"/>
  <c r="T6" i="6" s="1"/>
  <c r="S7" i="6"/>
  <c r="S8" i="6"/>
  <c r="T8" i="6" s="1"/>
  <c r="S9" i="6"/>
  <c r="T9" i="6" s="1"/>
  <c r="S10" i="6"/>
  <c r="R3" i="6"/>
  <c r="R4" i="6"/>
  <c r="R5" i="6"/>
  <c r="R6" i="6"/>
  <c r="R7" i="6"/>
  <c r="R8" i="6"/>
  <c r="R9" i="6"/>
  <c r="R10" i="6"/>
  <c r="W10" i="6" s="1"/>
  <c r="S2" i="6"/>
  <c r="R2" i="6"/>
  <c r="M3" i="6"/>
  <c r="O3" i="6" s="1"/>
  <c r="M5" i="6"/>
  <c r="O5" i="6" s="1"/>
  <c r="M7" i="6"/>
  <c r="O7" i="6" s="1"/>
  <c r="M8" i="6"/>
  <c r="O8" i="6" s="1"/>
  <c r="M9" i="6"/>
  <c r="O9" i="6" s="1"/>
  <c r="G22" i="7"/>
  <c r="H22" i="7" s="1"/>
  <c r="G21" i="7"/>
  <c r="H21" i="7" s="1"/>
  <c r="G20" i="7"/>
  <c r="H20" i="7" s="1"/>
  <c r="B22" i="7"/>
  <c r="B16" i="7"/>
  <c r="B21" i="7" s="1"/>
  <c r="B15" i="7"/>
  <c r="B20" i="7" s="1"/>
  <c r="V10" i="7"/>
  <c r="S10" i="7"/>
  <c r="T10" i="7" s="1"/>
  <c r="R10" i="7"/>
  <c r="I10" i="7"/>
  <c r="F10" i="7"/>
  <c r="H10" i="7" s="1"/>
  <c r="V9" i="7"/>
  <c r="S9" i="7"/>
  <c r="T9" i="7" s="1"/>
  <c r="R9" i="7"/>
  <c r="I9" i="7"/>
  <c r="F9" i="7"/>
  <c r="H9" i="7" s="1"/>
  <c r="V8" i="7"/>
  <c r="S8" i="7"/>
  <c r="T8" i="7" s="1"/>
  <c r="V7" i="7"/>
  <c r="S7" i="7"/>
  <c r="T7" i="7" s="1"/>
  <c r="R7" i="7"/>
  <c r="F7" i="7"/>
  <c r="H7" i="7" s="1"/>
  <c r="V6" i="7"/>
  <c r="S6" i="7"/>
  <c r="T6" i="7" s="1"/>
  <c r="R6" i="7"/>
  <c r="I6" i="7"/>
  <c r="F6" i="7"/>
  <c r="H6" i="7" s="1"/>
  <c r="V5" i="7"/>
  <c r="S5" i="7"/>
  <c r="T5" i="7" s="1"/>
  <c r="R5" i="7"/>
  <c r="F5" i="7"/>
  <c r="H5" i="7" s="1"/>
  <c r="V4" i="7"/>
  <c r="S4" i="7"/>
  <c r="T4" i="7" s="1"/>
  <c r="R4" i="7"/>
  <c r="F4" i="7"/>
  <c r="H4" i="7" s="1"/>
  <c r="V3" i="7"/>
  <c r="S3" i="7"/>
  <c r="T3" i="7" s="1"/>
  <c r="R3" i="7"/>
  <c r="F3" i="7"/>
  <c r="H3" i="7" s="1"/>
  <c r="V2" i="7"/>
  <c r="S2" i="7"/>
  <c r="T2" i="7" s="1"/>
  <c r="R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L10" i="6"/>
  <c r="M10" i="6" s="1"/>
  <c r="O10" i="6" s="1"/>
  <c r="L9" i="6"/>
  <c r="L2" i="6"/>
  <c r="M2" i="6" s="1"/>
  <c r="O2" i="6" s="1"/>
  <c r="J18" i="5"/>
  <c r="I19" i="5"/>
  <c r="I18" i="5"/>
  <c r="H19" i="5"/>
  <c r="H18" i="5"/>
  <c r="C18" i="5"/>
  <c r="B18" i="5"/>
  <c r="T4" i="5"/>
  <c r="W4" i="5" s="1"/>
  <c r="T6" i="5"/>
  <c r="W6" i="5" s="1"/>
  <c r="S3" i="5"/>
  <c r="T3" i="5" s="1"/>
  <c r="W3" i="5" s="1"/>
  <c r="S4" i="5"/>
  <c r="S5" i="5"/>
  <c r="T5" i="5" s="1"/>
  <c r="S6" i="5"/>
  <c r="S7" i="5"/>
  <c r="T7" i="5" s="1"/>
  <c r="W7" i="5" s="1"/>
  <c r="S8" i="5"/>
  <c r="T8" i="5" s="1"/>
  <c r="W8" i="5" s="1"/>
  <c r="S9" i="5"/>
  <c r="T9" i="5" s="1"/>
  <c r="S10" i="5"/>
  <c r="T10" i="5" s="1"/>
  <c r="W10" i="5" s="1"/>
  <c r="S2" i="5"/>
  <c r="T2" i="5" s="1"/>
  <c r="W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M3" i="5"/>
  <c r="M5" i="5"/>
  <c r="O5" i="5" s="1"/>
  <c r="M7" i="5"/>
  <c r="O7" i="5" s="1"/>
  <c r="M8" i="5"/>
  <c r="O8" i="5" s="1"/>
  <c r="L10" i="5"/>
  <c r="M10" i="5" s="1"/>
  <c r="O10" i="5" s="1"/>
  <c r="L9" i="5"/>
  <c r="M9" i="5" s="1"/>
  <c r="O9" i="5" s="1"/>
  <c r="L6" i="5"/>
  <c r="M6" i="5" s="1"/>
  <c r="O6" i="5" s="1"/>
  <c r="L4" i="5"/>
  <c r="M4" i="5" s="1"/>
  <c r="O4" i="5" s="1"/>
  <c r="L2" i="5"/>
  <c r="M2" i="5" s="1"/>
  <c r="O2" i="5" s="1"/>
  <c r="L3" i="5"/>
  <c r="I10" i="5"/>
  <c r="I9" i="5"/>
  <c r="I9" i="3"/>
  <c r="I8" i="5"/>
  <c r="I3" i="5"/>
  <c r="H4" i="5"/>
  <c r="H5" i="5"/>
  <c r="H9" i="5"/>
  <c r="F3" i="5"/>
  <c r="H3" i="5" s="1"/>
  <c r="F4" i="5"/>
  <c r="F5" i="5"/>
  <c r="F6" i="5"/>
  <c r="H6" i="5" s="1"/>
  <c r="F7" i="5"/>
  <c r="H7" i="5" s="1"/>
  <c r="F8" i="5"/>
  <c r="H8" i="5" s="1"/>
  <c r="F9" i="5"/>
  <c r="F10" i="5"/>
  <c r="H10" i="5" s="1"/>
  <c r="F2" i="5"/>
  <c r="H2" i="5" s="1"/>
  <c r="C8" i="5"/>
  <c r="C6" i="5"/>
  <c r="O10" i="12" l="1"/>
  <c r="P20" i="12" s="1"/>
  <c r="O11" i="11"/>
  <c r="P22" i="11" s="1"/>
  <c r="O11" i="5"/>
  <c r="N35" i="5" s="1"/>
  <c r="G29" i="16" s="1"/>
  <c r="M15" i="16"/>
  <c r="M30" i="16"/>
  <c r="AB9" i="5"/>
  <c r="AB11" i="5" s="1"/>
  <c r="AA9" i="5"/>
  <c r="AA11" i="5" s="1"/>
  <c r="W9" i="5"/>
  <c r="AA9" i="3"/>
  <c r="AA11" i="3" s="1"/>
  <c r="AB9" i="3"/>
  <c r="AB11" i="3" s="1"/>
  <c r="AA9" i="2"/>
  <c r="AB9" i="2"/>
  <c r="AB11" i="2" s="1"/>
  <c r="W7" i="10"/>
  <c r="W5" i="10"/>
  <c r="AA8" i="10"/>
  <c r="AB8" i="10"/>
  <c r="W3" i="10"/>
  <c r="W8" i="10"/>
  <c r="AA5" i="10"/>
  <c r="AB5" i="10"/>
  <c r="AB7" i="10"/>
  <c r="AA7" i="10"/>
  <c r="AB4" i="10"/>
  <c r="AA4" i="10"/>
  <c r="AA3" i="10"/>
  <c r="AB3" i="10"/>
  <c r="AA2" i="10"/>
  <c r="AB2" i="10"/>
  <c r="AB6" i="10"/>
  <c r="AA6" i="10"/>
  <c r="AB9" i="10"/>
  <c r="AA9" i="10"/>
  <c r="AB10" i="10"/>
  <c r="AA10" i="10"/>
  <c r="W6" i="10"/>
  <c r="W4" i="10"/>
  <c r="H10" i="13"/>
  <c r="P19" i="13" s="1"/>
  <c r="W4" i="6"/>
  <c r="W8" i="6"/>
  <c r="AB7" i="6"/>
  <c r="AA7" i="6"/>
  <c r="AB8" i="6"/>
  <c r="AA8" i="6"/>
  <c r="AB6" i="6"/>
  <c r="AA6" i="6"/>
  <c r="W6" i="6"/>
  <c r="AB2" i="6"/>
  <c r="AA2" i="6"/>
  <c r="AB3" i="6"/>
  <c r="AA3" i="6"/>
  <c r="AA10" i="6"/>
  <c r="AB10" i="6"/>
  <c r="AB5" i="6"/>
  <c r="AA5" i="6"/>
  <c r="AA4" i="6"/>
  <c r="AB4" i="6"/>
  <c r="AA9" i="6"/>
  <c r="AB9" i="6"/>
  <c r="W9" i="6"/>
  <c r="AA10" i="9"/>
  <c r="AB10" i="9"/>
  <c r="AB4" i="9"/>
  <c r="AA4" i="9"/>
  <c r="AB9" i="9"/>
  <c r="AA9" i="9"/>
  <c r="AB7" i="9"/>
  <c r="AA7" i="9"/>
  <c r="AA3" i="9"/>
  <c r="AB3" i="9"/>
  <c r="AB6" i="9"/>
  <c r="AA6" i="9"/>
  <c r="AB5" i="9"/>
  <c r="AA5" i="9"/>
  <c r="AB8" i="9"/>
  <c r="AA8" i="9"/>
  <c r="W6" i="9"/>
  <c r="W5" i="9"/>
  <c r="AB9" i="8"/>
  <c r="AA9" i="8"/>
  <c r="AB6" i="8"/>
  <c r="AA6" i="8"/>
  <c r="AB3" i="8"/>
  <c r="AA3" i="8"/>
  <c r="AB4" i="8"/>
  <c r="AA4" i="8"/>
  <c r="AB10" i="8"/>
  <c r="AA10" i="8"/>
  <c r="AB5" i="8"/>
  <c r="AA5" i="8"/>
  <c r="AB8" i="8"/>
  <c r="AA8" i="8"/>
  <c r="AB2" i="8"/>
  <c r="AA2" i="8"/>
  <c r="W5" i="8"/>
  <c r="O4" i="7"/>
  <c r="I8" i="7"/>
  <c r="O7" i="7"/>
  <c r="O10" i="7"/>
  <c r="O9" i="7"/>
  <c r="O6" i="7"/>
  <c r="W5" i="6"/>
  <c r="W2" i="6"/>
  <c r="W3" i="6"/>
  <c r="H11" i="5"/>
  <c r="N34" i="5" s="1"/>
  <c r="W11" i="5"/>
  <c r="W5" i="5"/>
  <c r="H10" i="12"/>
  <c r="H11" i="6"/>
  <c r="N21" i="6"/>
  <c r="L3" i="8"/>
  <c r="M3" i="8" s="1"/>
  <c r="O3" i="8" s="1"/>
  <c r="L16" i="8"/>
  <c r="O7" i="8"/>
  <c r="W3" i="8"/>
  <c r="F3" i="8"/>
  <c r="H3" i="8" s="1"/>
  <c r="F8" i="8"/>
  <c r="H8" i="8" s="1"/>
  <c r="L15" i="8"/>
  <c r="L17" i="8"/>
  <c r="L20" i="8" s="1"/>
  <c r="O11" i="6"/>
  <c r="H10" i="15"/>
  <c r="M20" i="15" s="1"/>
  <c r="O2" i="15"/>
  <c r="W10" i="15"/>
  <c r="M22" i="15" s="1"/>
  <c r="O10" i="15"/>
  <c r="M21" i="15" s="1"/>
  <c r="H11" i="11"/>
  <c r="W2" i="14"/>
  <c r="W4" i="14"/>
  <c r="W9" i="14"/>
  <c r="W7" i="14"/>
  <c r="W6" i="14"/>
  <c r="O11" i="14"/>
  <c r="N19" i="14" s="1"/>
  <c r="H11" i="14"/>
  <c r="N18" i="14" s="1"/>
  <c r="J20" i="14"/>
  <c r="W9" i="13"/>
  <c r="W4" i="13"/>
  <c r="W8" i="13"/>
  <c r="W3" i="13"/>
  <c r="J19" i="13"/>
  <c r="L9" i="13"/>
  <c r="M9" i="13" s="1"/>
  <c r="O9" i="13" s="1"/>
  <c r="O10" i="13" s="1"/>
  <c r="P20" i="13" s="1"/>
  <c r="J17" i="12"/>
  <c r="W10" i="12"/>
  <c r="P21" i="12" s="1"/>
  <c r="H11" i="10"/>
  <c r="W2" i="10"/>
  <c r="W10" i="10"/>
  <c r="W9" i="10"/>
  <c r="O11" i="10"/>
  <c r="O34" i="10" s="1"/>
  <c r="H11" i="9"/>
  <c r="M32" i="9" s="1"/>
  <c r="I2" i="9"/>
  <c r="R2" i="9"/>
  <c r="W3" i="9"/>
  <c r="O11" i="9"/>
  <c r="W4" i="9"/>
  <c r="W7" i="9"/>
  <c r="W8" i="9"/>
  <c r="W10" i="9"/>
  <c r="L8" i="8"/>
  <c r="M8" i="8" s="1"/>
  <c r="O8" i="8" s="1"/>
  <c r="W10" i="8"/>
  <c r="W8" i="8"/>
  <c r="H2" i="8"/>
  <c r="F7" i="8"/>
  <c r="H7" i="8" s="1"/>
  <c r="R7" i="8"/>
  <c r="W9" i="8"/>
  <c r="W2" i="8"/>
  <c r="W4" i="8"/>
  <c r="W6" i="8"/>
  <c r="I2" i="7"/>
  <c r="M8" i="7"/>
  <c r="O8" i="7" s="1"/>
  <c r="M2" i="7"/>
  <c r="O2" i="7" s="1"/>
  <c r="F8" i="7"/>
  <c r="H8" i="7" s="1"/>
  <c r="H11" i="7" s="1"/>
  <c r="M36" i="7" s="1"/>
  <c r="W10" i="7"/>
  <c r="W4" i="7"/>
  <c r="W2" i="7"/>
  <c r="W6" i="7"/>
  <c r="W7" i="7"/>
  <c r="W8" i="7"/>
  <c r="W3" i="7"/>
  <c r="W5" i="7"/>
  <c r="W9" i="7"/>
  <c r="Q29" i="16" l="1"/>
  <c r="Q14" i="16"/>
  <c r="P29" i="16"/>
  <c r="P14" i="16"/>
  <c r="O14" i="16"/>
  <c r="O29" i="16"/>
  <c r="N29" i="16"/>
  <c r="N14" i="16"/>
  <c r="M29" i="16"/>
  <c r="M14" i="16"/>
  <c r="O11" i="7"/>
  <c r="O37" i="7" s="1"/>
  <c r="O35" i="5"/>
  <c r="G14" i="16" s="1"/>
  <c r="P35" i="5"/>
  <c r="M24" i="15"/>
  <c r="Q30" i="16"/>
  <c r="Q15" i="16"/>
  <c r="N15" i="16"/>
  <c r="N30" i="16"/>
  <c r="N36" i="5"/>
  <c r="G30" i="16" s="1"/>
  <c r="O36" i="5"/>
  <c r="G15" i="16" s="1"/>
  <c r="P36" i="5"/>
  <c r="M14" i="5"/>
  <c r="N33" i="10"/>
  <c r="O33" i="10"/>
  <c r="M34" i="10"/>
  <c r="L29" i="16" s="1"/>
  <c r="N34" i="10"/>
  <c r="L14" i="16" s="1"/>
  <c r="AB11" i="10"/>
  <c r="AA11" i="10"/>
  <c r="M33" i="10"/>
  <c r="M23" i="15"/>
  <c r="M33" i="9"/>
  <c r="K29" i="16" s="1"/>
  <c r="O33" i="9"/>
  <c r="N33" i="9"/>
  <c r="K14" i="16" s="1"/>
  <c r="P37" i="5"/>
  <c r="P38" i="5"/>
  <c r="W10" i="13"/>
  <c r="P21" i="13" s="1"/>
  <c r="P22" i="13" s="1"/>
  <c r="AA11" i="6"/>
  <c r="O22" i="6"/>
  <c r="H14" i="16" s="1"/>
  <c r="P22" i="6"/>
  <c r="W11" i="6"/>
  <c r="N23" i="6" s="1"/>
  <c r="AB11" i="6"/>
  <c r="W2" i="9"/>
  <c r="AB2" i="9"/>
  <c r="AB11" i="9" s="1"/>
  <c r="AA2" i="9"/>
  <c r="AA11" i="9" s="1"/>
  <c r="AA11" i="8"/>
  <c r="O11" i="8"/>
  <c r="W7" i="8"/>
  <c r="AB7" i="8"/>
  <c r="AB11" i="8" s="1"/>
  <c r="AA7" i="8"/>
  <c r="M16" i="15"/>
  <c r="M16" i="12"/>
  <c r="P19" i="12"/>
  <c r="P16" i="11"/>
  <c r="P21" i="11"/>
  <c r="N22" i="6"/>
  <c r="H29" i="16" s="1"/>
  <c r="Q14" i="6"/>
  <c r="W11" i="14"/>
  <c r="M16" i="13"/>
  <c r="W11" i="10"/>
  <c r="M15" i="10" s="1"/>
  <c r="W11" i="9"/>
  <c r="H11" i="8"/>
  <c r="W11" i="8"/>
  <c r="W11" i="7"/>
  <c r="O16" i="16" l="1"/>
  <c r="O31" i="16"/>
  <c r="M37" i="7"/>
  <c r="I29" i="16" s="1"/>
  <c r="N37" i="7"/>
  <c r="I14" i="16" s="1"/>
  <c r="O38" i="5"/>
  <c r="G17" i="16" s="1"/>
  <c r="O37" i="5"/>
  <c r="G16" i="16" s="1"/>
  <c r="G18" i="16" s="1"/>
  <c r="M25" i="15"/>
  <c r="Q31" i="16"/>
  <c r="J53" i="16" s="1"/>
  <c r="Q16" i="16"/>
  <c r="Q18" i="16" s="1"/>
  <c r="Q32" i="16"/>
  <c r="Q17" i="16"/>
  <c r="P16" i="14"/>
  <c r="N20" i="14"/>
  <c r="O35" i="10"/>
  <c r="N35" i="10"/>
  <c r="O34" i="9"/>
  <c r="N34" i="9"/>
  <c r="K15" i="16" s="1"/>
  <c r="P26" i="8"/>
  <c r="J30" i="16" s="1"/>
  <c r="R26" i="8"/>
  <c r="Q26" i="8"/>
  <c r="J15" i="16" s="1"/>
  <c r="N38" i="5"/>
  <c r="G32" i="16" s="1"/>
  <c r="N37" i="5"/>
  <c r="G31" i="16" s="1"/>
  <c r="G33" i="16" s="1"/>
  <c r="N43" i="16"/>
  <c r="O37" i="10"/>
  <c r="O36" i="10"/>
  <c r="M35" i="10"/>
  <c r="N36" i="9"/>
  <c r="K17" i="16" s="1"/>
  <c r="N35" i="9"/>
  <c r="O36" i="9"/>
  <c r="O35" i="9"/>
  <c r="O37" i="9" s="1"/>
  <c r="P25" i="8"/>
  <c r="J29" i="16" s="1"/>
  <c r="R25" i="8"/>
  <c r="Q25" i="8"/>
  <c r="J14" i="16" s="1"/>
  <c r="N40" i="7"/>
  <c r="I17" i="16" s="1"/>
  <c r="N39" i="7"/>
  <c r="I16" i="16" s="1"/>
  <c r="O39" i="7"/>
  <c r="O40" i="7"/>
  <c r="O41" i="7" s="1"/>
  <c r="P39" i="5"/>
  <c r="O39" i="5"/>
  <c r="P23" i="13"/>
  <c r="P23" i="6"/>
  <c r="P25" i="6" s="1"/>
  <c r="O23" i="6"/>
  <c r="O25" i="6" s="1"/>
  <c r="H17" i="16" s="1"/>
  <c r="N24" i="6"/>
  <c r="H31" i="16" s="1"/>
  <c r="H33" i="16" s="1"/>
  <c r="P23" i="12"/>
  <c r="P22" i="12"/>
  <c r="P24" i="11"/>
  <c r="P25" i="11"/>
  <c r="N25" i="6"/>
  <c r="H32" i="16" s="1"/>
  <c r="K29" i="8"/>
  <c r="P24" i="8"/>
  <c r="P24" i="13" l="1"/>
  <c r="O32" i="16"/>
  <c r="O17" i="16"/>
  <c r="N51" i="16" s="1"/>
  <c r="N45" i="16"/>
  <c r="I18" i="16"/>
  <c r="J43" i="16"/>
  <c r="J44" i="16"/>
  <c r="Q33" i="16"/>
  <c r="N53" i="16"/>
  <c r="P15" i="16"/>
  <c r="P30" i="16"/>
  <c r="N21" i="14"/>
  <c r="N22" i="14"/>
  <c r="N16" i="16"/>
  <c r="N31" i="16"/>
  <c r="N32" i="16"/>
  <c r="N17" i="16"/>
  <c r="M17" i="16"/>
  <c r="M32" i="16"/>
  <c r="P26" i="11"/>
  <c r="M31" i="16"/>
  <c r="M16" i="16"/>
  <c r="M37" i="10"/>
  <c r="L32" i="16" s="1"/>
  <c r="L30" i="16"/>
  <c r="L15" i="16"/>
  <c r="N38" i="10"/>
  <c r="O38" i="10"/>
  <c r="N37" i="9"/>
  <c r="K16" i="16"/>
  <c r="N47" i="16" s="1"/>
  <c r="N39" i="5"/>
  <c r="M36" i="10"/>
  <c r="N37" i="10"/>
  <c r="L17" i="16" s="1"/>
  <c r="N36" i="10"/>
  <c r="L16" i="16" s="1"/>
  <c r="P24" i="12"/>
  <c r="P28" i="8"/>
  <c r="J32" i="16" s="1"/>
  <c r="Q28" i="8"/>
  <c r="J17" i="16" s="1"/>
  <c r="Q27" i="8"/>
  <c r="J16" i="16" s="1"/>
  <c r="N46" i="16" s="1"/>
  <c r="R28" i="8"/>
  <c r="R27" i="8"/>
  <c r="R29" i="8" s="1"/>
  <c r="N41" i="7"/>
  <c r="O24" i="6"/>
  <c r="P24" i="6"/>
  <c r="P26" i="6" s="1"/>
  <c r="N26" i="6"/>
  <c r="P27" i="8"/>
  <c r="J31" i="16" s="1"/>
  <c r="O18" i="16" l="1"/>
  <c r="J51" i="16"/>
  <c r="O33" i="16"/>
  <c r="J33" i="16"/>
  <c r="O26" i="6"/>
  <c r="H16" i="16"/>
  <c r="N23" i="14"/>
  <c r="P16" i="16"/>
  <c r="N52" i="16" s="1"/>
  <c r="P31" i="16"/>
  <c r="P33" i="16" s="1"/>
  <c r="P32" i="16"/>
  <c r="P17" i="16"/>
  <c r="J50" i="16"/>
  <c r="N33" i="16"/>
  <c r="N18" i="16"/>
  <c r="N50" i="16"/>
  <c r="M18" i="16"/>
  <c r="N49" i="16"/>
  <c r="J49" i="16"/>
  <c r="M33" i="16"/>
  <c r="N48" i="16"/>
  <c r="L18" i="16"/>
  <c r="M38" i="10"/>
  <c r="L31" i="16"/>
  <c r="J48" i="16" s="1"/>
  <c r="K18" i="16"/>
  <c r="J46" i="16"/>
  <c r="J18" i="16"/>
  <c r="P29" i="8"/>
  <c r="Q29" i="8"/>
  <c r="H21" i="3"/>
  <c r="H22" i="3"/>
  <c r="G21" i="3"/>
  <c r="G22" i="3"/>
  <c r="G20" i="3"/>
  <c r="H20" i="3" s="1"/>
  <c r="J52" i="16" l="1"/>
  <c r="P18" i="16"/>
  <c r="N44" i="16"/>
  <c r="H18" i="16"/>
  <c r="L33" i="16"/>
  <c r="I20" i="7"/>
  <c r="I23" i="9"/>
  <c r="I22" i="7"/>
  <c r="I21" i="7"/>
  <c r="B17" i="3"/>
  <c r="B22" i="3" s="1"/>
  <c r="I22" i="3" s="1"/>
  <c r="B16" i="3"/>
  <c r="B21" i="3" s="1"/>
  <c r="I21" i="3" s="1"/>
  <c r="B15" i="3"/>
  <c r="B20" i="3" s="1"/>
  <c r="I20" i="3" s="1"/>
  <c r="B17" i="2"/>
  <c r="B16" i="2"/>
  <c r="L16" i="2" s="1"/>
  <c r="B15" i="2"/>
  <c r="L10" i="3"/>
  <c r="M10" i="3" s="1"/>
  <c r="L9" i="3"/>
  <c r="M9" i="3" s="1"/>
  <c r="L8" i="3"/>
  <c r="M8" i="3" s="1"/>
  <c r="O8" i="3" s="1"/>
  <c r="L7" i="3"/>
  <c r="M7" i="3" s="1"/>
  <c r="O7" i="3" s="1"/>
  <c r="L6" i="3"/>
  <c r="M6" i="3" s="1"/>
  <c r="L5" i="3"/>
  <c r="M5" i="3" s="1"/>
  <c r="O5" i="3" s="1"/>
  <c r="L3" i="3"/>
  <c r="M3" i="3" s="1"/>
  <c r="L2" i="3"/>
  <c r="M2" i="3" s="1"/>
  <c r="O2" i="3" s="1"/>
  <c r="V3" i="3"/>
  <c r="V4" i="3"/>
  <c r="V5" i="3"/>
  <c r="V6" i="3"/>
  <c r="V7" i="3"/>
  <c r="V8" i="3"/>
  <c r="V9" i="3"/>
  <c r="V10" i="3"/>
  <c r="V2" i="3"/>
  <c r="S3" i="3"/>
  <c r="T3" i="3" s="1"/>
  <c r="S4" i="3"/>
  <c r="T4" i="3" s="1"/>
  <c r="S5" i="3"/>
  <c r="T5" i="3" s="1"/>
  <c r="S6" i="3"/>
  <c r="T6" i="3" s="1"/>
  <c r="S7" i="3"/>
  <c r="T7" i="3" s="1"/>
  <c r="W7" i="3" s="1"/>
  <c r="S8" i="3"/>
  <c r="T8" i="3" s="1"/>
  <c r="W8" i="3" s="1"/>
  <c r="S9" i="3"/>
  <c r="T9" i="3" s="1"/>
  <c r="W9" i="3" s="1"/>
  <c r="S10" i="3"/>
  <c r="T10" i="3" s="1"/>
  <c r="S2" i="3"/>
  <c r="T2" i="3" s="1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AA11" i="2" s="1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W10" i="3" l="1"/>
  <c r="M34" i="9"/>
  <c r="K30" i="16" s="1"/>
  <c r="G31" i="9"/>
  <c r="W5" i="3"/>
  <c r="I23" i="3"/>
  <c r="I23" i="7"/>
  <c r="O3" i="3"/>
  <c r="W4" i="3"/>
  <c r="O8" i="2"/>
  <c r="H2" i="2"/>
  <c r="H11" i="2" s="1"/>
  <c r="W2" i="3"/>
  <c r="W3" i="3"/>
  <c r="O9" i="3"/>
  <c r="H11" i="3"/>
  <c r="N26" i="3" s="1"/>
  <c r="W6" i="3"/>
  <c r="O6" i="3"/>
  <c r="O10" i="3"/>
  <c r="L20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J47" i="16" l="1"/>
  <c r="M38" i="7"/>
  <c r="M15" i="7"/>
  <c r="M36" i="9"/>
  <c r="K32" i="16" s="1"/>
  <c r="M35" i="9"/>
  <c r="K31" i="16" s="1"/>
  <c r="K33" i="16" s="1"/>
  <c r="O11" i="3"/>
  <c r="I26" i="2"/>
  <c r="W11" i="3"/>
  <c r="W11" i="2"/>
  <c r="O11" i="2"/>
  <c r="P28" i="3" l="1"/>
  <c r="O28" i="3"/>
  <c r="F15" i="16" s="1"/>
  <c r="N28" i="3"/>
  <c r="F30" i="16" s="1"/>
  <c r="J28" i="2"/>
  <c r="E15" i="16" s="1"/>
  <c r="K28" i="2"/>
  <c r="N27" i="3"/>
  <c r="F29" i="16" s="1"/>
  <c r="O27" i="3"/>
  <c r="F14" i="16" s="1"/>
  <c r="P27" i="3"/>
  <c r="I27" i="2"/>
  <c r="E29" i="16" s="1"/>
  <c r="K27" i="2"/>
  <c r="J27" i="2"/>
  <c r="E14" i="16" s="1"/>
  <c r="M37" i="9"/>
  <c r="M39" i="7"/>
  <c r="I31" i="16" s="1"/>
  <c r="M40" i="7"/>
  <c r="I32" i="16" s="1"/>
  <c r="M18" i="3"/>
  <c r="Q28" i="2"/>
  <c r="I28" i="2"/>
  <c r="J45" i="16" l="1"/>
  <c r="I33" i="16"/>
  <c r="I29" i="2"/>
  <c r="E31" i="16" s="1"/>
  <c r="E30" i="16"/>
  <c r="P30" i="3"/>
  <c r="P29" i="3"/>
  <c r="O30" i="3"/>
  <c r="F17" i="16" s="1"/>
  <c r="O29" i="3"/>
  <c r="K30" i="2"/>
  <c r="K29" i="2"/>
  <c r="J30" i="2"/>
  <c r="E17" i="16" s="1"/>
  <c r="J29" i="2"/>
  <c r="E16" i="16" s="1"/>
  <c r="M41" i="7"/>
  <c r="N29" i="3"/>
  <c r="F31" i="16" s="1"/>
  <c r="N30" i="3"/>
  <c r="F32" i="16" s="1"/>
  <c r="I30" i="2"/>
  <c r="F33" i="16" l="1"/>
  <c r="E18" i="16"/>
  <c r="J42" i="16"/>
  <c r="O31" i="3"/>
  <c r="F16" i="16"/>
  <c r="N42" i="16" s="1"/>
  <c r="I31" i="2"/>
  <c r="E32" i="16"/>
  <c r="E33" i="16" s="1"/>
  <c r="J31" i="2"/>
  <c r="N41" i="16"/>
  <c r="P31" i="3"/>
  <c r="K31" i="2"/>
  <c r="N31" i="3"/>
  <c r="J41" i="16" l="1"/>
  <c r="F18" i="16"/>
</calcChain>
</file>

<file path=xl/sharedStrings.xml><?xml version="1.0" encoding="utf-8"?>
<sst xmlns="http://schemas.openxmlformats.org/spreadsheetml/2006/main" count="978" uniqueCount="128">
  <si>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</si>
  <si>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</si>
  <si>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</si>
  <si>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</si>
  <si>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</si>
  <si>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</si>
  <si>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</si>
  <si>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</si>
  <si>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</si>
  <si>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</si>
  <si>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</si>
  <si>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</si>
  <si>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</si>
  <si>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</si>
  <si>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</si>
  <si>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</si>
  <si>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</si>
  <si>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</si>
  <si>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</si>
  <si>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</si>
  <si>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</si>
  <si>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</si>
  <si>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</si>
  <si>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</si>
  <si>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</si>
  <si>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</si>
  <si>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</si>
  <si>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</si>
  <si>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</si>
  <si>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</si>
  <si>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</si>
  <si>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</si>
  <si>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Business</t>
  </si>
  <si>
    <t>FM Penalty ITS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</si>
  <si>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</si>
  <si>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</si>
  <si>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</si>
  <si>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</si>
  <si>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</si>
  <si>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</si>
  <si>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</si>
  <si>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</si>
  <si>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</si>
  <si>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</si>
  <si>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</si>
  <si>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</si>
  <si>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</si>
  <si>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</si>
  <si>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</si>
  <si>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</si>
  <si>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</si>
  <si>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</si>
  <si>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</si>
  <si>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</si>
  <si>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</si>
  <si>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</si>
  <si>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</si>
  <si>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</si>
  <si>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</si>
  <si>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</si>
  <si>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</si>
  <si>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</si>
  <si>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</si>
  <si>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</si>
  <si>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</si>
  <si>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</si>
  <si>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</si>
  <si>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</si>
  <si>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</si>
  <si>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</si>
  <si>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</si>
  <si>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</si>
  <si>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</si>
  <si>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</si>
  <si>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</si>
  <si>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</si>
  <si>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</si>
  <si>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</si>
  <si>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</si>
  <si>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</si>
  <si>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</si>
  <si>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</si>
  <si>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</si>
  <si>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</si>
  <si>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</si>
  <si>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</si>
  <si>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</si>
  <si>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</si>
  <si>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</si>
  <si>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</si>
  <si>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</si>
  <si>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</si>
  <si>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</si>
  <si>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</si>
  <si>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</si>
  <si>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</si>
  <si>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</si>
  <si>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</si>
  <si>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</si>
  <si>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</si>
  <si>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</si>
  <si>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</si>
  <si>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</si>
  <si>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</si>
  <si>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</si>
  <si>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</si>
  <si>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</si>
  <si>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</si>
  <si>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</si>
  <si>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</si>
  <si>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</si>
  <si>
    <t>SLA CU per hour</t>
  </si>
  <si>
    <t>Residential</t>
  </si>
  <si>
    <t>Business</t>
  </si>
  <si>
    <t>ITS</t>
  </si>
  <si>
    <t>Percentage of Business Users</t>
  </si>
  <si>
    <t>Percentage of ITS and business users</t>
  </si>
  <si>
    <t>Percentage of business users</t>
  </si>
  <si>
    <t>Percentage of ITS users</t>
  </si>
  <si>
    <t>FM Fiber penalty business</t>
  </si>
  <si>
    <t>FM Fiber penalty business its</t>
  </si>
  <si>
    <t>Business ITS</t>
  </si>
  <si>
    <t>Component_business</t>
  </si>
  <si>
    <t>Residential Cost</t>
  </si>
  <si>
    <t>Business Cost</t>
  </si>
  <si>
    <t>ITS cost</t>
  </si>
  <si>
    <t>RESIDENTIAL_T</t>
  </si>
  <si>
    <t>BUSINESS_T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</si>
</sst>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6" borderId="0" xfId="0" applyFont="1" applyFill="1"/>
    <xf numFmtId="0" fontId="5" fillId="0" borderId="0" xfId="0" applyFont="1"/>
    <xf numFmtId="0" fontId="8" fillId="0" borderId="9" xfId="0" applyFont="1" applyBorder="1"/>
    <xf numFmtId="0" fontId="8" fillId="0" borderId="8" xfId="0" applyFont="1" applyBorder="1"/>
    <xf numFmtId="0" fontId="6" fillId="0" borderId="8" xfId="0" applyFont="1" applyBorder="1"/>
    <xf numFmtId="0" fontId="0" fillId="5" borderId="11" xfId="0" applyFont="1" applyFill="1" applyBorder="1"/>
    <xf numFmtId="0" fontId="0" fillId="5" borderId="2" xfId="0" applyFont="1" applyFill="1" applyBorder="1"/>
    <xf numFmtId="0" fontId="0" fillId="0" borderId="11" xfId="0" applyFont="1" applyBorder="1"/>
    <xf numFmtId="0" fontId="0" fillId="0" borderId="2" xfId="0" applyFont="1" applyBorder="1"/>
    <xf numFmtId="0" fontId="8" fillId="5" borderId="8" xfId="0" applyFont="1" applyFill="1" applyBorder="1"/>
    <xf numFmtId="0" fontId="6" fillId="5" borderId="8" xfId="0" applyFont="1" applyFill="1" applyBorder="1"/>
    <xf numFmtId="0" fontId="9" fillId="0" borderId="0" xfId="4"/>
  </cellXfs>
  <cellStyles count="5">
    <cellStyle name="Good" xfId="1" builtinId="26"/>
    <cellStyle name="Hyperlink" xfId="4" builtinId="8"/>
    <cellStyle name="Input" xfId="2" builtinId="20"/>
    <cellStyle name="Normal" xfId="0" builtinId="0"/>
    <cellStyle name="Standard 2" xfId="3"/>
  </cellStyles>
  <dxfs count="19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73728"/>
        <c:axId val="78189056"/>
      </c:barChart>
      <c:catAx>
        <c:axId val="768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189056"/>
        <c:crosses val="autoZero"/>
        <c:auto val="1"/>
        <c:lblAlgn val="ctr"/>
        <c:lblOffset val="100"/>
        <c:noMultiLvlLbl val="0"/>
      </c:catAx>
      <c:valAx>
        <c:axId val="781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</a:t>
            </a:r>
            <a:r>
              <a:rPr lang="en-US" baseline="0"/>
              <a:t> Year OPEX for different Technologies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1921.1394816</c:v>
                </c:pt>
                <c:pt idx="1">
                  <c:v>7637.07312</c:v>
                </c:pt>
                <c:pt idx="2">
                  <c:v>7318.8486000000003</c:v>
                </c:pt>
                <c:pt idx="3">
                  <c:v>5440.2228000000005</c:v>
                </c:pt>
                <c:pt idx="4">
                  <c:v>1225.27872</c:v>
                </c:pt>
                <c:pt idx="5">
                  <c:v>5470.210908</c:v>
                </c:pt>
                <c:pt idx="6">
                  <c:v>7847.8912800000007</c:v>
                </c:pt>
                <c:pt idx="7">
                  <c:v>7368.3864000000003</c:v>
                </c:pt>
                <c:pt idx="8">
                  <c:v>3517.9721999999997</c:v>
                </c:pt>
                <c:pt idx="9">
                  <c:v>7392.5640000000003</c:v>
                </c:pt>
                <c:pt idx="10">
                  <c:v>183.96</c:v>
                </c:pt>
                <c:pt idx="11">
                  <c:v>4502.2896000000001</c:v>
                </c:pt>
                <c:pt idx="12">
                  <c:v>7476.66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1520.2924399954254</c:v>
                </c:pt>
                <c:pt idx="1">
                  <c:v>2633.7790732758403</c:v>
                </c:pt>
                <c:pt idx="2">
                  <c:v>2670.9629425657131</c:v>
                </c:pt>
                <c:pt idx="3">
                  <c:v>2230.7196887737127</c:v>
                </c:pt>
                <c:pt idx="4">
                  <c:v>2233.9824704598395</c:v>
                </c:pt>
                <c:pt idx="5">
                  <c:v>3254.724719720225</c:v>
                </c:pt>
                <c:pt idx="6">
                  <c:v>2634.6994198998404</c:v>
                </c:pt>
                <c:pt idx="7">
                  <c:v>2671.6120585657131</c:v>
                </c:pt>
                <c:pt idx="8">
                  <c:v>3593.4914105731814</c:v>
                </c:pt>
                <c:pt idx="9">
                  <c:v>2359.3958517599995</c:v>
                </c:pt>
                <c:pt idx="10">
                  <c:v>1980.898713392548</c:v>
                </c:pt>
                <c:pt idx="11">
                  <c:v>1682.5963004611817</c:v>
                </c:pt>
                <c:pt idx="12">
                  <c:v>2643.4630653925483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537.47159607977119</c:v>
                </c:pt>
                <c:pt idx="1">
                  <c:v>667.24260966379211</c:v>
                </c:pt>
                <c:pt idx="2">
                  <c:v>692.94057712828578</c:v>
                </c:pt>
                <c:pt idx="3">
                  <c:v>576.99712443868555</c:v>
                </c:pt>
                <c:pt idx="4">
                  <c:v>469.76305952299202</c:v>
                </c:pt>
                <c:pt idx="5">
                  <c:v>1089.9467813860113</c:v>
                </c:pt>
                <c:pt idx="6">
                  <c:v>820.92953499499208</c:v>
                </c:pt>
                <c:pt idx="7">
                  <c:v>867.69992292828556</c:v>
                </c:pt>
                <c:pt idx="8">
                  <c:v>1165.713180528659</c:v>
                </c:pt>
                <c:pt idx="9">
                  <c:v>699.59799258800001</c:v>
                </c:pt>
                <c:pt idx="10">
                  <c:v>532.2429356696274</c:v>
                </c:pt>
                <c:pt idx="11">
                  <c:v>1328.1042950230592</c:v>
                </c:pt>
                <c:pt idx="12">
                  <c:v>930.00615326962748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752.46023451167969</c:v>
                </c:pt>
                <c:pt idx="1">
                  <c:v>934.13965352930893</c:v>
                </c:pt>
                <c:pt idx="2">
                  <c:v>970.11680797960014</c:v>
                </c:pt>
                <c:pt idx="3">
                  <c:v>807.79597421415986</c:v>
                </c:pt>
                <c:pt idx="4">
                  <c:v>657.66828333218882</c:v>
                </c:pt>
                <c:pt idx="5">
                  <c:v>1525.9254939404159</c:v>
                </c:pt>
                <c:pt idx="6">
                  <c:v>1149.301348992989</c:v>
                </c:pt>
                <c:pt idx="7">
                  <c:v>1214.7798920995999</c:v>
                </c:pt>
                <c:pt idx="8">
                  <c:v>1631.9984527401227</c:v>
                </c:pt>
                <c:pt idx="9">
                  <c:v>979.43718962319997</c:v>
                </c:pt>
                <c:pt idx="10">
                  <c:v>745.14010993747831</c:v>
                </c:pt>
                <c:pt idx="11">
                  <c:v>1859.3460130322828</c:v>
                </c:pt>
                <c:pt idx="12">
                  <c:v>1302.0086145774785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8036480"/>
        <c:axId val="79203136"/>
      </c:barChart>
      <c:catAx>
        <c:axId val="7803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03136"/>
        <c:crosses val="autoZero"/>
        <c:auto val="1"/>
        <c:lblAlgn val="ctr"/>
        <c:lblOffset val="100"/>
        <c:noMultiLvlLbl val="0"/>
      </c:catAx>
      <c:valAx>
        <c:axId val="792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0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1333499</xdr:colOff>
      <xdr:row>81</xdr:row>
      <xdr:rowOff>9524</xdr:rowOff>
    </xdr:from>
    <xdr:to>
      <xdr:col>13</xdr:col>
      <xdr:colOff>400049</xdr:colOff>
      <xdr:row>115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7</xdr:row>
      <xdr:rowOff>123825</xdr:rowOff>
    </xdr:from>
    <xdr:to>
      <xdr:col>12</xdr:col>
      <xdr:colOff>47625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9020175" y="1457325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BUSINESS OPEX</a:t>
          </a:r>
        </a:p>
      </xdr:txBody>
    </xdr:sp>
    <xdr:clientData/>
  </xdr:twoCellAnchor>
  <xdr:twoCellAnchor>
    <xdr:from>
      <xdr:col>8</xdr:col>
      <xdr:colOff>885825</xdr:colOff>
      <xdr:row>22</xdr:row>
      <xdr:rowOff>133350</xdr:rowOff>
    </xdr:from>
    <xdr:to>
      <xdr:col>12</xdr:col>
      <xdr:colOff>152400</xdr:colOff>
      <xdr:row>25</xdr:row>
      <xdr:rowOff>123825</xdr:rowOff>
    </xdr:to>
    <xdr:sp macro="" textlink="">
      <xdr:nvSpPr>
        <xdr:cNvPr id="4" name="TextBox 3"/>
        <xdr:cNvSpPr txBox="1"/>
      </xdr:nvSpPr>
      <xdr:spPr>
        <a:xfrm>
          <a:off x="9124950" y="4324350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RESIDENTIAL OPEX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29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28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7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Table2[[#This Row],[Percentage of Business Users]]*Table2[[#This Row],[SLA CU per hour]]*Table2[[#This Row],[Failures per year]]*Table2[[#This Row],[Total Time to Repair(h)]]</calculatedColumnFormula>
    </tableColumn>
    <tableColumn id="28" name="FM Penalty ITS" totalsRowFunction="sum">
      <calculatedColumnFormula>Table2[[#This Row],[Percentage of ITS and business users]]*Table2[[#This Row],[SLA CU per hour]]*Table2[[#This Row],[Failures per year]]*Table2[[#This Row],[Total Time to Repair(h)]]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AB11" totalsRowCount="1">
  <autoFilter ref="B1:AB10"/>
  <tableColumns count="27">
    <tableColumn id="1" name="Component Name" dataDxfId="179" totalsRowDxfId="95"/>
    <tableColumn id="2" name="Cost per Unit (OASE)" dataDxfId="178" totalsRowDxfId="94"/>
    <tableColumn id="3" name="Quantity" dataDxfId="177" totalsRowDxfId="93"/>
    <tableColumn id="4" name="Floor Space per component" totalsRowDxfId="92"/>
    <tableColumn id="5" name="Total Floor Space" totalsRowDxfId="91">
      <calculatedColumnFormula>E2*D2</calculatedColumnFormula>
    </tableColumn>
    <tableColumn id="6" name="Rent per sqm per year" totalsRowDxfId="90"/>
    <tableColumn id="7" name="Total Rent cost per year" totalsRowFunction="sum" totalsRowDxfId="89">
      <calculatedColumnFormula>G2*F2</calculatedColumnFormula>
    </tableColumn>
    <tableColumn id="8" name="Installation Time in hours" totalsRowDxfId="88"/>
    <tableColumn id="9" name="MTTR" totalsRowDxfId="87"/>
    <tableColumn id="10" name="FIT" totalsRowDxfId="86"/>
    <tableColumn id="11" name="Energy consumption in W" totalsRowDxfId="85"/>
    <tableColumn id="12" name="Yearly Energy Consumption in kWh" totalsRowDxfId="84">
      <calculatedColumnFormula>Table19[[#This Row],[Energy consumption in W]]*24*365/1000</calculatedColumnFormula>
    </tableColumn>
    <tableColumn id="13" name="CU/kWh" totalsRowDxfId="83">
      <calculatedColumnFormula>0.15/50</calculatedColumnFormula>
    </tableColumn>
    <tableColumn id="14" name="Energy Cost per year in CU" totalsRowFunction="sum" totalsRowDxfId="82">
      <calculatedColumnFormula>Table19[[#This Row],[Yearly Energy Consumption in kWh]]*Table19[[#This Row],[CU/kWh]]</calculatedColumnFormula>
    </tableColumn>
    <tableColumn id="15" name="Mean dist in km from CO" totalsRowDxfId="81"/>
    <tableColumn id="16" name="Avg Travel Speed" totalsRowDxfId="80"/>
    <tableColumn id="17" name="Failures per year" totalsRowDxfId="79">
      <calculatedColumnFormula>Table19[[#This Row],[Quantity]]*Table19[[#This Row],[FIT]]*24*365/1000000000</calculatedColumnFormula>
    </tableColumn>
    <tableColumn id="18" name="Twice Travel Time" totalsRowDxfId="78">
      <calculatedColumnFormula>2*Table19[[#This Row],[Mean dist in km from CO]]/Table19[[#This Row],[Avg Travel Speed]]</calculatedColumnFormula>
    </tableColumn>
    <tableColumn id="19" name="Total Time to Repair(h)" totalsRowDxfId="77">
      <calculatedColumnFormula>Table19[[#This Row],[MTTR]]+Table19[[#This Row],[Twice Travel Time]]</calculatedColumnFormula>
    </tableColumn>
    <tableColumn id="20" name="No. Of technicians" totalsRowDxfId="76"/>
    <tableColumn id="21" name="Cost per hour" totalsRowDxfId="75"/>
    <tableColumn id="22" name="FM Cost" totalsRowFunction="custom" totalsRowDxfId="74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  <tableColumn id="23" name="SLA CU per hour" totalsRowDxfId="73"/>
    <tableColumn id="24" name="Percentage of Business Users" totalsRowDxfId="72"/>
    <tableColumn id="25" name="Percentage of ITS and business users" totalsRowDxfId="71">
      <calculatedColumnFormula>0.07+2*0.00027</calculatedColumnFormula>
    </tableColumn>
    <tableColumn id="26" name="FM Penalty Business" totalsRowFunction="sum" totalsRowDxfId="70">
      <calculatedColumnFormula>Table19[Percentage of Business Users]*Table19[SLA CU per hour]*Table19[Failures per year]*Table19[Total Time to Repair(h)]</calculatedColumnFormula>
    </tableColumn>
    <tableColumn id="27" name="FM Penalty ITS" totalsRowFunction="sum" totalsRowDxfId="69">
      <calculatedColumnFormula>Table19[[#This Row],[Percentage of ITS and business users]]*Table19[[#This Row],[SLA CU per hour]]*Table19[[#This Row],[Failures per year]]*Table19[[#This Row],[Total Time to Repair(h)]]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32:O38" totalsRowCount="1">
  <autoFilter ref="L32:O37"/>
  <tableColumns count="4">
    <tableColumn id="1" name="Component"/>
    <tableColumn id="2" name="Residential Cost" totalsRowFunction="custom">
      <totalsRowFormula>SUM(Table141617[Residential Cost])</totalsRowFormula>
    </tableColumn>
    <tableColumn id="3" name="Business Cost" totalsRowFunction="sum"/>
    <tableColumn id="4" name="ITS cost" totalsRowFunction="su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176" totalsRowDxfId="68"/>
    <tableColumn id="2" name="Component Name" dataDxfId="175" totalsRowDxfId="67"/>
    <tableColumn id="3" name="Cost per Unit (OASE)" dataDxfId="174" totalsRowDxfId="66"/>
    <tableColumn id="4" name="Quantity" dataDxfId="173" totalsRowDxfId="65"/>
    <tableColumn id="5" name="Floor Space per component" totalsRowDxfId="64"/>
    <tableColumn id="6" name="Total Floor Space" totalsRowDxfId="63">
      <calculatedColumnFormula>E2*D2</calculatedColumnFormula>
    </tableColumn>
    <tableColumn id="7" name="Rent per sqm per year" totalsRowDxfId="62"/>
    <tableColumn id="8" name="Total Rent cost per year" totalsRowFunction="custom" totalsRowDxfId="61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60"/>
    <tableColumn id="10" name="MTTR" totalsRowDxfId="59"/>
    <tableColumn id="11" name="FIT" totalsRowDxfId="58"/>
    <tableColumn id="12" name="Energy consumption in W" totalsRowDxfId="57"/>
    <tableColumn id="13" name="Yearly Energy Consumption in kWh" totalsRowDxfId="56">
      <calculatedColumnFormula>Table10[[#This Row],[Energy consumption in W]]*24*365/1000</calculatedColumnFormula>
    </tableColumn>
    <tableColumn id="14" name="CU/kWh" totalsRowDxfId="55">
      <calculatedColumnFormula>0.15/50</calculatedColumnFormula>
    </tableColumn>
    <tableColumn id="15" name="Energy Cost per year in CU" totalsRowFunction="sum" totalsRowDxfId="54">
      <calculatedColumnFormula>Table10[[#This Row],[Yearly Energy Consumption in kWh]]*Table10[[#This Row],[CU/kWh]]</calculatedColumnFormula>
    </tableColumn>
    <tableColumn id="16" name="Mean dist in km from CO" totalsRowDxfId="53"/>
    <tableColumn id="17" name="Avg Travel Speed" totalsRowDxfId="52"/>
    <tableColumn id="18" name="Failures per year" totalsRowDxfId="51">
      <calculatedColumnFormula>Table10[[#This Row],[FIT]]*Table10[[#This Row],[Quantity]]*24*365/1000000000</calculatedColumnFormula>
    </tableColumn>
    <tableColumn id="19" name="Twice Travel Time" totalsRowDxfId="50">
      <calculatedColumnFormula>2*Table10[[#This Row],[Mean dist in km from CO]]/Table10[[#This Row],[Avg Travel Speed]]</calculatedColumnFormula>
    </tableColumn>
    <tableColumn id="20" name="Total Time to Repair(h)" totalsRowDxfId="49">
      <calculatedColumnFormula>Table10[[#This Row],[MTTR]]+Table10[[#This Row],[Twice Travel Time]]</calculatedColumnFormula>
    </tableColumn>
    <tableColumn id="21" name="No. Of technicians" totalsRowDxfId="48"/>
    <tableColumn id="22" name="Cost per hour" totalsRowDxfId="47"/>
    <tableColumn id="23" name="FM Cost" totalsRowFunction="sum" totalsRowDxfId="46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172" totalsRowDxfId="45"/>
    <tableColumn id="2" name="Component Name" dataDxfId="171" totalsRowDxfId="44"/>
    <tableColumn id="3" name="Cost per Unit (OASE)" dataDxfId="170" totalsRowDxfId="43"/>
    <tableColumn id="4" name="Quantity" dataDxfId="169" totalsRowDxfId="42"/>
    <tableColumn id="5" name="Floor Space per component" totalsRowDxfId="41"/>
    <tableColumn id="6" name="Total Floor Space" totalsRowDxfId="40">
      <calculatedColumnFormula>E2*D2</calculatedColumnFormula>
    </tableColumn>
    <tableColumn id="7" name="Rent per sqm per year" totalsRowDxfId="39"/>
    <tableColumn id="8" name="Total Rent cost per year" totalsRowFunction="custom" totalsRowDxfId="38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37"/>
    <tableColumn id="10" name="MTTR" totalsRowDxfId="36"/>
    <tableColumn id="11" name="FIT" totalsRowDxfId="35"/>
    <tableColumn id="12" name="Energy consumption in W" totalsRowDxfId="34"/>
    <tableColumn id="13" name="Yearly Energy Consumption in kWh" totalsRowDxfId="33">
      <calculatedColumnFormula>Table1012[[#This Row],[Energy consumption in W]]*24*365/1000</calculatedColumnFormula>
    </tableColumn>
    <tableColumn id="14" name="CU/kWh" totalsRowDxfId="32">
      <calculatedColumnFormula>0.15/50</calculatedColumnFormula>
    </tableColumn>
    <tableColumn id="15" name="Energy Cost per year in CU" totalsRowFunction="sum" totalsRowDxfId="31">
      <calculatedColumnFormula>Table1012[[#This Row],[Yearly Energy Consumption in kWh]]*Table1012[[#This Row],[CU/kWh]]</calculatedColumnFormula>
    </tableColumn>
    <tableColumn id="16" name="Mean dist in km from CO" totalsRowDxfId="30"/>
    <tableColumn id="17" name="Avg Travel Speed" totalsRowDxfId="29"/>
    <tableColumn id="18" name="Failures per year" totalsRowDxfId="28">
      <calculatedColumnFormula>Table1012[[#This Row],[FIT]]*Table1012[[#This Row],[Quantity]]*24*365/1000000000</calculatedColumnFormula>
    </tableColumn>
    <tableColumn id="19" name="Twice Travel Time" totalsRowDxfId="27">
      <calculatedColumnFormula>2*Table1012[[#This Row],[Mean dist in km from CO]]/Table1012[[#This Row],[Avg Travel Speed]]</calculatedColumnFormula>
    </tableColumn>
    <tableColumn id="20" name="Total Time to Repair(h)" totalsRowDxfId="26">
      <calculatedColumnFormula>Table1012[[#This Row],[MTTR]]+Table1012[[#This Row],[Twice Travel Time]]</calculatedColumnFormula>
    </tableColumn>
    <tableColumn id="21" name="No. Of technicians" totalsRowDxfId="25"/>
    <tableColumn id="22" name="Cost per hour" totalsRowDxfId="24"/>
    <tableColumn id="23" name="FM Cost" totalsRowFunction="sum" totalsRowDxfId="23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168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Table3[[#This Row],[Percentage of Business Users]]*Table3[[#This Row],[SLA CU per hour]]*Table3[[#This Row],[Failures per year]]*Table3[[#This Row],[Total Time to Repair(h)]]</calculatedColumnFormula>
    </tableColumn>
    <tableColumn id="28" name="FM Penalty ITS" totalsRowFunction="sum">
      <calculatedColumnFormula>Table3[[#This Row],[Percentage of ITS and business users]]*Table3[[#This Row],[SLA CU per hour]]*Table3[[#This Row],[Failures per year]]*Table3[[#This Row],[Total Time to Repair(h)]]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167" totalsRowDxfId="22"/>
    <tableColumn id="2" name="Component Name" dataDxfId="166" totalsRowDxfId="21"/>
    <tableColumn id="3" name="Cost per Unit (OASE)" dataDxfId="165" totalsRowDxfId="20"/>
    <tableColumn id="4" name="Quantity" dataDxfId="164" totalsRowDxfId="19"/>
    <tableColumn id="5" name="Floor Space per component" totalsRowDxfId="18"/>
    <tableColumn id="6" name="Total Floor Space" totalsRowDxfId="17">
      <calculatedColumnFormula>E2*D2</calculatedColumnFormula>
    </tableColumn>
    <tableColumn id="7" name="Rent per sqm per year" totalsRowDxfId="16"/>
    <tableColumn id="8" name="Total Rent cost per year" totalsRowFunction="custom" totalsRowDxfId="15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14"/>
    <tableColumn id="10" name="MTTR" totalsRowDxfId="13"/>
    <tableColumn id="11" name="FIT" totalsRowDxfId="12"/>
    <tableColumn id="12" name="Energy consumption in W" totalsRowDxfId="11"/>
    <tableColumn id="13" name="Yearly Energy Consumption in kWh" totalsRowDxfId="10">
      <calculatedColumnFormula>Table1014[[#This Row],[Energy consumption in W]]*24*365/1000</calculatedColumnFormula>
    </tableColumn>
    <tableColumn id="14" name="CU/kWh" totalsRowDxfId="9">
      <calculatedColumnFormula>0.15/50</calculatedColumnFormula>
    </tableColumn>
    <tableColumn id="15" name="Energy Cost per year in CU" totalsRowFunction="sum" totalsRowDxfId="8">
      <calculatedColumnFormula>Table1014[[#This Row],[Yearly Energy Consumption in kWh]]*Table1014[[#This Row],[CU/kWh]]</calculatedColumnFormula>
    </tableColumn>
    <tableColumn id="16" name="Mean dist in km from CO" totalsRowDxfId="7"/>
    <tableColumn id="17" name="Avg Travel Speed" totalsRowDxfId="6"/>
    <tableColumn id="18" name="Failures per year" totalsRowDxfId="5">
      <calculatedColumnFormula>Table1014[[#This Row],[FIT]]*Table1014[[#This Row],[Quantity]]*24*365/1000000000</calculatedColumnFormula>
    </tableColumn>
    <tableColumn id="19" name="Twice Travel Time" totalsRowDxfId="4">
      <calculatedColumnFormula>2*Table1014[[#This Row],[Mean dist in km from CO]]/Table1014[[#This Row],[Avg Travel Speed]]</calculatedColumnFormula>
    </tableColumn>
    <tableColumn id="20" name="Total Time to Repair(h)" totalsRowDxfId="3">
      <calculatedColumnFormula>Table1014[[#This Row],[MTTR]]+Table1014[[#This Row],[Twice Travel Time]]</calculatedColumnFormula>
    </tableColumn>
    <tableColumn id="21" name="No. Of technicians" totalsRowDxfId="2"/>
    <tableColumn id="22" name="Cost per hour" totalsRowDxfId="1"/>
    <tableColumn id="23" name="FM Cost" totalsRowFunction="sum" totalsRowDxfId="0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43"/>
    <tableColumn id="2" name="FTTC_GPON_25" totalsRowFunction="custom" totalsRowDxfId="142">
      <calculatedColumnFormula>FTTC_GPON_25!$I26</calculatedColumnFormula>
      <totalsRowFormula>SUM(Table22[FTTC_GPON_25])</totalsRowFormula>
    </tableColumn>
    <tableColumn id="3" name="FTTB_XGPON_50" totalsRowFunction="sum" totalsRowDxfId="141">
      <calculatedColumnFormula>FTTB_XGPON_50!$N26</calculatedColumnFormula>
    </tableColumn>
    <tableColumn id="4" name="FTTB_DWDM_50" totalsRowFunction="sum" totalsRowDxfId="140">
      <calculatedColumnFormula>FTTB_DWDM_50!$N34</calculatedColumnFormula>
    </tableColumn>
    <tableColumn id="5" name="FTTH_DWDM_100" totalsRowFunction="sum" totalsRowDxfId="139">
      <calculatedColumnFormula>FTTH_DWDM_100!$N21</calculatedColumnFormula>
    </tableColumn>
    <tableColumn id="6" name="FTTH_XGPON_100" totalsRowFunction="sum" totalsRowDxfId="138">
      <calculatedColumnFormula>FTTH_XGPON_100!$M36</calculatedColumnFormula>
    </tableColumn>
    <tableColumn id="7" name="FTTC_GPON_100" totalsRowFunction="sum" totalsRowDxfId="137">
      <calculatedColumnFormula>FTTC_GPON_100!$P24</calculatedColumnFormula>
    </tableColumn>
    <tableColumn id="8" name="FTTB_XGPON_100" totalsRowFunction="sum" dataDxfId="163" totalsRowDxfId="136">
      <calculatedColumnFormula>FTTB_XGPON_100!$M32</calculatedColumnFormula>
    </tableColumn>
    <tableColumn id="9" name="FTTB_DWDM_100" totalsRowFunction="sum" dataDxfId="162" totalsRowDxfId="135">
      <calculatedColumnFormula>FTTB_DWDM_100!$M33</calculatedColumnFormula>
    </tableColumn>
    <tableColumn id="10" name="FTTC_Hybridpon_25" totalsRowFunction="sum" dataDxfId="161" totalsRowDxfId="134">
      <calculatedColumnFormula>FTTC_Hybridpon_25!P21</calculatedColumnFormula>
    </tableColumn>
    <tableColumn id="11" name="FTTB_Hybridpon_50" totalsRowFunction="sum" totalsRowDxfId="133">
      <calculatedColumnFormula>FTTB_Hybridpon_50!$P19</calculatedColumnFormula>
    </tableColumn>
    <tableColumn id="12" name="FTTH_Hybridpon_100" totalsRowFunction="sum" totalsRowDxfId="132">
      <calculatedColumnFormula>FTTH_Hybridpon_100!$P19</calculatedColumnFormula>
    </tableColumn>
    <tableColumn id="13" name="FTTC_Hybridpon_100" totalsRowFunction="custom" totalsRowDxfId="131">
      <calculatedColumnFormula>FTTC_Hybridpon_100!$N18</calculatedColumnFormula>
      <totalsRowFormula>SUM(Table22[FTTC_Hybridpon_100])</totalsRowFormula>
    </tableColumn>
    <tableColumn id="14" name="FTTB_Hybridpon_100" totalsRowFunction="sum" totalsRowDxfId="130">
      <calculatedColumnFormula>FTTB_Hybridpon_100!$M20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4" name="Table2225" displayName="Table2225" ref="D12:Q18" totalsRowCount="1">
  <autoFilter ref="D12:Q17"/>
  <tableColumns count="14">
    <tableColumn id="1" name="Component_business" totalsRowDxfId="157"/>
    <tableColumn id="2" name="FTTC_GPON_25" totalsRowFunction="custom" totalsRowDxfId="156">
      <calculatedColumnFormula>FTTC_GPON_25!$J26</calculatedColumnFormula>
      <totalsRowFormula>SUM(Table2225[FTTC_GPON_25])</totalsRowFormula>
    </tableColumn>
    <tableColumn id="3" name="FTTB_XGPON_50" totalsRowFunction="sum" totalsRowDxfId="155">
      <calculatedColumnFormula>FTTB_XGPON_50!$O26</calculatedColumnFormula>
    </tableColumn>
    <tableColumn id="4" name="FTTB_DWDM_50" totalsRowFunction="sum" totalsRowDxfId="154">
      <calculatedColumnFormula>FTTB_DWDM_50!$O34</calculatedColumnFormula>
    </tableColumn>
    <tableColumn id="5" name="FTTH_DWDM_100" totalsRowFunction="sum" totalsRowDxfId="153">
      <calculatedColumnFormula>FTTH_DWDM_100!$O21</calculatedColumnFormula>
    </tableColumn>
    <tableColumn id="6" name="FTTH_XGPON_100" totalsRowFunction="sum" totalsRowDxfId="152">
      <calculatedColumnFormula>FTTH_XGPON_100!$N36</calculatedColumnFormula>
    </tableColumn>
    <tableColumn id="7" name="FTTC_GPON_100" totalsRowFunction="sum" totalsRowDxfId="151">
      <calculatedColumnFormula>FTTC_GPON_100!$Q24</calculatedColumnFormula>
    </tableColumn>
    <tableColumn id="8" name="FTTB_XGPON_100" totalsRowFunction="sum" dataDxfId="160" totalsRowDxfId="150">
      <calculatedColumnFormula>FTTB_XGPON_100!$N32</calculatedColumnFormula>
    </tableColumn>
    <tableColumn id="9" name="FTTB_DWDM_100" totalsRowFunction="sum" dataDxfId="159" totalsRowDxfId="149">
      <calculatedColumnFormula>FTTB_DWDM_100!$N33</calculatedColumnFormula>
    </tableColumn>
    <tableColumn id="10" name="FTTC_Hybridpon_25" totalsRowFunction="sum" dataDxfId="158" totalsRowDxfId="148">
      <calculatedColumnFormula>FTTC_Hybridpon_25!P21</calculatedColumnFormula>
    </tableColumn>
    <tableColumn id="11" name="FTTB_Hybridpon_50" totalsRowFunction="sum" totalsRowDxfId="147">
      <calculatedColumnFormula>FTTB_Hybridpon_50!$P19</calculatedColumnFormula>
    </tableColumn>
    <tableColumn id="12" name="FTTH_Hybridpon_100" totalsRowFunction="sum" totalsRowDxfId="146">
      <calculatedColumnFormula>FTTH_Hybridpon_100!$P19</calculatedColumnFormula>
    </tableColumn>
    <tableColumn id="13" name="FTTC_Hybridpon_100" totalsRowFunction="sum" totalsRowDxfId="145">
      <calculatedColumnFormula>FTTC_Hybridpon_100!$N18</calculatedColumnFormula>
    </tableColumn>
    <tableColumn id="14" name="FTTB_Hybridpon_100" totalsRowFunction="sum" totalsRowDxfId="144">
      <calculatedColumnFormula>FTTB_Hybridpon_100!$M20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AB11" totalsRowCount="1">
  <autoFilter ref="B1:AB10"/>
  <tableColumns count="27">
    <tableColumn id="1" name="Component Name" dataDxfId="191" totalsRowDxfId="126"/>
    <tableColumn id="2" name="Cost per Unit (OASE)" dataDxfId="190" totalsRowDxfId="125"/>
    <tableColumn id="3" name="Quantity" dataDxfId="189" totalsRowDxfId="124"/>
    <tableColumn id="4" name="Floor Space per component" totalsRowDxfId="123"/>
    <tableColumn id="5" name="Total Floor Space" totalsRowDxfId="122">
      <calculatedColumnFormula>E2*D2</calculatedColumnFormula>
    </tableColumn>
    <tableColumn id="6" name="Rent per sqm per year" totalsRowDxfId="121"/>
    <tableColumn id="7" name="Total Rent cost per year" totalsRowFunction="sum" totalsRowDxfId="120">
      <calculatedColumnFormula>G2*F2</calculatedColumnFormula>
    </tableColumn>
    <tableColumn id="8" name="Installation Time in hours" totalsRowDxfId="119"/>
    <tableColumn id="9" name="MTTR" totalsRowDxfId="118"/>
    <tableColumn id="10" name="FIT" totalsRowDxfId="117"/>
    <tableColumn id="11" name="Energy consumption in W" totalsRowDxfId="116"/>
    <tableColumn id="12" name="Yearly Energy Consumption in kWh" totalsRowDxfId="115">
      <calculatedColumnFormula>Table1[[#This Row],[Energy consumption in W]]*24*365/1000</calculatedColumnFormula>
    </tableColumn>
    <tableColumn id="13" name="CU/kWh" totalsRowDxfId="114">
      <calculatedColumnFormula>0.15/50</calculatedColumnFormula>
    </tableColumn>
    <tableColumn id="14" name="Energy Cost per year in CU" totalsRowFunction="sum" totalsRowDxfId="113">
      <calculatedColumnFormula>Table1[[#This Row],[Yearly Energy Consumption in kWh]]*Table1[[#This Row],[CU/kWh]]</calculatedColumnFormula>
    </tableColumn>
    <tableColumn id="15" name="Mean dist in km from CO" totalsRowDxfId="112"/>
    <tableColumn id="16" name="Avg Travel Speed" totalsRowDxfId="111"/>
    <tableColumn id="17" name="Failures per year" totalsRowDxfId="110">
      <calculatedColumnFormula>Table1[[#This Row],[Quantity]]*Table1[[#This Row],[FIT]]*24*365/1000000000</calculatedColumnFormula>
    </tableColumn>
    <tableColumn id="18" name="Twice Travel Time" totalsRowDxfId="109">
      <calculatedColumnFormula>2*Table1[[#This Row],[Mean dist in km from CO]]/Table1[[#This Row],[Avg Travel Speed]]</calculatedColumnFormula>
    </tableColumn>
    <tableColumn id="19" name="Total Time to Repair(h)" totalsRowDxfId="108">
      <calculatedColumnFormula>Table1[[#This Row],[MTTR]]+Table1[[#This Row],[Twice Travel Time]]</calculatedColumnFormula>
    </tableColumn>
    <tableColumn id="20" name="No. Of technicians" totalsRowDxfId="107"/>
    <tableColumn id="21" name="Cost per hour" totalsRowDxfId="106"/>
    <tableColumn id="22" name="FM Cost" totalsRowFunction="custom" totalsRowDxfId="105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  <tableColumn id="23" name="SLA CU per hour" totalsRowDxfId="104"/>
    <tableColumn id="24" name="Percentage of Business Users" totalsRowDxfId="103"/>
    <tableColumn id="25" name="Percentage of ITS and business users" totalsRowDxfId="102"/>
    <tableColumn id="26" name="FM Penalty Business" totalsRowFunction="sum" totalsRowDxfId="101">
      <calculatedColumnFormula>Table1[[#This Row],[Percentage of Business Users]]*Table1[[#This Row],[SLA CU per hour]]*Table1[[#This Row],[Failures per year]]*Table1[[#This Row],[Total Time to Repair(h)]]</calculatedColumnFormula>
    </tableColumn>
    <tableColumn id="27" name="FM Penalty ITS" totalsRowFunction="sum" totalsRowDxfId="100">
      <calculatedColumnFormula>Table1[[#This Row],[Percentage of ITS and business users]]*Table1[[#This Row],[SLA CU per hour]]*Table1[[#This Row],[Failures per year]]*Table1[[#This Row],[Total Time to Repair(h)]]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B11" totalsRowCount="1">
  <autoFilter ref="A1:AB10"/>
  <tableColumns count="28">
    <tableColumn id="1" name="Position of component"/>
    <tableColumn id="2" name="Component Name" dataDxfId="188"/>
    <tableColumn id="3" name="Cost per Unit (OASE)"/>
    <tableColumn id="4" name="Quantity" dataDxfId="187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0.15/50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  <tableColumn id="9" name="SLA CU per hour"/>
    <tableColumn id="25" name="Percentage of Business Users"/>
    <tableColumn id="26" name="Percentage of ITS and business users"/>
    <tableColumn id="27" name="FM Penalty Business" totalsRowFunction="sum">
      <calculatedColumnFormula>Table4[[#This Row],[Percentage of Business Users]]*Table4[[#This Row],[SLA CU per hour]]*Table4[[#This Row],[Failures per year]]*Table4[[#This Row],[Total Time to Repair(h)]]</calculatedColumnFormula>
    </tableColumn>
    <tableColumn id="28" name="FM Penalty ITS" totalsRowFunction="sum">
      <calculatedColumnFormula>Table4[[#This Row],[Percentage of ITS and business users]]*Table4[[#This Row],[SLA CU per hour]]*Table4[[#This Row],[Failures per year]]*Table4[[#This Row],[Total Time to Repair(h)]]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B11" totalsRowCount="1">
  <autoFilter ref="A1:AB10"/>
  <tableColumns count="28">
    <tableColumn id="1" name="Position of component"/>
    <tableColumn id="2" name="Component Name" dataDxfId="186"/>
    <tableColumn id="3" name="Cost per Unit (OASE)"/>
    <tableColumn id="4" name="Quantity" dataDxfId="185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Table36[[#This Row],[Percentage of Business Users]]*Table36[[#This Row],[SLA CU per hour]]*Table36[[#This Row],[Failures per year]]*Table36[[#This Row],[Total Time to Repair(h)]]</calculatedColumnFormula>
    </tableColumn>
    <tableColumn id="28" name="FM Penalty ITS" totalsRowFunction="sum">
      <calculatedColumnFormula>Table36[[#This Row],[Percentage of ITS and business users]]*Table36[[#This Row],[SLA CU per hour]]*Table36[[#This Row],[Failures per year]]*Table36[[#This Row],[Total Time to Repair(h)]]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B11" totalsRowCount="1">
  <autoFilter ref="A1:AB10"/>
  <tableColumns count="28">
    <tableColumn id="1" name="Position of component"/>
    <tableColumn id="2" name="Component Name" dataDxfId="184" totalsRowDxfId="99"/>
    <tableColumn id="3" name="Cost per Unit (OASE)" dataDxfId="183"/>
    <tableColumn id="4" name="Quantity" dataDxfId="182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98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0.15/50</calculatedColumnFormula>
    </tableColumn>
    <tableColumn id="11" name="Energy Cost per year in CU" totalsRowFunction="custom" totalsRowDxfId="97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96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Table27[[#This Row],[Percentage of Business Users]]*Table27[[#This Row],[SLA CU per hour]]*Table27[[#This Row],[Failures per year]]*Table27[[#This Row],[Total Time to Repair(h)]]</calculatedColumnFormula>
    </tableColumn>
    <tableColumn id="28" name="FM Penalty ITS" totalsRowFunction="sum">
      <calculatedColumnFormula>Table27[[#This Row],[Percentage of ITS and business users]]*Table27[[#This Row],[SLA CU per hour]]*Table27[[#This Row],[Failures per year]]*Table27[[#This Row],[Total Time to Repair(h)]]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R29" totalsRowCount="1">
  <autoFilter ref="O23:R28"/>
  <tableColumns count="4">
    <tableColumn id="1" name="Component"/>
    <tableColumn id="2" name="Residential" totalsRowFunction="custom">
      <totalsRowFormula>SUM(Table14[Residential])</totalsRowFormula>
    </tableColumn>
    <tableColumn id="3" name="Business" totalsRowFunction="sum"/>
    <tableColumn id="4" name="Business ITS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B11" totalsRowCount="1">
  <autoFilter ref="A1:AB10"/>
  <tableColumns count="28">
    <tableColumn id="1" name="Position of component"/>
    <tableColumn id="2" name="Component Name"/>
    <tableColumn id="3" name="Cost per Unit (OASE)" dataDxfId="181"/>
    <tableColumn id="4" name="Quantity" dataDxfId="180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Table38[[#This Row],[Percentage of Business Users]]*Table38[[#This Row],[SLA CU per hour]]*Table38[[#This Row],[Failures per year]]*Table38[[#This Row],[Total Time to Repair(h)]]</calculatedColumnFormula>
    </tableColumn>
    <tableColumn id="28" name="FM Penalty ITS" totalsRowFunction="sum">
      <calculatedColumnFormula>Table38[[#This Row],[Percentage of ITS and business users]]*Table38[[#This Row],[SLA CU per hour]]*Table38[[#This Row],[Failures per year]]*Table38[[#This Row],[Total Time to Repair(h)]]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31:O37" totalsRowCount="1">
  <autoFilter ref="L31:O36"/>
  <tableColumns count="4">
    <tableColumn id="1" name="Component"/>
    <tableColumn id="2" name="Residential" totalsRowFunction="custom">
      <totalsRowFormula>SUM(Table1416[Residential])</totalsRowFormula>
    </tableColumn>
    <tableColumn id="3" name="Business" totalsRowFunction="sum"/>
    <tableColumn id="4" name="Business IT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=@[Percentage%20of%20Business%20Users]*@[SLA%20CU%20per%20hour]*@[Failures%20per%20year]*@[Total%20Time%20to%20Repair(h)]" TargetMode="External"/><Relationship Id="rId1" Type="http://schemas.openxmlformats.org/officeDocument/2006/relationships/hyperlink" Target="mailto:=@[Percentage%20of%20Business%20Users]*@[SLA%20CU%20per%20hour]*@[Failures%20per%20year]*@[Total%20Time%20to%20Repair(h)]" TargetMode="Externa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31" sqref="F3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53</v>
      </c>
      <c r="B3" s="1" t="s">
        <v>55</v>
      </c>
      <c r="C3" s="1" t="s">
        <v>57</v>
      </c>
      <c r="D3" s="1" t="s">
        <v>56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54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D1" zoomScale="70" zoomScaleNormal="70" workbookViewId="0">
      <selection activeCell="N2" sqref="N2:N10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0.15/50</f>
        <v>3.0000000000000001E-3</v>
      </c>
      <c r="O2">
        <f>Table9[[#This Row],[Yearly Energy Consumption in kWh]]*Table9[[#This Row],[CU/kWh]]</f>
        <v>10.512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84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0.15/50</f>
        <v>3.0000000000000001E-3</v>
      </c>
      <c r="O3" s="8">
        <f>Table9[[#This Row],[Yearly Energy Consumption in kWh]]*Table9[[#This Row],[CU/kWh]]</f>
        <v>21.024000000000001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3.0000000000000001E-3</v>
      </c>
      <c r="O4" s="8">
        <f>Table9[[#This Row],[Yearly Energy Consumption in kWh]]*Table9[[#This Row],[CU/kWh]]</f>
        <v>15.768000000000001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75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3.0000000000000001E-3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76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3.0000000000000001E-3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85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3.0000000000000001E-3</v>
      </c>
      <c r="O7" s="8">
        <f>Table9[[#This Row],[Yearly Energy Consumption in kWh]]*Table9[[#This Row],[CU/kWh]]</f>
        <v>801.54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86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3.0000000000000001E-3</v>
      </c>
      <c r="O8" s="8">
        <f>Table9[[#This Row],[Yearly Energy Consumption in kWh]]*Table9[[#This Row],[CU/kWh]]</f>
        <v>264.50819999999999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87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512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3.0000000000000001E-3</v>
      </c>
      <c r="O9" s="8">
        <f>Table9[[#This Row],[Yearly Energy Consumption in kWh]]*Table9[[#This Row],[CU/kWh]]</f>
        <v>2404.62</v>
      </c>
      <c r="P9">
        <v>2</v>
      </c>
      <c r="Q9" s="8">
        <v>20</v>
      </c>
      <c r="R9" s="8">
        <f>Table9[[#This Row],[FIT]]*Table9[[#This Row],[Quantity]]*24*365/1000000000</f>
        <v>8.2077696000000007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754.78649241599999</v>
      </c>
    </row>
    <row r="10" spans="1:23" x14ac:dyDescent="0.25">
      <c r="A10" t="s">
        <v>88</v>
      </c>
      <c r="B10" t="s">
        <v>83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3.0000000000000001E-3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16202.8</v>
      </c>
      <c r="O11">
        <f>SUBTOTAL(109,Table9[Energy Cost per year in CU])</f>
        <v>3517.9721999999997</v>
      </c>
      <c r="W11">
        <f>SUBTOTAL(109,Table9[FM Cost])</f>
        <v>3304.8114688319997</v>
      </c>
    </row>
    <row r="15" spans="1:23" x14ac:dyDescent="0.25">
      <c r="P15" t="s">
        <v>69</v>
      </c>
    </row>
    <row r="16" spans="1:23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>
        <f>Table9[[#Totals],[Total Rent cost per year]]+Table9[[#Totals],[Energy Cost per year in CU]]+Table9[[#Totals],[FM Cost]]+J20</f>
        <v>23314.26361057318</v>
      </c>
    </row>
    <row r="17" spans="1:16" x14ac:dyDescent="0.25">
      <c r="A17" t="s">
        <v>41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42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62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97</v>
      </c>
      <c r="P20" s="8" t="s">
        <v>66</v>
      </c>
    </row>
    <row r="21" spans="1:16" x14ac:dyDescent="0.25">
      <c r="O21" s="8" t="s">
        <v>92</v>
      </c>
      <c r="P21" s="8">
        <f>Table9[[#Totals],[Total Rent cost per year]]</f>
        <v>16202.8</v>
      </c>
    </row>
    <row r="22" spans="1:16" x14ac:dyDescent="0.25">
      <c r="O22" s="8" t="s">
        <v>93</v>
      </c>
      <c r="P22" s="8">
        <f>Table9[[#Totals],[Energy Cost per year in CU]]</f>
        <v>3517.9721999999997</v>
      </c>
    </row>
    <row r="23" spans="1:16" x14ac:dyDescent="0.25">
      <c r="O23" s="8" t="s">
        <v>94</v>
      </c>
      <c r="P23" s="8">
        <f>Table9[[#Totals],[FM Cost]]+J20</f>
        <v>3593.4914105731814</v>
      </c>
    </row>
    <row r="24" spans="1:16" x14ac:dyDescent="0.25">
      <c r="O24" s="8" t="s">
        <v>95</v>
      </c>
      <c r="P24" s="8">
        <f>0.05*SUM(P21:P23)</f>
        <v>1165.713180528659</v>
      </c>
    </row>
    <row r="25" spans="1:16" x14ac:dyDescent="0.25">
      <c r="O25" s="8" t="s">
        <v>96</v>
      </c>
      <c r="P25" s="8">
        <f>0.07*SUM(P21:P23)</f>
        <v>1631.9984527401227</v>
      </c>
    </row>
    <row r="26" spans="1:16" x14ac:dyDescent="0.25">
      <c r="O26" s="8"/>
      <c r="P26" s="8">
        <f>SUM(Table14161718[Cost])</f>
        <v>26111.97524384196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N2" sqref="N2:N9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58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0.15/50</f>
        <v>3.0000000000000001E-3</v>
      </c>
      <c r="O2">
        <f>Table10[[#This Row],[Yearly Energy Consumption in kWh]]*Table10[[#This Row],[CU/kWh]]</f>
        <v>63.072000000000003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84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0.15/50</f>
        <v>3.0000000000000001E-3</v>
      </c>
      <c r="O3" s="8">
        <f>Table10[[#This Row],[Yearly Energy Consumption in kWh]]*Table10[[#This Row],[CU/kWh]]</f>
        <v>21.024000000000001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3.0000000000000001E-3</v>
      </c>
      <c r="O4" s="8">
        <f>Table10[[#This Row],[Yearly Energy Consumption in kWh]]*Table10[[#This Row],[CU/kWh]]</f>
        <v>15.768000000000001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75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3.0000000000000001E-3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76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3.0000000000000001E-3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89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3.0000000000000001E-3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88</v>
      </c>
      <c r="B8" s="17" t="s">
        <v>86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3.0000000000000001E-3</v>
      </c>
      <c r="O8" s="8">
        <f>Table10[[#This Row],[Yearly Energy Consumption in kWh]]*Table10[[#This Row],[CU/kWh]]</f>
        <v>722.7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88</v>
      </c>
      <c r="B9" s="20" t="s">
        <v>90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512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3.0000000000000001E-3</v>
      </c>
      <c r="O9" s="8">
        <f>Table10[[#This Row],[Yearly Energy Consumption in kWh]]*Table10[[#This Row],[CU/kWh]]</f>
        <v>6570</v>
      </c>
      <c r="P9">
        <v>4</v>
      </c>
      <c r="Q9">
        <v>20</v>
      </c>
      <c r="R9" s="8">
        <f>Table10[[#This Row],[FIT]]*Table10[[#This Row],[Quantity]]*24*365/1000000000</f>
        <v>22.425599999999999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2079.3016319999997</v>
      </c>
    </row>
    <row r="10" spans="1:23" x14ac:dyDescent="0.25">
      <c r="A10" s="29"/>
      <c r="B10" s="30"/>
      <c r="C10" s="31"/>
      <c r="D10" s="31"/>
      <c r="E10" s="22"/>
      <c r="F10" s="22"/>
      <c r="G10" s="22"/>
      <c r="H10" s="22">
        <f>SUM(Table10[Total Rent cost per year])</f>
        <v>4240</v>
      </c>
      <c r="I10" s="22"/>
      <c r="J10" s="22"/>
      <c r="K10" s="22"/>
      <c r="L10" s="22"/>
      <c r="M10" s="22"/>
      <c r="N10" s="22"/>
      <c r="O10" s="22">
        <f>SUBTOTAL(109,Table10[Energy Cost per year in CU])</f>
        <v>7392.5640000000003</v>
      </c>
      <c r="P10" s="22"/>
      <c r="Q10" s="22"/>
      <c r="R10" s="22"/>
      <c r="S10" s="22"/>
      <c r="T10" s="22"/>
      <c r="U10" s="22"/>
      <c r="V10" s="22"/>
      <c r="W10" s="22">
        <f>SUBTOTAL(109,Table10[FM Cost])</f>
        <v>2359.3958517599995</v>
      </c>
    </row>
    <row r="15" spans="1:23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t="s">
        <v>69</v>
      </c>
    </row>
    <row r="16" spans="1:23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14271.856744752547</v>
      </c>
    </row>
    <row r="17" spans="1:16" x14ac:dyDescent="0.2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97</v>
      </c>
      <c r="P18" s="8" t="s">
        <v>66</v>
      </c>
    </row>
    <row r="19" spans="1:16" x14ac:dyDescent="0.25">
      <c r="J19">
        <f>SUM(J16:J18)</f>
        <v>279.89689299254849</v>
      </c>
      <c r="O19" s="8" t="s">
        <v>92</v>
      </c>
      <c r="P19" s="8">
        <f>Table10[[#Totals],[Total Rent cost per year]]</f>
        <v>4240</v>
      </c>
    </row>
    <row r="20" spans="1:16" x14ac:dyDescent="0.25">
      <c r="O20" s="8" t="s">
        <v>93</v>
      </c>
      <c r="P20" s="8">
        <f>Table10[[#Totals],[Energy Cost per year in CU]]</f>
        <v>7392.5640000000003</v>
      </c>
    </row>
    <row r="21" spans="1:16" x14ac:dyDescent="0.25">
      <c r="O21" s="8" t="s">
        <v>94</v>
      </c>
      <c r="P21" s="8">
        <f>Table10[[#Totals],[FM Cost]]</f>
        <v>2359.3958517599995</v>
      </c>
    </row>
    <row r="22" spans="1:16" x14ac:dyDescent="0.25">
      <c r="O22" s="8" t="s">
        <v>95</v>
      </c>
      <c r="P22" s="8">
        <f>0.05*SUM(P19:P21)</f>
        <v>699.59799258800001</v>
      </c>
    </row>
    <row r="23" spans="1:16" x14ac:dyDescent="0.25">
      <c r="O23" s="8" t="s">
        <v>96</v>
      </c>
      <c r="P23" s="8">
        <f>0.07*SUM(P19:P21)</f>
        <v>979.43718962319997</v>
      </c>
    </row>
    <row r="24" spans="1:16" x14ac:dyDescent="0.25">
      <c r="O24" s="8"/>
      <c r="P24" s="8">
        <f>SUM(Table1416171819[Cost])</f>
        <v>15670.9950339712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N2" sqref="N2:N9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4" t="s">
        <v>58</v>
      </c>
      <c r="C2" s="18">
        <v>80</v>
      </c>
      <c r="D2" s="23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0.15/50</f>
        <v>3.0000000000000001E-3</v>
      </c>
      <c r="O2" s="8">
        <f>Table1012[[#This Row],[Yearly Energy Consumption in kWh]]*Table1012[[#This Row],[CU/kWh]]</f>
        <v>126.14400000000001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4" t="s">
        <v>84</v>
      </c>
      <c r="C3" s="21">
        <v>40</v>
      </c>
      <c r="D3" s="23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0.15/50</f>
        <v>3.0000000000000001E-3</v>
      </c>
      <c r="O3" s="8">
        <f>Table1012[[#This Row],[Yearly Energy Consumption in kWh]]*Table1012[[#This Row],[CU/kWh]]</f>
        <v>42.048000000000002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4" t="s">
        <v>6</v>
      </c>
      <c r="C4" s="18">
        <v>0.1</v>
      </c>
      <c r="D4" s="23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3.0000000000000001E-3</v>
      </c>
      <c r="O4" s="8">
        <f>Table1012[[#This Row],[Yearly Energy Consumption in kWh]]*Table1012[[#This Row],[CU/kWh]]</f>
        <v>15.768000000000001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4" t="s">
        <v>75</v>
      </c>
      <c r="C5" s="21">
        <v>400</v>
      </c>
      <c r="D5" s="23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3.0000000000000001E-3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4" t="s">
        <v>76</v>
      </c>
      <c r="C6" s="18">
        <v>24</v>
      </c>
      <c r="D6" s="23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3.0000000000000001E-3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4" t="s">
        <v>89</v>
      </c>
      <c r="C7" s="21">
        <v>0.9</v>
      </c>
      <c r="D7" s="23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3.0000000000000001E-3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88</v>
      </c>
      <c r="B8" s="24" t="s">
        <v>86</v>
      </c>
      <c r="C8" s="18">
        <v>3.3</v>
      </c>
      <c r="D8" s="23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3.0000000000000001E-3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88</v>
      </c>
      <c r="B9" s="24" t="s">
        <v>78</v>
      </c>
      <c r="C9" s="21">
        <v>1.8</v>
      </c>
      <c r="D9" s="23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3.0000000000000001E-3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9"/>
      <c r="B10" s="30"/>
      <c r="C10" s="31"/>
      <c r="D10" s="31"/>
      <c r="E10" s="22"/>
      <c r="F10" s="22"/>
      <c r="G10" s="22"/>
      <c r="H10" s="22">
        <f>SUM(Table1012[Total Rent cost per year])</f>
        <v>8480</v>
      </c>
      <c r="I10" s="22"/>
      <c r="J10" s="22"/>
      <c r="K10" s="22"/>
      <c r="L10" s="22"/>
      <c r="M10" s="22"/>
      <c r="N10" s="22"/>
      <c r="O10" s="22">
        <f>SUBTOTAL(109,Table1012[Energy Cost per year in CU])</f>
        <v>183.96</v>
      </c>
      <c r="P10" s="22"/>
      <c r="Q10" s="22"/>
      <c r="R10" s="22"/>
      <c r="S10" s="22"/>
      <c r="T10" s="22"/>
      <c r="U10" s="22"/>
      <c r="V10" s="22"/>
      <c r="W10" s="22">
        <f>SUBTOTAL(109,Table1012[FM Cost])</f>
        <v>1701.0018203999996</v>
      </c>
    </row>
    <row r="15" spans="1:23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3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10644.858713392547</v>
      </c>
    </row>
    <row r="17" spans="1:16" x14ac:dyDescent="0.2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97</v>
      </c>
      <c r="P18" s="8" t="s">
        <v>66</v>
      </c>
    </row>
    <row r="19" spans="1:16" x14ac:dyDescent="0.25">
      <c r="J19" s="8">
        <f>SUM(J16:J18)</f>
        <v>279.89689299254849</v>
      </c>
      <c r="O19" s="8" t="s">
        <v>92</v>
      </c>
      <c r="P19" s="8">
        <f>Table1012[[#Totals],[Total Rent cost per year]]</f>
        <v>8480</v>
      </c>
    </row>
    <row r="20" spans="1:16" x14ac:dyDescent="0.25">
      <c r="O20" s="8" t="s">
        <v>93</v>
      </c>
      <c r="P20" s="8">
        <f>Table1012[[#Totals],[Energy Cost per year in CU]]</f>
        <v>183.96</v>
      </c>
    </row>
    <row r="21" spans="1:16" x14ac:dyDescent="0.25">
      <c r="O21" s="8" t="s">
        <v>94</v>
      </c>
      <c r="P21" s="8">
        <f>Table1012[[#Totals],[FM Cost]]+J19</f>
        <v>1980.898713392548</v>
      </c>
    </row>
    <row r="22" spans="1:16" x14ac:dyDescent="0.25">
      <c r="O22" s="8" t="s">
        <v>95</v>
      </c>
      <c r="P22" s="8">
        <f>0.05*SUM(P19:P21)</f>
        <v>532.2429356696274</v>
      </c>
    </row>
    <row r="23" spans="1:16" x14ac:dyDescent="0.25">
      <c r="O23" s="8" t="s">
        <v>96</v>
      </c>
      <c r="P23" s="8">
        <f>0.07*SUM(P19:P21)</f>
        <v>745.14010993747831</v>
      </c>
    </row>
    <row r="24" spans="1:16" x14ac:dyDescent="0.25">
      <c r="P24" s="8">
        <f>SUM(Table141617181920[Cost])</f>
        <v>11922.241758999651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K8" sqref="K8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3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0.15/50</f>
        <v>3.0000000000000001E-3</v>
      </c>
      <c r="O2" s="8">
        <f>Table913[[#This Row],[Yearly Energy Consumption in kWh]]*Table913[[#This Row],[CU/kWh]]</f>
        <v>42.048000000000002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84</v>
      </c>
      <c r="C3" s="8">
        <v>40</v>
      </c>
      <c r="D3" s="23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0.15/50</f>
        <v>3.0000000000000001E-3</v>
      </c>
      <c r="O3" s="8">
        <f>Table913[[#This Row],[Yearly Energy Consumption in kWh]]*Table913[[#This Row],[CU/kWh]]</f>
        <v>84.096000000000004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3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3.0000000000000001E-3</v>
      </c>
      <c r="O4" s="8">
        <f>Table913[[#This Row],[Yearly Energy Consumption in kWh]]*Table913[[#This Row],[CU/kWh]]</f>
        <v>15.768000000000001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75</v>
      </c>
      <c r="C5" s="8">
        <v>400</v>
      </c>
      <c r="D5" s="23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3.0000000000000001E-3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76</v>
      </c>
      <c r="C6" s="8">
        <v>24</v>
      </c>
      <c r="D6" s="23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3.0000000000000001E-3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85</v>
      </c>
      <c r="C7" s="8">
        <v>112</v>
      </c>
      <c r="D7" s="23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512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3.0000000000000001E-3</v>
      </c>
      <c r="O7" s="8">
        <f>Table913[[#This Row],[Yearly Energy Consumption in kWh]]*Table913[[#This Row],[CU/kWh]]</f>
        <v>801.54</v>
      </c>
      <c r="P7" s="8">
        <v>1.5</v>
      </c>
      <c r="Q7" s="8">
        <v>20</v>
      </c>
      <c r="R7" s="8">
        <f>Table913[[#This Row],[FIT]]*Table913[[#This Row],[Quantity]]*24*365/1000000000</f>
        <v>2.7359232000000002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251.07567206399997</v>
      </c>
    </row>
    <row r="8" spans="1:23" x14ac:dyDescent="0.25">
      <c r="A8" s="8" t="s">
        <v>10</v>
      </c>
      <c r="B8" s="8" t="s">
        <v>86</v>
      </c>
      <c r="C8" s="8">
        <v>3.1</v>
      </c>
      <c r="D8" s="23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3.0000000000000001E-3</v>
      </c>
      <c r="O8" s="8">
        <f>Table913[[#This Row],[Yearly Energy Consumption in kWh]]*Table913[[#This Row],[CU/kWh]]</f>
        <v>352.67759999999998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87</v>
      </c>
      <c r="C9" s="8">
        <v>12</v>
      </c>
      <c r="D9" s="23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2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512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3.0000000000000001E-3</v>
      </c>
      <c r="O9" s="8">
        <f>Table913[[#This Row],[Yearly Energy Consumption in kWh]]*Table913[[#This Row],[CU/kWh]]</f>
        <v>3206.16</v>
      </c>
      <c r="P9" s="8">
        <v>2</v>
      </c>
      <c r="Q9" s="8">
        <v>20</v>
      </c>
      <c r="R9" s="8">
        <f>Table913[[#This Row],[FIT]]*Table913[[#This Row],[Quantity]]*24*365/1000000000</f>
        <v>10.943692800000001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1006.381989888</v>
      </c>
    </row>
    <row r="10" spans="1:23" x14ac:dyDescent="0.25">
      <c r="A10" s="8" t="s">
        <v>88</v>
      </c>
      <c r="B10" s="8" t="s">
        <v>83</v>
      </c>
      <c r="C10" s="8">
        <v>0</v>
      </c>
      <c r="D10" s="23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3.0000000000000001E-3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20377.2</v>
      </c>
      <c r="O11" s="8">
        <f>SUBTOTAL(109,Table913[Energy Cost per year in CU])</f>
        <v>4502.2896000000001</v>
      </c>
      <c r="W11" s="8">
        <f>SUBTOTAL(109,Table913[FM Cost])</f>
        <v>1393.9163587200001</v>
      </c>
    </row>
    <row r="15" spans="1:23" x14ac:dyDescent="0.25">
      <c r="P15" s="8" t="s">
        <v>69</v>
      </c>
    </row>
    <row r="16" spans="1:23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 s="8">
        <f>Table913[[#Totals],[Total Rent cost per year]]+Table913[[#Totals],[Energy Cost per year in CU]]+Table913[[#Totals],[FM Cost]]+J20</f>
        <v>26562.085900461185</v>
      </c>
    </row>
    <row r="17" spans="1:14" x14ac:dyDescent="0.25">
      <c r="A17" s="8" t="s">
        <v>41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97</v>
      </c>
      <c r="N17" s="8" t="s">
        <v>66</v>
      </c>
    </row>
    <row r="18" spans="1:14" x14ac:dyDescent="0.25">
      <c r="A18" s="8" t="s">
        <v>42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92</v>
      </c>
      <c r="N18" s="8">
        <f>Table913[[#Totals],[Total Rent cost per year]]</f>
        <v>20377.2</v>
      </c>
    </row>
    <row r="19" spans="1:14" x14ac:dyDescent="0.25">
      <c r="A19" s="8" t="s">
        <v>62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93</v>
      </c>
      <c r="N19" s="8">
        <f>Table913[[#Totals],[Energy Cost per year in CU]]</f>
        <v>4502.2896000000001</v>
      </c>
    </row>
    <row r="20" spans="1:14" x14ac:dyDescent="0.25">
      <c r="J20" s="8">
        <f>SUM(J17:J19)</f>
        <v>288.67994174118155</v>
      </c>
      <c r="M20" s="8" t="s">
        <v>94</v>
      </c>
      <c r="N20" s="8">
        <f>Table913[[#Totals],[FM Cost]]+J20</f>
        <v>1682.5963004611817</v>
      </c>
    </row>
    <row r="21" spans="1:14" x14ac:dyDescent="0.25">
      <c r="M21" s="8" t="s">
        <v>95</v>
      </c>
      <c r="N21" s="8">
        <f>0.05*SUM(N18:N20)</f>
        <v>1328.1042950230592</v>
      </c>
    </row>
    <row r="22" spans="1:14" x14ac:dyDescent="0.25">
      <c r="M22" s="8" t="s">
        <v>96</v>
      </c>
      <c r="N22" s="8">
        <f>0.07*SUM(N18:N20)</f>
        <v>1859.3460130322828</v>
      </c>
    </row>
    <row r="23" spans="1:14" x14ac:dyDescent="0.25">
      <c r="N23" s="8">
        <f>SUM(Table14161718192021[Cost])</f>
        <v>29749.536208516522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E1" workbookViewId="0">
      <selection activeCell="N2" sqref="N2:N9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58</v>
      </c>
      <c r="C2" s="18">
        <v>80</v>
      </c>
      <c r="D2" s="23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0.15/50</f>
        <v>3.0000000000000001E-3</v>
      </c>
      <c r="O2" s="8">
        <f>Table1014[[#This Row],[Yearly Energy Consumption in kWh]]*Table1014[[#This Row],[CU/kWh]]</f>
        <v>126.14400000000001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84</v>
      </c>
      <c r="C3" s="21">
        <v>40</v>
      </c>
      <c r="D3" s="23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0.15/50</f>
        <v>3.0000000000000001E-3</v>
      </c>
      <c r="O3" s="8">
        <f>Table1014[[#This Row],[Yearly Energy Consumption in kWh]]*Table1014[[#This Row],[CU/kWh]]</f>
        <v>42.048000000000002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3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3.0000000000000001E-3</v>
      </c>
      <c r="O4" s="8">
        <f>Table1014[[#This Row],[Yearly Energy Consumption in kWh]]*Table1014[[#This Row],[CU/kWh]]</f>
        <v>15.768000000000001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75</v>
      </c>
      <c r="C5" s="21">
        <v>400</v>
      </c>
      <c r="D5" s="23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3.0000000000000001E-3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76</v>
      </c>
      <c r="C6" s="18">
        <f>80*0.3</f>
        <v>24</v>
      </c>
      <c r="D6" s="23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3.0000000000000001E-3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89</v>
      </c>
      <c r="C7" s="21">
        <v>0.9</v>
      </c>
      <c r="D7" s="23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3.0000000000000001E-3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88</v>
      </c>
      <c r="B8" s="17" t="s">
        <v>86</v>
      </c>
      <c r="C8" s="18">
        <v>3.1</v>
      </c>
      <c r="D8" s="23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3.0000000000000001E-3</v>
      </c>
      <c r="O8" s="8">
        <f>Table1014[[#This Row],[Yearly Energy Consumption in kWh]]*Table1014[[#This Row],[CU/kWh]]</f>
        <v>722.7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88</v>
      </c>
      <c r="B9" s="20" t="s">
        <v>90</v>
      </c>
      <c r="C9" s="21">
        <v>8</v>
      </c>
      <c r="D9" s="23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512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3.0000000000000001E-3</v>
      </c>
      <c r="O9" s="8">
        <f>Table1014[[#This Row],[Yearly Energy Consumption in kWh]]*Table1014[[#This Row],[CU/kWh]]</f>
        <v>6570</v>
      </c>
      <c r="P9" s="8">
        <v>4</v>
      </c>
      <c r="Q9" s="8">
        <v>20</v>
      </c>
      <c r="R9" s="8">
        <f>Table1014[[#This Row],[FIT]]*Table1014[[#This Row],[Quantity]]*24*365/1000000000</f>
        <v>22.425599999999999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2079.3016319999997</v>
      </c>
    </row>
    <row r="10" spans="1:23" x14ac:dyDescent="0.25">
      <c r="A10" s="29"/>
      <c r="B10" s="30"/>
      <c r="C10" s="31"/>
      <c r="D10" s="31"/>
      <c r="E10" s="22"/>
      <c r="F10" s="22"/>
      <c r="G10" s="22"/>
      <c r="H10" s="22">
        <f>SUM(Table1014[Total Rent cost per year])</f>
        <v>8480</v>
      </c>
      <c r="I10" s="22"/>
      <c r="J10" s="22"/>
      <c r="K10" s="22"/>
      <c r="L10" s="22"/>
      <c r="M10" s="22"/>
      <c r="N10" s="22"/>
      <c r="O10" s="22">
        <f>SUBTOTAL(109,Table1014[Energy Cost per year in CU])</f>
        <v>7476.66</v>
      </c>
      <c r="P10" s="22"/>
      <c r="Q10" s="22"/>
      <c r="R10" s="22"/>
      <c r="S10" s="22"/>
      <c r="T10" s="22"/>
      <c r="U10" s="22"/>
      <c r="V10" s="22"/>
      <c r="W10" s="22">
        <f>SUBTOTAL(109,Table1014[FM Cost])</f>
        <v>2363.5661723999997</v>
      </c>
    </row>
    <row r="15" spans="1:23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3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18600.123065392545</v>
      </c>
    </row>
    <row r="17" spans="1:13" x14ac:dyDescent="0.2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97</v>
      </c>
      <c r="M19" s="8" t="s">
        <v>66</v>
      </c>
    </row>
    <row r="20" spans="1:13" x14ac:dyDescent="0.25">
      <c r="L20" s="8" t="s">
        <v>92</v>
      </c>
      <c r="M20" s="8">
        <f>Table1014[[#Totals],[Total Rent cost per year]]</f>
        <v>8480</v>
      </c>
    </row>
    <row r="21" spans="1:13" x14ac:dyDescent="0.25">
      <c r="L21" s="8" t="s">
        <v>93</v>
      </c>
      <c r="M21" s="8">
        <f>Table1014[[#Totals],[Energy Cost per year in CU]]</f>
        <v>7476.66</v>
      </c>
    </row>
    <row r="22" spans="1:13" x14ac:dyDescent="0.25">
      <c r="L22" s="8" t="s">
        <v>94</v>
      </c>
      <c r="M22" s="8">
        <f>Table1014[[#Totals],[FM Cost]]+J19</f>
        <v>2643.4630653925483</v>
      </c>
    </row>
    <row r="23" spans="1:13" x14ac:dyDescent="0.25">
      <c r="L23" s="8" t="s">
        <v>95</v>
      </c>
      <c r="M23" s="8">
        <f>0.05*SUM(M20:M22)</f>
        <v>930.00615326962748</v>
      </c>
    </row>
    <row r="24" spans="1:13" x14ac:dyDescent="0.25">
      <c r="L24" s="8" t="s">
        <v>96</v>
      </c>
      <c r="M24" s="8">
        <f>0.07*SUM(M20:M22)</f>
        <v>1302.0086145774785</v>
      </c>
    </row>
    <row r="25" spans="1:13" x14ac:dyDescent="0.25">
      <c r="M25" s="8">
        <f>SUM(Table1416171819202122[Cost])</f>
        <v>20832.137833239656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61"/>
  <sheetViews>
    <sheetView workbookViewId="0">
      <selection activeCell="H34" sqref="H34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6" spans="4:17" x14ac:dyDescent="0.25">
      <c r="D6" s="32"/>
      <c r="E6" s="33"/>
      <c r="F6" s="33"/>
      <c r="G6" s="33"/>
      <c r="H6" s="33"/>
      <c r="I6" s="33"/>
      <c r="J6" s="33"/>
      <c r="K6" s="12"/>
      <c r="L6" s="12"/>
      <c r="M6" s="12"/>
      <c r="N6" s="33"/>
      <c r="O6" s="33"/>
      <c r="P6" s="33"/>
      <c r="Q6" s="12"/>
    </row>
    <row r="7" spans="4:17" x14ac:dyDescent="0.25">
      <c r="D7" s="34"/>
      <c r="E7" s="35"/>
      <c r="F7" s="35"/>
      <c r="G7" s="35"/>
      <c r="H7" s="35"/>
      <c r="I7" s="35"/>
      <c r="J7" s="35"/>
      <c r="K7" s="13"/>
      <c r="L7" s="13"/>
      <c r="M7" s="13"/>
      <c r="N7" s="35"/>
      <c r="O7" s="35"/>
      <c r="P7" s="35"/>
      <c r="Q7" s="13"/>
    </row>
    <row r="8" spans="4:17" x14ac:dyDescent="0.25">
      <c r="D8" s="32"/>
      <c r="E8" s="33"/>
      <c r="F8" s="33"/>
      <c r="G8" s="33"/>
      <c r="H8" s="33"/>
      <c r="I8" s="33"/>
      <c r="J8" s="33"/>
      <c r="K8" s="12"/>
      <c r="L8" s="12"/>
      <c r="M8" s="12"/>
      <c r="N8" s="33"/>
      <c r="O8" s="33"/>
      <c r="P8" s="33"/>
      <c r="Q8" s="12"/>
    </row>
    <row r="9" spans="4:17" x14ac:dyDescent="0.25">
      <c r="D9" s="34"/>
      <c r="E9" s="35"/>
      <c r="F9" s="35"/>
      <c r="G9" s="35"/>
      <c r="H9" s="35"/>
      <c r="I9" s="35"/>
      <c r="J9" s="35"/>
      <c r="K9" s="13"/>
      <c r="L9" s="13"/>
      <c r="M9" s="13"/>
      <c r="N9" s="35"/>
      <c r="O9" s="35"/>
      <c r="P9" s="35"/>
      <c r="Q9" s="13"/>
    </row>
    <row r="10" spans="4:17" x14ac:dyDescent="0.25">
      <c r="D10" s="32"/>
      <c r="E10" s="33"/>
      <c r="F10" s="33"/>
      <c r="G10" s="33"/>
      <c r="H10" s="33"/>
      <c r="I10" s="33"/>
      <c r="J10" s="33"/>
      <c r="K10" s="12"/>
      <c r="L10" s="12"/>
      <c r="M10" s="12"/>
      <c r="N10" s="33"/>
      <c r="O10" s="33"/>
      <c r="P10" s="33"/>
      <c r="Q10" s="12"/>
    </row>
    <row r="12" spans="4:17" x14ac:dyDescent="0.25">
      <c r="D12" s="8" t="s">
        <v>122</v>
      </c>
      <c r="E12" s="8" t="s">
        <v>98</v>
      </c>
      <c r="F12" s="8" t="s">
        <v>99</v>
      </c>
      <c r="G12" s="8" t="s">
        <v>100</v>
      </c>
      <c r="H12" s="8" t="s">
        <v>101</v>
      </c>
      <c r="I12" s="8" t="s">
        <v>102</v>
      </c>
      <c r="J12" s="8" t="s">
        <v>103</v>
      </c>
      <c r="K12" s="8" t="s">
        <v>104</v>
      </c>
      <c r="L12" s="8" t="s">
        <v>106</v>
      </c>
      <c r="M12" s="8" t="s">
        <v>105</v>
      </c>
      <c r="N12" s="8" t="s">
        <v>107</v>
      </c>
      <c r="O12" s="8" t="s">
        <v>108</v>
      </c>
      <c r="P12" s="8" t="s">
        <v>110</v>
      </c>
      <c r="Q12" s="8" t="s">
        <v>109</v>
      </c>
    </row>
    <row r="13" spans="4:17" x14ac:dyDescent="0.25">
      <c r="D13" s="8" t="s">
        <v>92</v>
      </c>
      <c r="E13" s="8">
        <f>FTTC_GPON_25!$J26</f>
        <v>7308</v>
      </c>
      <c r="F13" s="8">
        <f>FTTB_XGPON_50!$O26</f>
        <v>3074</v>
      </c>
      <c r="G13" s="8">
        <f>FTTB_DWDM_50!$O34</f>
        <v>3869</v>
      </c>
      <c r="H13" s="8">
        <f>FTTH_DWDM_100!$O21</f>
        <v>3869</v>
      </c>
      <c r="I13" s="8">
        <f>FTTH_XGPON_100!$N36</f>
        <v>5936</v>
      </c>
      <c r="J13" s="8">
        <f>FTTC_GPON_100!$Q24</f>
        <v>13074</v>
      </c>
      <c r="K13" s="12">
        <f>FTTB_XGPON_100!$N32</f>
        <v>5936</v>
      </c>
      <c r="L13" s="12">
        <f>FTTB_DWDM_100!$N33</f>
        <v>7314</v>
      </c>
      <c r="M13" s="12">
        <f>FTTC_Hybridpon_25!P21</f>
        <v>16202.8</v>
      </c>
      <c r="N13" s="8">
        <f>FTTB_Hybridpon_50!$P19</f>
        <v>4240</v>
      </c>
      <c r="O13" s="8">
        <f>FTTH_Hybridpon_100!$P19</f>
        <v>8480</v>
      </c>
      <c r="P13" s="8">
        <f>FTTC_Hybridpon_100!$N18</f>
        <v>20377.2</v>
      </c>
      <c r="Q13" s="8">
        <f>FTTB_Hybridpon_100!$M20</f>
        <v>8480</v>
      </c>
    </row>
    <row r="14" spans="4:17" x14ac:dyDescent="0.25">
      <c r="D14" s="8" t="s">
        <v>93</v>
      </c>
      <c r="E14" s="8">
        <f>FTTC_GPON_25!$J27</f>
        <v>1921.1394816</v>
      </c>
      <c r="F14" s="8">
        <f>FTTB_XGPON_50!$O27</f>
        <v>7637.07312</v>
      </c>
      <c r="G14" s="8">
        <f>FTTB_DWDM_50!$O35</f>
        <v>7318.8486000000003</v>
      </c>
      <c r="H14" s="8">
        <f>FTTH_DWDM_100!$O22</f>
        <v>5440.2228000000005</v>
      </c>
      <c r="I14" s="8">
        <f>FTTH_XGPON_100!$N37</f>
        <v>1225.27872</v>
      </c>
      <c r="J14" s="8">
        <f>FTTC_GPON_100!$Q25</f>
        <v>5470.210908</v>
      </c>
      <c r="K14" s="12">
        <f>FTTB_XGPON_100!$N33</f>
        <v>7847.8912800000007</v>
      </c>
      <c r="L14" s="12">
        <f>FTTB_DWDM_100!$N34</f>
        <v>7368.3864000000003</v>
      </c>
      <c r="M14" s="12">
        <f>FTTC_Hybridpon_25!P22</f>
        <v>3517.9721999999997</v>
      </c>
      <c r="N14" s="8">
        <f>FTTB_Hybridpon_50!$P20</f>
        <v>7392.5640000000003</v>
      </c>
      <c r="O14" s="8">
        <f>FTTH_Hybridpon_100!$P20</f>
        <v>183.96</v>
      </c>
      <c r="P14" s="8">
        <f>FTTC_Hybridpon_100!$N19</f>
        <v>4502.2896000000001</v>
      </c>
      <c r="Q14" s="8">
        <f>FTTB_Hybridpon_100!$M21</f>
        <v>7476.66</v>
      </c>
    </row>
    <row r="15" spans="4:17" x14ac:dyDescent="0.25">
      <c r="D15" s="8" t="s">
        <v>94</v>
      </c>
      <c r="E15" s="8">
        <f>FTTC_GPON_25!$J28</f>
        <v>1560.2833793052528</v>
      </c>
      <c r="F15" s="8">
        <f>FTTB_XGPON_50!$O28</f>
        <v>2730.8130391333716</v>
      </c>
      <c r="G15" s="8">
        <f>FTTB_DWDM_50!$O36</f>
        <v>2769.366840449713</v>
      </c>
      <c r="H15" s="8">
        <f>FTTH_DWDM_100!$O23</f>
        <v>2312.9040983601126</v>
      </c>
      <c r="I15" s="8">
        <f>FTTH_XGPON_100!$N38</f>
        <v>2316.2870877925707</v>
      </c>
      <c r="J15" s="8">
        <f>FTTC_GPON_100!$Q26</f>
        <v>3358.6157956514926</v>
      </c>
      <c r="K15" s="12">
        <f>FTTB_XGPON_100!$N34</f>
        <v>2731.7672932645714</v>
      </c>
      <c r="L15" s="12">
        <f>FTTB_DWDM_100!$N35</f>
        <v>2770.0398712497131</v>
      </c>
      <c r="M15" s="12">
        <f>FTTC_Hybridpon_25!P23</f>
        <v>3593.4914105731814</v>
      </c>
      <c r="N15" s="8">
        <f>FTTB_Hybridpon_50!$P21</f>
        <v>2359.3958517599995</v>
      </c>
      <c r="O15" s="8">
        <f>FTTH_Hybridpon_100!$P21</f>
        <v>1980.898713392548</v>
      </c>
      <c r="P15" s="8">
        <f>FTTC_Hybridpon_100!$N20</f>
        <v>1682.5963004611817</v>
      </c>
      <c r="Q15" s="8">
        <f>FTTB_Hybridpon_100!$M22</f>
        <v>2643.4630653925483</v>
      </c>
    </row>
    <row r="16" spans="4:17" x14ac:dyDescent="0.25">
      <c r="D16" s="8" t="s">
        <v>95</v>
      </c>
      <c r="E16" s="8">
        <f>FTTC_GPON_25!$J29</f>
        <v>539.47114304526258</v>
      </c>
      <c r="F16" s="8">
        <f>FTTB_XGPON_50!$O29</f>
        <v>672.09430795666867</v>
      </c>
      <c r="G16" s="8">
        <f>FTTB_DWDM_50!$O37</f>
        <v>697.86077202248578</v>
      </c>
      <c r="H16" s="8">
        <f>FTTH_DWDM_100!$O24</f>
        <v>581.10634491800556</v>
      </c>
      <c r="I16" s="8">
        <f>FTTH_XGPON_100!$N39</f>
        <v>473.87829038962855</v>
      </c>
      <c r="J16" s="8">
        <f>FTTC_GPON_100!$Q27</f>
        <v>1095.1413351825747</v>
      </c>
      <c r="K16" s="12">
        <f>FTTB_XGPON_100!$N35</f>
        <v>825.78292866322863</v>
      </c>
      <c r="L16" s="12">
        <f>FTTB_DWDM_100!$N36</f>
        <v>872.62131356248562</v>
      </c>
      <c r="M16" s="12">
        <f>FTTC_Hybridpon_25!P24</f>
        <v>1165.713180528659</v>
      </c>
      <c r="N16" s="8">
        <f>FTTB_Hybridpon_50!$P22</f>
        <v>699.59799258800001</v>
      </c>
      <c r="O16" s="8">
        <f>FTTH_Hybridpon_100!$P22</f>
        <v>532.2429356696274</v>
      </c>
      <c r="P16" s="8">
        <f>FTTC_Hybridpon_100!$N21</f>
        <v>1328.1042950230592</v>
      </c>
      <c r="Q16" s="8">
        <f>FTTB_Hybridpon_100!$M23</f>
        <v>930.00615326962748</v>
      </c>
    </row>
    <row r="17" spans="4:17" x14ac:dyDescent="0.25">
      <c r="D17" s="8" t="s">
        <v>96</v>
      </c>
      <c r="E17" s="8">
        <f>FTTC_GPON_25!$J30</f>
        <v>755.2596002633677</v>
      </c>
      <c r="F17" s="8">
        <f>FTTB_XGPON_50!$O30</f>
        <v>940.93203113933623</v>
      </c>
      <c r="G17" s="8">
        <f>FTTB_DWDM_50!$O38</f>
        <v>977.00508083148009</v>
      </c>
      <c r="H17" s="8">
        <f>FTTH_DWDM_100!$O25</f>
        <v>813.54888288520783</v>
      </c>
      <c r="I17" s="8">
        <f>FTTH_XGPON_100!$N40</f>
        <v>663.42960654548006</v>
      </c>
      <c r="J17" s="8">
        <f>FTTC_GPON_100!$Q28</f>
        <v>1533.1978692556049</v>
      </c>
      <c r="K17" s="12">
        <f>FTTB_XGPON_100!$N36</f>
        <v>1156.0961001285202</v>
      </c>
      <c r="L17" s="12">
        <f>FTTB_DWDM_100!$N37</f>
        <v>1221.6698389874798</v>
      </c>
      <c r="M17" s="12">
        <f>FTTC_Hybridpon_25!P25</f>
        <v>1631.9984527401227</v>
      </c>
      <c r="N17" s="8">
        <f>FTTB_Hybridpon_50!$P23</f>
        <v>979.43718962319997</v>
      </c>
      <c r="O17" s="8">
        <f>FTTH_Hybridpon_100!$P23</f>
        <v>745.14010993747831</v>
      </c>
      <c r="P17" s="8">
        <f>FTTC_Hybridpon_100!$N22</f>
        <v>1859.3460130322828</v>
      </c>
      <c r="Q17" s="8">
        <f>FTTB_Hybridpon_100!$M24</f>
        <v>1302.0086145774785</v>
      </c>
    </row>
    <row r="18" spans="4:17" x14ac:dyDescent="0.25">
      <c r="D18" s="22"/>
      <c r="E18" s="22">
        <f>SUM(Table2225[FTTC_GPON_25])</f>
        <v>12084.153604213881</v>
      </c>
      <c r="F18" s="22">
        <f>SUBTOTAL(109,Table2225[FTTB_XGPON_50])</f>
        <v>15054.912498229378</v>
      </c>
      <c r="G18" s="22">
        <f>SUBTOTAL(109,Table2225[FTTB_DWDM_50])</f>
        <v>15632.081293303681</v>
      </c>
      <c r="H18" s="22">
        <f>SUBTOTAL(109,Table2225[FTTH_DWDM_100])</f>
        <v>13016.782126163325</v>
      </c>
      <c r="I18" s="22">
        <f>SUBTOTAL(109,Table2225[FTTH_XGPON_100])</f>
        <v>10614.873704727679</v>
      </c>
      <c r="J18" s="22">
        <f>SUBTOTAL(109,Table2225[FTTC_GPON_100])</f>
        <v>24531.165908089675</v>
      </c>
      <c r="K18" s="26">
        <f>SUBTOTAL(109,Table2225[FTTB_XGPON_100])</f>
        <v>18497.537602056324</v>
      </c>
      <c r="L18" s="26">
        <f>SUBTOTAL(109,Table2225[FTTB_DWDM_100])</f>
        <v>19546.717423799677</v>
      </c>
      <c r="M18" s="26">
        <f>SUBTOTAL(109,Table2225[FTTC_Hybridpon_25])</f>
        <v>26111.97524384196</v>
      </c>
      <c r="N18" s="22">
        <f>SUBTOTAL(109,Table2225[FTTB_Hybridpon_50])</f>
        <v>15670.9950339712</v>
      </c>
      <c r="O18" s="22">
        <f>SUBTOTAL(109,Table2225[FTTH_Hybridpon_100])</f>
        <v>11922.241758999651</v>
      </c>
      <c r="P18" s="22">
        <f>SUBTOTAL(109,Table2225[FTTC_Hybridpon_100])</f>
        <v>29749.536208516522</v>
      </c>
      <c r="Q18" s="22">
        <f>SUBTOTAL(109,Table2225[FTTB_Hybridpon_100])</f>
        <v>20832.137833239656</v>
      </c>
    </row>
    <row r="27" spans="4:17" x14ac:dyDescent="0.25">
      <c r="D27" t="s">
        <v>97</v>
      </c>
      <c r="E27" t="s">
        <v>98</v>
      </c>
      <c r="F27" t="s">
        <v>99</v>
      </c>
      <c r="G27" t="s">
        <v>100</v>
      </c>
      <c r="H27" t="s">
        <v>101</v>
      </c>
      <c r="I27" t="s">
        <v>102</v>
      </c>
      <c r="J27" t="s">
        <v>103</v>
      </c>
      <c r="K27" t="s">
        <v>104</v>
      </c>
      <c r="L27" t="s">
        <v>106</v>
      </c>
      <c r="M27" t="s">
        <v>105</v>
      </c>
      <c r="N27" t="s">
        <v>107</v>
      </c>
      <c r="O27" t="s">
        <v>108</v>
      </c>
      <c r="P27" t="s">
        <v>110</v>
      </c>
      <c r="Q27" t="s">
        <v>109</v>
      </c>
    </row>
    <row r="28" spans="4:17" x14ac:dyDescent="0.25">
      <c r="D28" s="8" t="s">
        <v>92</v>
      </c>
      <c r="E28" s="8">
        <f>FTTC_GPON_25!$I26</f>
        <v>7308</v>
      </c>
      <c r="F28" s="8">
        <f>FTTB_XGPON_50!$N26</f>
        <v>3074</v>
      </c>
      <c r="G28" s="8">
        <f>FTTB_DWDM_50!$N34</f>
        <v>3869</v>
      </c>
      <c r="H28" s="8">
        <f>FTTH_DWDM_100!$N21</f>
        <v>3869</v>
      </c>
      <c r="I28" s="8">
        <f>FTTH_XGPON_100!$M36</f>
        <v>5936</v>
      </c>
      <c r="J28" s="8">
        <f>FTTC_GPON_100!$P24</f>
        <v>13074</v>
      </c>
      <c r="K28" s="12">
        <f>FTTB_XGPON_100!$M32</f>
        <v>5936</v>
      </c>
      <c r="L28" s="12">
        <f>FTTB_DWDM_100!$M33</f>
        <v>7314</v>
      </c>
      <c r="M28" s="12">
        <f>FTTC_Hybridpon_25!P21</f>
        <v>16202.8</v>
      </c>
      <c r="N28" s="8">
        <f>FTTB_Hybridpon_50!$P19</f>
        <v>4240</v>
      </c>
      <c r="O28" s="8">
        <f>FTTH_Hybridpon_100!$P19</f>
        <v>8480</v>
      </c>
      <c r="P28" s="8">
        <f>FTTC_Hybridpon_100!$N18</f>
        <v>20377.2</v>
      </c>
      <c r="Q28" s="8">
        <f>FTTB_Hybridpon_100!$M20</f>
        <v>8480</v>
      </c>
    </row>
    <row r="29" spans="4:17" x14ac:dyDescent="0.25">
      <c r="D29" s="8" t="s">
        <v>93</v>
      </c>
      <c r="E29" s="8">
        <f>FTTC_GPON_25!$I27</f>
        <v>1921.1394816</v>
      </c>
      <c r="F29" s="8">
        <f>FTTB_XGPON_50!$N27</f>
        <v>7637.07312</v>
      </c>
      <c r="G29" s="8">
        <f>FTTB_DWDM_50!$N35</f>
        <v>7318.8486000000003</v>
      </c>
      <c r="H29" s="8">
        <f>FTTH_DWDM_100!$N22</f>
        <v>5440.2228000000005</v>
      </c>
      <c r="I29" s="8">
        <f>FTTH_XGPON_100!$M37</f>
        <v>1225.27872</v>
      </c>
      <c r="J29" s="8">
        <f>FTTC_GPON_100!$P25</f>
        <v>5470.210908</v>
      </c>
      <c r="K29" s="12">
        <f>FTTB_XGPON_100!$M33</f>
        <v>7847.8912800000007</v>
      </c>
      <c r="L29" s="12">
        <f>FTTB_DWDM_100!$M34</f>
        <v>7368.3864000000003</v>
      </c>
      <c r="M29" s="12">
        <f>FTTC_Hybridpon_25!P22</f>
        <v>3517.9721999999997</v>
      </c>
      <c r="N29" s="8">
        <f>FTTB_Hybridpon_50!$P20</f>
        <v>7392.5640000000003</v>
      </c>
      <c r="O29" s="8">
        <f>FTTH_Hybridpon_100!$P20</f>
        <v>183.96</v>
      </c>
      <c r="P29" s="8">
        <f>FTTC_Hybridpon_100!$N19</f>
        <v>4502.2896000000001</v>
      </c>
      <c r="Q29" s="8">
        <f>FTTB_Hybridpon_100!$M21</f>
        <v>7476.66</v>
      </c>
    </row>
    <row r="30" spans="4:17" x14ac:dyDescent="0.25">
      <c r="D30" s="8" t="s">
        <v>94</v>
      </c>
      <c r="E30" s="8">
        <f>FTTC_GPON_25!$I28</f>
        <v>1520.2924399954254</v>
      </c>
      <c r="F30" s="8">
        <f>FTTB_XGPON_50!$N28</f>
        <v>2633.7790732758403</v>
      </c>
      <c r="G30" s="8">
        <f>FTTB_DWDM_50!$N36</f>
        <v>2670.9629425657131</v>
      </c>
      <c r="H30" s="8">
        <f>FTTH_DWDM_100!$N23</f>
        <v>2230.7196887737127</v>
      </c>
      <c r="I30" s="8">
        <f>FTTH_XGPON_100!$M38</f>
        <v>2233.9824704598395</v>
      </c>
      <c r="J30" s="8">
        <f>FTTC_GPON_100!$P26</f>
        <v>3254.724719720225</v>
      </c>
      <c r="K30" s="12">
        <f>FTTB_XGPON_100!$M34</f>
        <v>2634.6994198998404</v>
      </c>
      <c r="L30" s="12">
        <f>FTTB_DWDM_100!$M35</f>
        <v>2671.6120585657131</v>
      </c>
      <c r="M30" s="12">
        <f>FTTC_Hybridpon_25!P23</f>
        <v>3593.4914105731814</v>
      </c>
      <c r="N30" s="8">
        <f>FTTB_Hybridpon_50!$P21</f>
        <v>2359.3958517599995</v>
      </c>
      <c r="O30" s="8">
        <f>FTTH_Hybridpon_100!$P21</f>
        <v>1980.898713392548</v>
      </c>
      <c r="P30" s="8">
        <f>FTTC_Hybridpon_100!$N20</f>
        <v>1682.5963004611817</v>
      </c>
      <c r="Q30" s="8">
        <f>FTTB_Hybridpon_100!$M22</f>
        <v>2643.4630653925483</v>
      </c>
    </row>
    <row r="31" spans="4:17" x14ac:dyDescent="0.25">
      <c r="D31" s="8" t="s">
        <v>95</v>
      </c>
      <c r="E31" s="8">
        <f>FTTC_GPON_25!$I29</f>
        <v>537.47159607977119</v>
      </c>
      <c r="F31" s="8">
        <f>FTTB_XGPON_50!$N29</f>
        <v>667.24260966379211</v>
      </c>
      <c r="G31" s="8">
        <f>FTTB_DWDM_50!$N37</f>
        <v>692.94057712828578</v>
      </c>
      <c r="H31" s="8">
        <f>FTTH_DWDM_100!$N24</f>
        <v>576.99712443868555</v>
      </c>
      <c r="I31" s="8">
        <f>FTTH_XGPON_100!$M39</f>
        <v>469.76305952299202</v>
      </c>
      <c r="J31" s="8">
        <f>FTTC_GPON_100!$P27</f>
        <v>1089.9467813860113</v>
      </c>
      <c r="K31" s="12">
        <f>FTTB_XGPON_100!$M35</f>
        <v>820.92953499499208</v>
      </c>
      <c r="L31" s="12">
        <f>FTTB_DWDM_100!$M36</f>
        <v>867.69992292828556</v>
      </c>
      <c r="M31" s="12">
        <f>FTTC_Hybridpon_25!P24</f>
        <v>1165.713180528659</v>
      </c>
      <c r="N31" s="8">
        <f>FTTB_Hybridpon_50!$P22</f>
        <v>699.59799258800001</v>
      </c>
      <c r="O31" s="8">
        <f>FTTH_Hybridpon_100!$P22</f>
        <v>532.2429356696274</v>
      </c>
      <c r="P31" s="8">
        <f>FTTC_Hybridpon_100!$N21</f>
        <v>1328.1042950230592</v>
      </c>
      <c r="Q31" s="8">
        <f>FTTB_Hybridpon_100!$M23</f>
        <v>930.00615326962748</v>
      </c>
    </row>
    <row r="32" spans="4:17" x14ac:dyDescent="0.25">
      <c r="D32" s="8" t="s">
        <v>96</v>
      </c>
      <c r="E32" s="8">
        <f>FTTC_GPON_25!$I30</f>
        <v>752.46023451167969</v>
      </c>
      <c r="F32" s="8">
        <f>FTTB_XGPON_50!$N30</f>
        <v>934.13965352930893</v>
      </c>
      <c r="G32" s="8">
        <f>FTTB_DWDM_50!$N38</f>
        <v>970.11680797960014</v>
      </c>
      <c r="H32" s="8">
        <f>FTTH_DWDM_100!$N25</f>
        <v>807.79597421415986</v>
      </c>
      <c r="I32" s="8">
        <f>FTTH_XGPON_100!$M40</f>
        <v>657.66828333218882</v>
      </c>
      <c r="J32" s="8">
        <f>FTTC_GPON_100!$P28</f>
        <v>1525.9254939404159</v>
      </c>
      <c r="K32" s="12">
        <f>FTTB_XGPON_100!$M36</f>
        <v>1149.301348992989</v>
      </c>
      <c r="L32" s="12">
        <f>FTTB_DWDM_100!$M37</f>
        <v>1214.7798920995999</v>
      </c>
      <c r="M32" s="12">
        <f>FTTC_Hybridpon_25!P25</f>
        <v>1631.9984527401227</v>
      </c>
      <c r="N32" s="8">
        <f>FTTB_Hybridpon_50!$P23</f>
        <v>979.43718962319997</v>
      </c>
      <c r="O32" s="8">
        <f>FTTH_Hybridpon_100!$P23</f>
        <v>745.14010993747831</v>
      </c>
      <c r="P32" s="8">
        <f>FTTC_Hybridpon_100!$N22</f>
        <v>1859.3460130322828</v>
      </c>
      <c r="Q32" s="8">
        <f>FTTB_Hybridpon_100!$M24</f>
        <v>1302.0086145774785</v>
      </c>
    </row>
    <row r="33" spans="4:17" x14ac:dyDescent="0.25">
      <c r="D33" s="22"/>
      <c r="E33" s="22">
        <f>SUM(Table22[FTTC_GPON_25])</f>
        <v>12039.363752186875</v>
      </c>
      <c r="F33" s="22">
        <f>SUBTOTAL(109,Table22[FTTB_XGPON_50])</f>
        <v>14946.234456468943</v>
      </c>
      <c r="G33" s="22">
        <f>SUBTOTAL(109,Table22[FTTB_DWDM_50])</f>
        <v>15521.8689276736</v>
      </c>
      <c r="H33" s="22">
        <f>SUBTOTAL(109,Table22[FTTH_DWDM_100])</f>
        <v>12924.735587426556</v>
      </c>
      <c r="I33" s="22">
        <f>SUBTOTAL(109,Table22[FTTH_XGPON_100])</f>
        <v>10522.692533315019</v>
      </c>
      <c r="J33" s="22">
        <f>SUBTOTAL(109,Table22[FTTC_GPON_100])</f>
        <v>24414.807903046651</v>
      </c>
      <c r="K33" s="26">
        <f>SUBTOTAL(109,Table22[FTTB_XGPON_100])</f>
        <v>18388.821583887824</v>
      </c>
      <c r="L33" s="26">
        <f>SUBTOTAL(109,Table22[FTTB_DWDM_100])</f>
        <v>19436.478273593595</v>
      </c>
      <c r="M33" s="26">
        <f>SUBTOTAL(109,Table22[FTTC_Hybridpon_25])</f>
        <v>26111.97524384196</v>
      </c>
      <c r="N33" s="22">
        <f>SUBTOTAL(109,Table22[FTTB_Hybridpon_50])</f>
        <v>15670.9950339712</v>
      </c>
      <c r="O33" s="22">
        <f>SUBTOTAL(109,Table22[FTTH_Hybridpon_100])</f>
        <v>11922.241758999651</v>
      </c>
      <c r="P33" s="22">
        <f>SUM(Table22[FTTC_Hybridpon_100])</f>
        <v>29749.536208516522</v>
      </c>
      <c r="Q33" s="22">
        <f>SUBTOTAL(109,Table22[FTTB_Hybridpon_100])</f>
        <v>20832.137833239656</v>
      </c>
    </row>
    <row r="40" spans="4:17" ht="15.75" thickBot="1" x14ac:dyDescent="0.3">
      <c r="J40" t="s">
        <v>126</v>
      </c>
      <c r="N40" t="s">
        <v>127</v>
      </c>
    </row>
    <row r="41" spans="4:17" ht="16.5" thickTop="1" thickBot="1" x14ac:dyDescent="0.3">
      <c r="J41" s="11">
        <f>SUM(Table22[FTTC_GPON_25])</f>
        <v>12039.363752186875</v>
      </c>
      <c r="N41" s="11">
        <f>SUM(Table2225[FTTC_GPON_25])</f>
        <v>12084.153604213881</v>
      </c>
    </row>
    <row r="42" spans="4:17" ht="16.5" thickTop="1" thickBot="1" x14ac:dyDescent="0.3">
      <c r="J42" s="11">
        <f>SUBTOTAL(109,Table22[FTTB_XGPON_50])</f>
        <v>14946.234456468943</v>
      </c>
      <c r="N42" s="11">
        <f>SUBTOTAL(109,Table2225[FTTB_XGPON_50])</f>
        <v>15054.912498229378</v>
      </c>
    </row>
    <row r="43" spans="4:17" ht="16.5" thickTop="1" thickBot="1" x14ac:dyDescent="0.3">
      <c r="J43" s="11">
        <f>SUBTOTAL(109,Table22[FTTB_DWDM_50])</f>
        <v>15521.8689276736</v>
      </c>
      <c r="N43" s="11">
        <f>SUBTOTAL(109,Table2225[FTTB_DWDM_50])</f>
        <v>15632.081293303681</v>
      </c>
    </row>
    <row r="44" spans="4:17" ht="16.5" thickTop="1" thickBot="1" x14ac:dyDescent="0.3">
      <c r="J44" s="11">
        <f>SUBTOTAL(109,Table22[FTTH_DWDM_100])</f>
        <v>12924.735587426556</v>
      </c>
      <c r="N44" s="11">
        <f>SUBTOTAL(109,Table2225[FTTH_DWDM_100])</f>
        <v>13016.782126163325</v>
      </c>
    </row>
    <row r="45" spans="4:17" ht="16.5" thickTop="1" thickBot="1" x14ac:dyDescent="0.3">
      <c r="J45" s="11">
        <f>SUBTOTAL(109,Table22[FTTH_XGPON_100])</f>
        <v>10522.692533315019</v>
      </c>
      <c r="N45" s="11">
        <f>SUBTOTAL(109,Table2225[FTTH_XGPON_100])</f>
        <v>10614.873704727679</v>
      </c>
    </row>
    <row r="46" spans="4:17" ht="15.75" thickTop="1" x14ac:dyDescent="0.25">
      <c r="J46" s="11">
        <f>SUBTOTAL(109,Table22[FTTC_GPON_100])</f>
        <v>24414.807903046651</v>
      </c>
      <c r="N46" s="11">
        <f>SUBTOTAL(109,Table2225[FTTC_GPON_100])</f>
        <v>24531.165908089675</v>
      </c>
    </row>
    <row r="47" spans="4:17" x14ac:dyDescent="0.25">
      <c r="J47" s="25">
        <f>SUBTOTAL(109,Table22[FTTB_XGPON_100])</f>
        <v>18388.821583887824</v>
      </c>
      <c r="N47" s="25">
        <f>SUBTOTAL(109,Table2225[FTTB_XGPON_100])</f>
        <v>18497.537602056324</v>
      </c>
    </row>
    <row r="48" spans="4:17" ht="15.75" thickBot="1" x14ac:dyDescent="0.3">
      <c r="J48" s="25">
        <f>SUBTOTAL(109,Table22[FTTB_DWDM_100])</f>
        <v>19436.478273593595</v>
      </c>
      <c r="N48" s="25">
        <f>SUBTOTAL(109,Table2225[FTTB_DWDM_100])</f>
        <v>19546.717423799677</v>
      </c>
    </row>
    <row r="49" spans="10:14" ht="16.5" thickTop="1" thickBot="1" x14ac:dyDescent="0.3">
      <c r="J49" s="25">
        <f>SUBTOTAL(109,Table22[FTTC_Hybridpon_25])</f>
        <v>26111.97524384196</v>
      </c>
      <c r="M49" s="11"/>
      <c r="N49" s="25">
        <f>SUBTOTAL(109,Table2225[FTTC_Hybridpon_25])</f>
        <v>26111.97524384196</v>
      </c>
    </row>
    <row r="50" spans="10:14" ht="16.5" thickTop="1" thickBot="1" x14ac:dyDescent="0.3">
      <c r="J50" s="11">
        <f>SUBTOTAL(109,Table22[FTTB_Hybridpon_50])</f>
        <v>15670.9950339712</v>
      </c>
      <c r="M50" s="11"/>
      <c r="N50" s="11">
        <f>SUBTOTAL(109,Table2225[FTTB_Hybridpon_50])</f>
        <v>15670.9950339712</v>
      </c>
    </row>
    <row r="51" spans="10:14" ht="16.5" thickTop="1" thickBot="1" x14ac:dyDescent="0.3">
      <c r="J51" s="11">
        <f>SUBTOTAL(109,Table22[FTTH_Hybridpon_100])</f>
        <v>11922.241758999651</v>
      </c>
      <c r="M51" s="11"/>
      <c r="N51" s="11">
        <f>SUBTOTAL(109,Table2225[FTTH_Hybridpon_100])</f>
        <v>11922.241758999651</v>
      </c>
    </row>
    <row r="52" spans="10:14" ht="16.5" thickTop="1" thickBot="1" x14ac:dyDescent="0.3">
      <c r="J52" s="11">
        <f>SUBTOTAL(109,Table22[FTTC_Hybridpon_100])</f>
        <v>29749.536208516522</v>
      </c>
      <c r="M52" s="11"/>
      <c r="N52" s="11">
        <f>SUBTOTAL(109,Table2225[FTTC_Hybridpon_100])</f>
        <v>29749.536208516522</v>
      </c>
    </row>
    <row r="53" spans="10:14" ht="16.5" thickTop="1" thickBot="1" x14ac:dyDescent="0.3">
      <c r="J53" s="14">
        <f>SUBTOTAL(109,Table22[FTTB_Hybridpon_100])</f>
        <v>20832.137833239656</v>
      </c>
      <c r="M53" s="11"/>
      <c r="N53" s="14">
        <f>SUBTOTAL(109,Table2225[FTTB_Hybridpon_100])</f>
        <v>20832.137833239656</v>
      </c>
    </row>
    <row r="54" spans="10:14" ht="15.75" thickTop="1" x14ac:dyDescent="0.25">
      <c r="M54" s="11"/>
    </row>
    <row r="55" spans="10:14" x14ac:dyDescent="0.25">
      <c r="M55" s="25"/>
    </row>
    <row r="56" spans="10:14" x14ac:dyDescent="0.25">
      <c r="M56" s="25"/>
    </row>
    <row r="57" spans="10:14" ht="15.75" thickBot="1" x14ac:dyDescent="0.3">
      <c r="M57" s="25"/>
    </row>
    <row r="58" spans="10:14" ht="16.5" thickTop="1" thickBot="1" x14ac:dyDescent="0.3">
      <c r="M58" s="11"/>
    </row>
    <row r="59" spans="10:14" ht="16.5" thickTop="1" thickBot="1" x14ac:dyDescent="0.3">
      <c r="M59" s="11"/>
    </row>
    <row r="60" spans="10:14" ht="16.5" thickTop="1" thickBot="1" x14ac:dyDescent="0.3">
      <c r="M60" s="11"/>
    </row>
    <row r="61" spans="10:14" ht="15.75" thickTop="1" x14ac:dyDescent="0.25">
      <c r="M61" s="14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H1" workbookViewId="0">
      <selection activeCell="N2" sqref="N2"/>
    </sheetView>
  </sheetViews>
  <sheetFormatPr defaultRowHeight="15" x14ac:dyDescent="0.25"/>
  <cols>
    <col min="1" max="1" width="23.28515625" customWidth="1"/>
    <col min="2" max="3" width="21.28515625" customWidth="1"/>
    <col min="4" max="4" width="13" customWidth="1"/>
    <col min="5" max="5" width="21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4" max="24" width="18.5703125" customWidth="1"/>
    <col min="25" max="25" width="18.7109375" customWidth="1"/>
    <col min="26" max="26" width="14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s="1" t="s">
        <v>34</v>
      </c>
      <c r="G1" s="1" t="s">
        <v>36</v>
      </c>
      <c r="H1" s="2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111</v>
      </c>
      <c r="Y1" t="s">
        <v>115</v>
      </c>
      <c r="Z1" t="s">
        <v>116</v>
      </c>
      <c r="AA1" t="s">
        <v>32</v>
      </c>
      <c r="AB1" t="s">
        <v>33</v>
      </c>
    </row>
    <row r="2" spans="1:28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2</v>
      </c>
      <c r="Y2">
        <v>7.0000000000000007E-2</v>
      </c>
      <c r="Z2">
        <f>0.07+2*0.00027</f>
        <v>7.0540000000000005E-2</v>
      </c>
      <c r="AA2">
        <f>Table2[[#This Row],[Percentage of Business Users]]*Table2[[#This Row],[SLA CU per hour]]*Table2[[#This Row],[Failures per year]]*Table2[[#This Row],[Total Time to Repair(h)]]</f>
        <v>2.5116672000000003E-2</v>
      </c>
      <c r="AB2">
        <f>Table2[[#This Row],[Percentage of ITS and business users]]*Table2[[#This Row],[SLA CU per hour]]*Table2[[#This Row],[Failures per year]]*Table2[[#This Row],[Total Time to Repair(h)]]</f>
        <v>2.5310429184000002E-2</v>
      </c>
    </row>
    <row r="3" spans="1:28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8">
        <f t="shared" ref="N3:N9" si="0">0.15/50</f>
        <v>3.0000000000000001E-3</v>
      </c>
      <c r="O3" s="2">
        <f>Table2[[#This Row],[Yearly Energy Consumption in kWh]]*Table2[[#This Row],[CU/kWh]]</f>
        <v>9.8392319999999991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2</v>
      </c>
      <c r="Y3" s="8">
        <v>7.0000000000000007E-2</v>
      </c>
      <c r="Z3" s="8">
        <f t="shared" ref="Z3:Z10" si="2">0.07+2*0.00027</f>
        <v>7.0540000000000005E-2</v>
      </c>
      <c r="AA3" s="8">
        <f>Table2[[#This Row],[Percentage of Business Users]]*Table2[[#This Row],[SLA CU per hour]]*Table2[[#This Row],[Failures per year]]*Table2[[#This Row],[Total Time to Repair(h)]]</f>
        <v>0</v>
      </c>
      <c r="AB3" s="8">
        <f>Table2[[#This Row],[Percentage of ITS and business users]]*Table2[[#This Row],[SLA CU per hour]]*Table2[[#This Row],[Failures per year]]*Table2[[#This Row],[Total Time to Repair(h)]]</f>
        <v>0</v>
      </c>
    </row>
    <row r="4" spans="1:28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8">
        <f t="shared" si="0"/>
        <v>3.0000000000000001E-3</v>
      </c>
      <c r="O4" s="2">
        <f>Table2[[#This Row],[Yearly Energy Consumption in kWh]]*Table2[[#This Row],[CU/kWh]]</f>
        <v>2.1023999999999998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2</v>
      </c>
      <c r="Y4" s="8">
        <v>7.0000000000000007E-2</v>
      </c>
      <c r="Z4" s="8">
        <f t="shared" si="2"/>
        <v>7.0540000000000005E-2</v>
      </c>
      <c r="AA4" s="8">
        <f>Table2[[#This Row],[Percentage of Business Users]]*Table2[[#This Row],[SLA CU per hour]]*Table2[[#This Row],[Failures per year]]*Table2[[#This Row],[Total Time to Repair(h)]]</f>
        <v>0</v>
      </c>
      <c r="AB4" s="8">
        <f>Table2[[#This Row],[Percentage of ITS and business users]]*Table2[[#This Row],[SLA CU per hour]]*Table2[[#This Row],[Failures per year]]*Table2[[#This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8">
        <f t="shared" si="0"/>
        <v>3.0000000000000001E-3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2</v>
      </c>
      <c r="Y5" s="8">
        <v>7.0000000000000007E-2</v>
      </c>
      <c r="Z5" s="8">
        <f t="shared" si="2"/>
        <v>7.0540000000000005E-2</v>
      </c>
      <c r="AA5" s="8">
        <f>Table2[[#This Row],[Percentage of Business Users]]*Table2[[#This Row],[SLA CU per hour]]*Table2[[#This Row],[Failures per year]]*Table2[[#This Row],[Total Time to Repair(h)]]</f>
        <v>0</v>
      </c>
      <c r="AB5" s="8">
        <f>Table2[[#This Row],[Percentage of ITS and business users]]*Table2[[#This Row],[SLA CU per hour]]*Table2[[#This Row],[Failures per year]]*Table2[[#This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8">
        <f t="shared" si="0"/>
        <v>3.0000000000000001E-3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2</v>
      </c>
      <c r="Y6" s="8">
        <v>7.0000000000000007E-2</v>
      </c>
      <c r="Z6" s="8">
        <f t="shared" si="2"/>
        <v>7.0540000000000005E-2</v>
      </c>
      <c r="AA6" s="8">
        <f>Table2[[#This Row],[Percentage of Business Users]]*Table2[[#This Row],[SLA CU per hour]]*Table2[[#This Row],[Failures per year]]*Table2[[#This Row],[Total Time to Repair(h)]]</f>
        <v>0.2777943168</v>
      </c>
      <c r="AB6" s="8">
        <f>Table2[[#This Row],[Percentage of ITS and business users]]*Table2[[#This Row],[SLA CU per hour]]*Table2[[#This Row],[Failures per year]]*Table2[[#This Row],[Total Time to Repair(h)]]</f>
        <v>0.27993730152960006</v>
      </c>
    </row>
    <row r="7" spans="1:28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8">
        <f t="shared" si="0"/>
        <v>3.0000000000000001E-3</v>
      </c>
      <c r="O7" s="2">
        <f>Table2[[#This Row],[Yearly Energy Consumption in kWh]]*Table2[[#This Row],[CU/kWh]]</f>
        <v>9.8392319999999991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2</v>
      </c>
      <c r="Y7" s="8">
        <v>7.0000000000000007E-2</v>
      </c>
      <c r="Z7" s="8">
        <f t="shared" si="2"/>
        <v>7.0540000000000005E-2</v>
      </c>
      <c r="AA7" s="8">
        <f>Table2[[#This Row],[Percentage of Business Users]]*Table2[[#This Row],[SLA CU per hour]]*Table2[[#This Row],[Failures per year]]*Table2[[#This Row],[Total Time to Repair(h)]]</f>
        <v>0</v>
      </c>
      <c r="AB7" s="8">
        <f>Table2[[#This Row],[Percentage of ITS and business users]]*Table2[[#This Row],[SLA CU per hour]]*Table2[[#This Row],[Failures per year]]*Table2[[#This Row],[Total Time to Repair(h)]]</f>
        <v>0</v>
      </c>
    </row>
    <row r="8" spans="1:28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8">
        <f t="shared" si="0"/>
        <v>3.0000000000000001E-3</v>
      </c>
      <c r="O8" s="2">
        <f>Table2[[#This Row],[Yearly Energy Consumption in kWh]]*Table2[[#This Row],[CU/kWh]]</f>
        <v>261.53856000000002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2</v>
      </c>
      <c r="Y8" s="8">
        <v>7.0000000000000007E-2</v>
      </c>
      <c r="Z8" s="8">
        <f t="shared" si="2"/>
        <v>7.0540000000000005E-2</v>
      </c>
      <c r="AA8" s="8">
        <f>Table2[[#This Row],[Percentage of Business Users]]*Table2[[#This Row],[SLA CU per hour]]*Table2[[#This Row],[Failures per year]]*Table2[[#This Row],[Total Time to Repair(h)]]</f>
        <v>4.8039402700800009</v>
      </c>
      <c r="AB8" s="8">
        <f>Table2[[#This Row],[Percentage of ITS and business users]]*Table2[[#This Row],[SLA CU per hour]]*Table2[[#This Row],[Failures per year]]*Table2[[#This Row],[Total Time to Repair(h)]]</f>
        <v>4.8409992378777602</v>
      </c>
    </row>
    <row r="9" spans="1:28" x14ac:dyDescent="0.25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512</v>
      </c>
      <c r="L9">
        <f>50*Table2[[#This Row],[Quantity]]</f>
        <v>62200</v>
      </c>
      <c r="M9" s="1">
        <f>Table2[[#This Row],[Energy consumption in W]]*24*365/1000</f>
        <v>544872</v>
      </c>
      <c r="N9" s="8">
        <f t="shared" si="0"/>
        <v>3.0000000000000001E-3</v>
      </c>
      <c r="O9" s="2">
        <f>Table2[[#This Row],[Yearly Energy Consumption in kWh]]*Table2[[#This Row],[CU/kWh]]</f>
        <v>1634.616</v>
      </c>
      <c r="P9">
        <v>1.5</v>
      </c>
      <c r="Q9">
        <v>20</v>
      </c>
      <c r="R9" s="8">
        <f>Table2[[#This Row],[Quantity]]*(Table2[[#This Row],[FIT]]*24*365)/1000000000</f>
        <v>5.5794892799999998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512.0297312255999</v>
      </c>
      <c r="X9" s="1">
        <v>2</v>
      </c>
      <c r="Y9" s="8">
        <v>7.0000000000000007E-2</v>
      </c>
      <c r="Z9" s="8">
        <f t="shared" si="2"/>
        <v>7.0540000000000005E-2</v>
      </c>
      <c r="AA9" s="8">
        <f>Table2[[#This Row],[Percentage of Business Users]]*Table2[[#This Row],[SLA CU per hour]]*Table2[[#This Row],[Failures per year]]*Table2[[#This Row],[Total Time to Repair(h)]]</f>
        <v>18.864253255680001</v>
      </c>
      <c r="AB9" s="8">
        <f>Table2[[#This Row],[Percentage of ITS and business users]]*Table2[[#This Row],[SLA CU per hour]]*Table2[[#This Row],[Failures per year]]*Table2[[#This Row],[Total Time to Repair(h)]]</f>
        <v>19.009777495080957</v>
      </c>
    </row>
    <row r="10" spans="1:28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ref="N3:N10" si="3">0.3048/50</f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2</v>
      </c>
      <c r="Y10" s="8">
        <v>7.0000000000000007E-2</v>
      </c>
      <c r="Z10" s="8">
        <f t="shared" si="2"/>
        <v>7.0540000000000005E-2</v>
      </c>
      <c r="AA10" s="8">
        <f>Table2[[#This Row],[Percentage of Business Users]]*Table2[[#This Row],[SLA CU per hour]]*Table2[[#This Row],[Failures per year]]*Table2[[#This Row],[Total Time to Repair(h)]]</f>
        <v>0</v>
      </c>
      <c r="AB10" s="8">
        <f>Table2[[#This Row],[Percentage of ITS and business users]]*Table2[[#This Row],[SLA CU per hour]]*Table2[[#This Row],[Failures per year]]*Table2[[#This Row],[Total Time to Repair(h)]]</f>
        <v>0</v>
      </c>
    </row>
    <row r="11" spans="1:28" x14ac:dyDescent="0.25">
      <c r="H11" s="27">
        <f>SUM(Table2[Total Rent cost per year])</f>
        <v>7308</v>
      </c>
      <c r="O11" s="27">
        <f>SUM(Table2[Energy Cost per year in CU])</f>
        <v>1921.1394816</v>
      </c>
      <c r="W11" s="27">
        <f>SUM(Table2[FM Cost])+L20</f>
        <v>1085.4683526953127</v>
      </c>
      <c r="AA11">
        <f>SUBTOTAL(109,Table2[FM Penalty Business])</f>
        <v>23.971104514560004</v>
      </c>
      <c r="AB11">
        <f>SUBTOTAL(109,Table2[FM Penalty ITS])</f>
        <v>24.156024463672317</v>
      </c>
    </row>
    <row r="14" spans="1:28" x14ac:dyDescent="0.25">
      <c r="A14" t="s">
        <v>39</v>
      </c>
      <c r="B14" t="s">
        <v>17</v>
      </c>
      <c r="C14" t="s">
        <v>16</v>
      </c>
      <c r="D14" t="s">
        <v>40</v>
      </c>
      <c r="E14" t="s">
        <v>30</v>
      </c>
      <c r="F14" s="1" t="s">
        <v>44</v>
      </c>
      <c r="G14" s="1" t="s">
        <v>45</v>
      </c>
      <c r="H14" s="1" t="s">
        <v>47</v>
      </c>
      <c r="I14" t="s">
        <v>46</v>
      </c>
      <c r="J14" t="s">
        <v>48</v>
      </c>
      <c r="K14" t="s">
        <v>49</v>
      </c>
      <c r="L14" t="s">
        <v>50</v>
      </c>
      <c r="M14" t="s">
        <v>111</v>
      </c>
      <c r="N14" t="s">
        <v>117</v>
      </c>
      <c r="O14" t="s">
        <v>118</v>
      </c>
      <c r="P14" t="s">
        <v>119</v>
      </c>
      <c r="Q14" t="s">
        <v>120</v>
      </c>
    </row>
    <row r="15" spans="1:28" x14ac:dyDescent="0.25">
      <c r="A15" t="s">
        <v>41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  <c r="M15">
        <v>2</v>
      </c>
      <c r="N15">
        <v>7.0000000000000007E-2</v>
      </c>
      <c r="O15">
        <f>0.07+2*0.00027</f>
        <v>7.0540000000000005E-2</v>
      </c>
      <c r="P15">
        <f>N15*M15*J15*B15*24*365/1000000000</f>
        <v>2.8817984627498747</v>
      </c>
      <c r="Q15">
        <f>O15*M15*J15*B15*24*365/1000000000</f>
        <v>2.9040294794625163</v>
      </c>
    </row>
    <row r="16" spans="1:28" x14ac:dyDescent="0.25">
      <c r="A16" t="s">
        <v>42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  <c r="M16">
        <v>2</v>
      </c>
      <c r="N16" s="8">
        <v>7.0000000000000007E-2</v>
      </c>
      <c r="O16" s="8">
        <f t="shared" ref="O16:O17" si="9">0.07+2*0.00027</f>
        <v>7.0540000000000005E-2</v>
      </c>
      <c r="P16" s="8">
        <f t="shared" ref="P16:P17" si="10">N16*M16*J16*B16*24*365/1000000000</f>
        <v>1.4477981180328632</v>
      </c>
      <c r="Q16" s="8">
        <f t="shared" ref="Q16:Q17" si="11">O16*M16*J16*B16*24*365/1000000000</f>
        <v>1.4589668463719738</v>
      </c>
    </row>
    <row r="17" spans="1:19" x14ac:dyDescent="0.25">
      <c r="A17" t="s">
        <v>43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  <c r="M17">
        <v>2</v>
      </c>
      <c r="N17" s="8">
        <v>7.0000000000000007E-2</v>
      </c>
      <c r="O17" s="8">
        <f t="shared" si="9"/>
        <v>7.0540000000000005E-2</v>
      </c>
      <c r="P17" s="8">
        <f t="shared" si="10"/>
        <v>11.690238214484584</v>
      </c>
      <c r="Q17" s="8">
        <f t="shared" si="11"/>
        <v>11.780420052139178</v>
      </c>
    </row>
    <row r="20" spans="1:19" x14ac:dyDescent="0.25">
      <c r="K20" t="s">
        <v>51</v>
      </c>
      <c r="L20">
        <f>SUM(L15:L17)</f>
        <v>434.82408730011286</v>
      </c>
    </row>
    <row r="25" spans="1:19" x14ac:dyDescent="0.25">
      <c r="H25" s="1" t="s">
        <v>91</v>
      </c>
      <c r="I25" t="s">
        <v>112</v>
      </c>
      <c r="J25" t="s">
        <v>113</v>
      </c>
      <c r="K25" t="s">
        <v>114</v>
      </c>
    </row>
    <row r="26" spans="1:19" x14ac:dyDescent="0.25">
      <c r="H26" s="1" t="s">
        <v>92</v>
      </c>
      <c r="I26">
        <f>Table2[[#Totals],[Total Rent cost per year]]</f>
        <v>7308</v>
      </c>
      <c r="J26" s="8">
        <f>Table2[[#Totals],[Total Rent cost per year]]</f>
        <v>7308</v>
      </c>
      <c r="K26" s="8">
        <f>Table2[[#Totals],[Total Rent cost per year]]</f>
        <v>7308</v>
      </c>
    </row>
    <row r="27" spans="1:19" x14ac:dyDescent="0.25">
      <c r="H27" s="1" t="s">
        <v>93</v>
      </c>
      <c r="I27">
        <f>Table2[[#Totals],[Energy Cost per year in CU]]</f>
        <v>1921.1394816</v>
      </c>
      <c r="J27" s="8">
        <f>Table2[[#Totals],[Energy Cost per year in CU]]</f>
        <v>1921.1394816</v>
      </c>
      <c r="K27" s="8">
        <f>Table2[[#Totals],[Energy Cost per year in CU]]</f>
        <v>1921.1394816</v>
      </c>
      <c r="Q27" t="s">
        <v>52</v>
      </c>
    </row>
    <row r="28" spans="1:19" x14ac:dyDescent="0.25">
      <c r="H28" s="1" t="s">
        <v>94</v>
      </c>
      <c r="I28">
        <f>Table2[[#Totals],[FM Cost]]+L20</f>
        <v>1520.2924399954254</v>
      </c>
      <c r="J28" s="8">
        <f>Table2[[#Totals],[FM Cost]]+$L$20+P15+P16+P17+Table2[[#Totals],[FM Penalty Business]]</f>
        <v>1560.2833793052528</v>
      </c>
      <c r="K28" s="8">
        <f>Table2[[#Totals],[FM Cost]]+$L$20+Q15+Q16+Q17+Table2[[#Totals],[FM Penalty ITS]]</f>
        <v>1560.5918808370714</v>
      </c>
      <c r="Q28">
        <f>Table2[[#Totals],[Total Rent cost per year]]+Table2[[#Totals],[Energy Cost per year in CU]]+Table2[[#Totals],[FM Cost]]+L20</f>
        <v>10749.431921595424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95</v>
      </c>
      <c r="I29">
        <f>0.05*SUM(I26:I28)</f>
        <v>537.47159607977119</v>
      </c>
      <c r="J29" s="8">
        <f>0.05*SUM(J26:J28)</f>
        <v>539.47114304526258</v>
      </c>
      <c r="K29" s="8">
        <f>0.05*SUM(K26:K28)</f>
        <v>539.48656812185357</v>
      </c>
      <c r="S29">
        <v>11727.88547395296</v>
      </c>
    </row>
    <row r="30" spans="1:19" x14ac:dyDescent="0.25">
      <c r="H30" s="1" t="s">
        <v>96</v>
      </c>
      <c r="I30">
        <f>0.07*SUM(I26:I28)</f>
        <v>752.46023451167969</v>
      </c>
      <c r="J30" s="8">
        <f>0.07*SUM(J26:J28)</f>
        <v>755.2596002633677</v>
      </c>
      <c r="K30" s="8">
        <f>0.07*SUM(K26:K28)</f>
        <v>755.28119537059501</v>
      </c>
    </row>
    <row r="31" spans="1:19" x14ac:dyDescent="0.25">
      <c r="I31" s="28">
        <f>SUM(I26:I30)</f>
        <v>12039.363752186875</v>
      </c>
      <c r="J31" s="28">
        <f>SUM(J26:J30)</f>
        <v>12084.153604213881</v>
      </c>
      <c r="K31" s="28">
        <f>SUM(K26:K30)</f>
        <v>12084.49912592952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G1" workbookViewId="0">
      <selection activeCell="N2" sqref="N2:N10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4" customWidth="1"/>
    <col min="28" max="28" width="11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t="s">
        <v>3</v>
      </c>
      <c r="B2" t="s">
        <v>58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0.15/50</f>
        <v>3.0000000000000001E-3</v>
      </c>
      <c r="O2">
        <f>Table3[[#This Row],[Yearly Energy Consumption in kWh]]*Table3[[#This Row],[CU/kWh]]</f>
        <v>141.91200000000001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  <c r="X2">
        <v>2</v>
      </c>
      <c r="Y2">
        <v>7.0000000000000007E-2</v>
      </c>
      <c r="Z2">
        <f>0.07+2*0.00027</f>
        <v>7.0540000000000005E-2</v>
      </c>
      <c r="AA2">
        <f>Table3[[#This Row],[Percentage of Business Users]]*Table3[[#This Row],[SLA CU per hour]]*Table3[[#This Row],[Failures per year]]*Table3[[#This Row],[Total Time to Repair(h)]]</f>
        <v>3.3907507199999999E-2</v>
      </c>
      <c r="AB2">
        <f>Table3[[#This Row],[Percentage of ITS and business users]]*Table3[[#This Row],[SLA CU per hour]]*Table3[[#This Row],[Failures per year]]*Table3[[#This Row],[Total Time to Repair(h)]]</f>
        <v>3.4169079398399999E-2</v>
      </c>
    </row>
    <row r="3" spans="1:28" x14ac:dyDescent="0.25">
      <c r="A3" t="s">
        <v>3</v>
      </c>
      <c r="B3" t="s">
        <v>59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8">
        <f t="shared" ref="N3:N10" si="0">0.15/50</f>
        <v>3.0000000000000001E-3</v>
      </c>
      <c r="O3" s="6">
        <f>Table3[[#This Row],[Yearly Energy Consumption in kWh]]*Table3[[#This Row],[CU/kWh]]</f>
        <v>18.448560000000001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  <c r="X3">
        <v>2</v>
      </c>
      <c r="Y3" s="8">
        <v>7.0000000000000007E-2</v>
      </c>
      <c r="Z3" s="8">
        <f t="shared" ref="Z3:Z10" si="2">0.07+2*0.00027</f>
        <v>7.0540000000000005E-2</v>
      </c>
      <c r="AA3" s="8">
        <f>Table3[[#This Row],[Percentage of Business Users]]*Table3[[#This Row],[SLA CU per hour]]*Table3[[#This Row],[Failures per year]]*Table3[[#This Row],[Total Time to Repair(h)]]</f>
        <v>0</v>
      </c>
      <c r="AB3" s="8">
        <f>Table3[[#This Row],[Percentage of ITS and business users]]*Table3[[#This Row],[SLA CU per hour]]*Table3[[#This Row],[Failures per year]]*Table3[[#This Row],[Total Time to Repair(h)]]</f>
        <v>0</v>
      </c>
    </row>
    <row r="4" spans="1:28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8">
        <f t="shared" si="0"/>
        <v>3.0000000000000001E-3</v>
      </c>
      <c r="O4" s="6">
        <f>Table3[[#This Row],[Yearly Energy Consumption in kWh]]*Table3[[#This Row],[CU/kWh]]</f>
        <v>31.536000000000001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  <c r="X4">
        <v>2</v>
      </c>
      <c r="Y4" s="8">
        <v>7.0000000000000007E-2</v>
      </c>
      <c r="Z4" s="8">
        <f t="shared" si="2"/>
        <v>7.0540000000000005E-2</v>
      </c>
      <c r="AA4" s="8">
        <f>Table3[[#This Row],[Percentage of Business Users]]*Table3[[#This Row],[SLA CU per hour]]*Table3[[#This Row],[Failures per year]]*Table3[[#This Row],[Total Time to Repair(h)]]</f>
        <v>0</v>
      </c>
      <c r="AB4" s="8">
        <f>Table3[[#This Row],[Percentage of ITS and business users]]*Table3[[#This Row],[SLA CU per hour]]*Table3[[#This Row],[Failures per year]]*Table3[[#This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8">
        <f t="shared" si="0"/>
        <v>3.0000000000000001E-3</v>
      </c>
      <c r="O5" s="6">
        <f>Table3[[#This Row],[Yearly Energy Consumption in kWh]]*Table3[[#This Row],[CU/kWh]]</f>
        <v>2.6280000000000001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  <c r="X5">
        <v>2</v>
      </c>
      <c r="Y5" s="8">
        <v>7.0000000000000007E-2</v>
      </c>
      <c r="Z5" s="8">
        <f t="shared" si="2"/>
        <v>7.0540000000000005E-2</v>
      </c>
      <c r="AA5" s="8">
        <f>Table3[[#This Row],[Percentage of Business Users]]*Table3[[#This Row],[SLA CU per hour]]*Table3[[#This Row],[Failures per year]]*Table3[[#This Row],[Total Time to Repair(h)]]</f>
        <v>0</v>
      </c>
      <c r="AB5" s="8">
        <f>Table3[[#This Row],[Percentage of ITS and business users]]*Table3[[#This Row],[SLA CU per hour]]*Table3[[#This Row],[Failures per year]]*Table3[[#This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8">
        <f t="shared" si="0"/>
        <v>3.0000000000000001E-3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  <c r="X6">
        <v>2</v>
      </c>
      <c r="Y6" s="8">
        <v>7.0000000000000007E-2</v>
      </c>
      <c r="Z6" s="8">
        <f t="shared" si="2"/>
        <v>7.0540000000000005E-2</v>
      </c>
      <c r="AA6" s="8">
        <f>Table3[[#This Row],[Percentage of Business Users]]*Table3[[#This Row],[SLA CU per hour]]*Table3[[#This Row],[Failures per year]]*Table3[[#This Row],[Total Time to Repair(h)]]</f>
        <v>5.8830408000000008E-2</v>
      </c>
      <c r="AB6" s="8">
        <f>Table3[[#This Row],[Percentage of ITS and business users]]*Table3[[#This Row],[SLA CU per hour]]*Table3[[#This Row],[Failures per year]]*Table3[[#This Row],[Total Time to Repair(h)]]</f>
        <v>5.9284242576000012E-2</v>
      </c>
    </row>
    <row r="7" spans="1:28" x14ac:dyDescent="0.25">
      <c r="A7" t="s">
        <v>8</v>
      </c>
      <c r="B7" t="s">
        <v>59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8">
        <f t="shared" si="0"/>
        <v>3.0000000000000001E-3</v>
      </c>
      <c r="O7" s="6">
        <f>Table3[[#This Row],[Yearly Energy Consumption in kWh]]*Table3[[#This Row],[CU/kWh]]</f>
        <v>18.448560000000001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  <c r="X7">
        <v>2</v>
      </c>
      <c r="Y7" s="8">
        <v>7.0000000000000007E-2</v>
      </c>
      <c r="Z7" s="8">
        <f t="shared" si="2"/>
        <v>7.0540000000000005E-2</v>
      </c>
      <c r="AA7" s="8">
        <f>Table3[[#This Row],[Percentage of Business Users]]*Table3[[#This Row],[SLA CU per hour]]*Table3[[#This Row],[Failures per year]]*Table3[[#This Row],[Total Time to Repair(h)]]</f>
        <v>0</v>
      </c>
      <c r="AB7" s="8">
        <f>Table3[[#This Row],[Percentage of ITS and business users]]*Table3[[#This Row],[SLA CU per hour]]*Table3[[#This Row],[Failures per year]]*Table3[[#This Row],[Total Time to Repair(h)]]</f>
        <v>0</v>
      </c>
    </row>
    <row r="8" spans="1:28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8">
        <f t="shared" si="0"/>
        <v>3.0000000000000001E-3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  <c r="X8">
        <v>2</v>
      </c>
      <c r="Y8" s="8">
        <v>7.0000000000000007E-2</v>
      </c>
      <c r="Z8" s="8">
        <f t="shared" si="2"/>
        <v>7.0540000000000005E-2</v>
      </c>
      <c r="AA8" s="8">
        <f>Table3[[#This Row],[Percentage of Business Users]]*Table3[[#This Row],[SLA CU per hour]]*Table3[[#This Row],[Failures per year]]*Table3[[#This Row],[Total Time to Repair(h)]]</f>
        <v>0.23191223999999999</v>
      </c>
      <c r="AB8" s="8">
        <f>Table3[[#This Row],[Percentage of ITS and business users]]*Table3[[#This Row],[SLA CU per hour]]*Table3[[#This Row],[Failures per year]]*Table3[[#This Row],[Total Time to Repair(h)]]</f>
        <v>0.23370127728000001</v>
      </c>
    </row>
    <row r="9" spans="1:28" x14ac:dyDescent="0.25">
      <c r="A9" t="s">
        <v>13</v>
      </c>
      <c r="B9" t="s">
        <v>60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512</v>
      </c>
      <c r="L9">
        <f>50*Table3[[#This Row],[Quantity]]</f>
        <v>250000</v>
      </c>
      <c r="M9" s="6">
        <f>Table3[[#This Row],[Energy consumption in W]]*24*365/1000</f>
        <v>2190000</v>
      </c>
      <c r="N9" s="8">
        <f t="shared" si="0"/>
        <v>3.0000000000000001E-3</v>
      </c>
      <c r="O9" s="6">
        <f>Table3[[#This Row],[Yearly Energy Consumption in kWh]]*Table3[[#This Row],[CU/kWh]]</f>
        <v>6570</v>
      </c>
      <c r="P9">
        <v>2.25</v>
      </c>
      <c r="Q9" s="6">
        <v>20</v>
      </c>
      <c r="R9" s="8">
        <f>Table3[[#This Row],[Quantity]]*(Table3[[#This Row],[FIT]]*24*365)/1000000000</f>
        <v>22.425599999999999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2064.3886080000002</v>
      </c>
      <c r="X9">
        <v>2</v>
      </c>
      <c r="Y9" s="8">
        <v>7.0000000000000007E-2</v>
      </c>
      <c r="Z9" s="8">
        <f t="shared" si="2"/>
        <v>7.0540000000000005E-2</v>
      </c>
      <c r="AA9" s="8">
        <f>Table3[[#This Row],[Percentage of Business Users]]*Table3[[#This Row],[SLA CU per hour]]*Table3[[#This Row],[Failures per year]]*Table3[[#This Row],[Total Time to Repair(h)]]</f>
        <v>76.056422400000002</v>
      </c>
      <c r="AB9" s="8">
        <f>Table3[[#This Row],[Percentage of ITS and business users]]*Table3[[#This Row],[SLA CU per hour]]*Table3[[#This Row],[Failures per year]]*Table3[[#This Row],[Total Time to Repair(h)]]</f>
        <v>76.643143372800012</v>
      </c>
    </row>
    <row r="10" spans="1:28" x14ac:dyDescent="0.25">
      <c r="A10" t="s">
        <v>13</v>
      </c>
      <c r="B10" t="s">
        <v>61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8">
        <f t="shared" si="0"/>
        <v>3.0000000000000001E-3</v>
      </c>
      <c r="O10" s="6">
        <f>Table3[[#This Row],[Yearly Energy Consumption in kWh]]*Table3[[#This Row],[CU/kWh]]</f>
        <v>854.1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  <c r="X10">
        <v>2</v>
      </c>
      <c r="Y10" s="8">
        <v>7.0000000000000007E-2</v>
      </c>
      <c r="Z10" s="8">
        <f t="shared" si="2"/>
        <v>7.0540000000000005E-2</v>
      </c>
      <c r="AA10" s="8">
        <f>Table3[[#This Row],[Percentage of Business Users]]*Table3[[#This Row],[SLA CU per hour]]*Table3[[#This Row],[Failures per year]]*Table3[[#This Row],[Total Time to Repair(h)]]</f>
        <v>9.7719552000000007</v>
      </c>
      <c r="AB10" s="8">
        <f>Table3[[#This Row],[Percentage of ITS and business users]]*Table3[[#This Row],[SLA CU per hour]]*Table3[[#This Row],[Failures per year]]*Table3[[#This Row],[Total Time to Repair(h)]]</f>
        <v>9.8473388544000002</v>
      </c>
    </row>
    <row r="11" spans="1:28" x14ac:dyDescent="0.25">
      <c r="H11">
        <f>SUM(Table3[Total Rent cost per year])</f>
        <v>3074</v>
      </c>
      <c r="O11">
        <f>SUBTOTAL(109,Table3[Energy Cost per year in CU])</f>
        <v>7637.07312</v>
      </c>
      <c r="W11">
        <f>SUBTOTAL(109,Table3[FM Cost])</f>
        <v>2338.4393247840003</v>
      </c>
      <c r="AA11">
        <f>SUBTOTAL(109,Table3[FM Penalty Business])</f>
        <v>86.153027755200014</v>
      </c>
      <c r="AB11">
        <f>SUBTOTAL(109,Table3[FM Penalty ITS])</f>
        <v>86.817636826454418</v>
      </c>
    </row>
    <row r="14" spans="1:28" x14ac:dyDescent="0.25">
      <c r="A14" t="s">
        <v>38</v>
      </c>
      <c r="B14" t="s">
        <v>63</v>
      </c>
      <c r="C14" t="s">
        <v>64</v>
      </c>
      <c r="D14" t="s">
        <v>17</v>
      </c>
      <c r="E14" t="s">
        <v>65</v>
      </c>
      <c r="F14" t="s">
        <v>26</v>
      </c>
      <c r="G14" t="s">
        <v>66</v>
      </c>
      <c r="H14" t="s">
        <v>67</v>
      </c>
      <c r="I14" t="s">
        <v>68</v>
      </c>
    </row>
    <row r="15" spans="1:28" x14ac:dyDescent="0.25">
      <c r="B15" s="7">
        <f>171056.493544313/1000</f>
        <v>171.05649354431301</v>
      </c>
      <c r="C15">
        <v>570</v>
      </c>
      <c r="E15">
        <v>20</v>
      </c>
    </row>
    <row r="16" spans="1:28" x14ac:dyDescent="0.25">
      <c r="B16" s="7">
        <f>85582.6331149716/1000</f>
        <v>85.5826331149716</v>
      </c>
      <c r="C16">
        <v>570</v>
      </c>
      <c r="E16">
        <v>20</v>
      </c>
    </row>
    <row r="17" spans="1:16" x14ac:dyDescent="0.25">
      <c r="B17" s="7">
        <f>384090.367674523/1000</f>
        <v>384.09036767452295</v>
      </c>
      <c r="C17">
        <v>570</v>
      </c>
      <c r="E17">
        <v>20</v>
      </c>
      <c r="M17" t="s">
        <v>69</v>
      </c>
    </row>
    <row r="18" spans="1:16" x14ac:dyDescent="0.25">
      <c r="M18">
        <f>Table3[[#Totals],[Total Rent cost per year]]+Table3[[#Totals],[Energy Cost per year in CU]]+Table3[[#Totals],[FM Cost]]+I23</f>
        <v>13344.852193275841</v>
      </c>
    </row>
    <row r="19" spans="1:16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</row>
    <row r="20" spans="1:16" x14ac:dyDescent="0.25">
      <c r="A20" t="s">
        <v>41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</row>
    <row r="21" spans="1:16" x14ac:dyDescent="0.25">
      <c r="A21" t="s">
        <v>42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3">2*F21/20</f>
        <v>0.2</v>
      </c>
      <c r="H21" s="8">
        <f t="shared" ref="H21:H22" si="4">G21+C21</f>
        <v>24.2</v>
      </c>
      <c r="I21" s="8">
        <f>B21*24*365*E21*FTTB_XGPON_50!H21/1000000000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:M22" si="5">K21*J21*H21*B21*24*365/1000000000</f>
        <v>1.4477981180328632</v>
      </c>
      <c r="N21" s="8">
        <f t="shared" ref="N21:N22" si="6">L21*J21*H21*B21*24*365/1000000000</f>
        <v>1.4529688255972659</v>
      </c>
    </row>
    <row r="22" spans="1:16" x14ac:dyDescent="0.25">
      <c r="A22" t="s">
        <v>62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3"/>
        <v>0.4</v>
      </c>
      <c r="H22" s="8">
        <f t="shared" si="4"/>
        <v>24.4</v>
      </c>
      <c r="I22" s="8">
        <f>B22*24*365*E22*FTTB_XGPON_50!H22/1000000000</f>
        <v>177.82212701345154</v>
      </c>
      <c r="J22" s="8">
        <v>2</v>
      </c>
      <c r="K22" s="8">
        <v>7.0000000000000007E-2</v>
      </c>
      <c r="L22" s="8">
        <v>7.0250000000000007E-2</v>
      </c>
      <c r="M22" s="8">
        <f t="shared" si="5"/>
        <v>6.5513415215482151</v>
      </c>
      <c r="N22" s="8">
        <f t="shared" si="6"/>
        <v>6.5747391698394591</v>
      </c>
    </row>
    <row r="23" spans="1:16" x14ac:dyDescent="0.25">
      <c r="I23">
        <f>SUM(I20:I22)</f>
        <v>295.33974849184011</v>
      </c>
    </row>
    <row r="25" spans="1:16" x14ac:dyDescent="0.25">
      <c r="M25" s="8" t="s">
        <v>91</v>
      </c>
      <c r="N25" s="8" t="s">
        <v>112</v>
      </c>
      <c r="O25" t="s">
        <v>113</v>
      </c>
      <c r="P25" t="s">
        <v>121</v>
      </c>
    </row>
    <row r="26" spans="1:16" x14ac:dyDescent="0.25">
      <c r="M26" s="8" t="s">
        <v>92</v>
      </c>
      <c r="N26" s="8">
        <f>Table3[[#Totals],[Total Rent cost per year]]</f>
        <v>3074</v>
      </c>
      <c r="O26" s="8">
        <f>Table3[[#Totals],[Total Rent cost per year]]</f>
        <v>3074</v>
      </c>
      <c r="P26" s="8">
        <f>Table3[[#Totals],[Total Rent cost per year]]</f>
        <v>3074</v>
      </c>
    </row>
    <row r="27" spans="1:16" x14ac:dyDescent="0.25">
      <c r="M27" s="8" t="s">
        <v>93</v>
      </c>
      <c r="N27" s="8">
        <f>Table3[[#Totals],[Energy Cost per year in CU]]</f>
        <v>7637.07312</v>
      </c>
      <c r="O27" s="8">
        <f>Table3[[#Totals],[Energy Cost per year in CU]]</f>
        <v>7637.07312</v>
      </c>
      <c r="P27" s="8">
        <f>Table3[[#Totals],[Energy Cost per year in CU]]</f>
        <v>7637.07312</v>
      </c>
    </row>
    <row r="28" spans="1:16" x14ac:dyDescent="0.25">
      <c r="M28" s="8" t="s">
        <v>94</v>
      </c>
      <c r="N28" s="8">
        <f>Table3[[#Totals],[FM Cost]]+$I$23</f>
        <v>2633.7790732758403</v>
      </c>
      <c r="O28" s="8">
        <f>Table3[[#Totals],[FM Cost]]+$I$23+Table3[[#Totals],[FM Penalty Business]]+SUM(M20:M22)</f>
        <v>2730.8130391333716</v>
      </c>
      <c r="P28" s="8">
        <f>Table3[[#Totals],[FM Cost]]+$I$23+Table3[[#Totals],[FM Penalty ITS]]+SUM(N20:N22)</f>
        <v>2731.5165086978482</v>
      </c>
    </row>
    <row r="29" spans="1:16" x14ac:dyDescent="0.25">
      <c r="M29" s="8" t="s">
        <v>95</v>
      </c>
      <c r="N29" s="8">
        <f>0.05*SUM(N26:N28)</f>
        <v>667.24260966379211</v>
      </c>
      <c r="O29" s="8">
        <f>0.05*SUM(O26:O28)</f>
        <v>672.09430795666867</v>
      </c>
      <c r="P29" s="8">
        <f>0.05*SUM(P26:P28)</f>
        <v>672.12948143489257</v>
      </c>
    </row>
    <row r="30" spans="1:16" x14ac:dyDescent="0.25">
      <c r="M30" s="8" t="s">
        <v>96</v>
      </c>
      <c r="N30" s="8">
        <f>0.07*SUM(N26:N28)</f>
        <v>934.13965352930893</v>
      </c>
      <c r="O30" s="8">
        <f>0.07*SUM(O26:O28)</f>
        <v>940.93203113933623</v>
      </c>
      <c r="P30" s="8">
        <f>0.07*SUM(P26:P28)</f>
        <v>940.9812740088496</v>
      </c>
    </row>
    <row r="31" spans="1:16" x14ac:dyDescent="0.25">
      <c r="N31" s="28">
        <f>SUM(N26:N30)</f>
        <v>14946.234456468943</v>
      </c>
      <c r="O31" s="28">
        <f>SUM(O26:O30)</f>
        <v>15054.912498229378</v>
      </c>
      <c r="P31" s="28">
        <f>SUM(P26:P30)</f>
        <v>15055.700384141592</v>
      </c>
    </row>
    <row r="32" spans="1:16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E1" workbookViewId="0">
      <selection activeCell="N2" sqref="N2:N10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1" max="11" width="21.7109375" customWidth="1"/>
    <col min="12" max="12" width="24.42578125" customWidth="1"/>
    <col min="13" max="13" width="32.28515625" customWidth="1"/>
    <col min="14" max="14" width="17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  <col min="24" max="24" width="18.140625" customWidth="1"/>
    <col min="27" max="27" width="2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0.15/50</f>
        <v>3.0000000000000001E-3</v>
      </c>
      <c r="O2">
        <f>Table1[[#This Row],[Yearly Energy Consumption in kWh]]*Table1[[#This Row],[CU/kWh]]</f>
        <v>0.94608000000000003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  <c r="X2">
        <v>2</v>
      </c>
      <c r="Y2">
        <v>7.0000000000000007E-2</v>
      </c>
      <c r="Z2">
        <v>7.0540000000000005E-2</v>
      </c>
      <c r="AA2">
        <f>Table1[[#This Row],[Percentage of Business Users]]*Table1[[#This Row],[SLA CU per hour]]*Table1[[#This Row],[Failures per year]]*Table1[[#This Row],[Total Time to Repair(h)]]</f>
        <v>1.8837504000000001E-3</v>
      </c>
      <c r="AB2">
        <f>Table1[[#This Row],[Percentage of ITS and business users]]*Table1[[#This Row],[SLA CU per hour]]*Table1[[#This Row],[Failures per year]]*Table1[[#This Row],[Total Time to Repair(h)]]</f>
        <v>1.8982821888E-3</v>
      </c>
    </row>
    <row r="3" spans="1:28" x14ac:dyDescent="0.25">
      <c r="A3" s="19" t="s">
        <v>3</v>
      </c>
      <c r="B3" s="20" t="s">
        <v>71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0.15/50</f>
        <v>3.0000000000000001E-3</v>
      </c>
      <c r="O3" s="8">
        <f>Table1[[#This Row],[Yearly Energy Consumption in kWh]]*Table1[[#This Row],[CU/kWh]]</f>
        <v>8.5410000000000004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  <c r="X3">
        <v>2</v>
      </c>
      <c r="Y3" s="8">
        <v>7.0000000000000007E-2</v>
      </c>
      <c r="Z3" s="8">
        <v>7.0540000000000005E-2</v>
      </c>
      <c r="AA3" s="8">
        <f>Table1[[#This Row],[Percentage of Business Users]]*Table1[[#This Row],[SLA CU per hour]]*Table1[[#This Row],[Failures per year]]*Table1[[#This Row],[Total Time to Repair(h)]]</f>
        <v>7.9716000000000006E-3</v>
      </c>
      <c r="AB3" s="8">
        <f>Table1[[#This Row],[Percentage of ITS and business users]]*Table1[[#This Row],[SLA CU per hour]]*Table1[[#This Row],[Failures per year]]*Table1[[#This Row],[Total Time to Repair(h)]]</f>
        <v>8.0330951999999997E-3</v>
      </c>
    </row>
    <row r="4" spans="1:28" x14ac:dyDescent="0.25">
      <c r="A4" s="16" t="s">
        <v>3</v>
      </c>
      <c r="B4" s="17" t="s">
        <v>72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3.0000000000000001E-3</v>
      </c>
      <c r="O4" s="8">
        <f>Table1[[#This Row],[Yearly Energy Consumption in kWh]]*Table1[[#This Row],[CU/kWh]]</f>
        <v>79.47072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  <c r="X4">
        <v>2</v>
      </c>
      <c r="Y4" s="8">
        <v>7.0000000000000007E-2</v>
      </c>
      <c r="Z4" s="8">
        <v>7.0540000000000005E-2</v>
      </c>
      <c r="AA4" s="8">
        <f>Table1[[#This Row],[Percentage of Business Users]]*Table1[[#This Row],[SLA CU per hour]]*Table1[[#This Row],[Failures per year]]*Table1[[#This Row],[Total Time to Repair(h)]]</f>
        <v>7.9716000000000006E-3</v>
      </c>
      <c r="AB4" s="8">
        <f>Table1[[#This Row],[Percentage of ITS and business users]]*Table1[[#This Row],[SLA CU per hour]]*Table1[[#This Row],[Failures per year]]*Table1[[#This Row],[Total Time to Repair(h)]]</f>
        <v>8.0330951999999997E-3</v>
      </c>
    </row>
    <row r="5" spans="1:28" x14ac:dyDescent="0.25">
      <c r="A5" s="19" t="s">
        <v>3</v>
      </c>
      <c r="B5" s="20" t="s">
        <v>73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3.0000000000000001E-3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  <c r="X5">
        <v>2</v>
      </c>
      <c r="Y5" s="8">
        <v>7.0000000000000007E-2</v>
      </c>
      <c r="Z5" s="8">
        <v>7.0540000000000005E-2</v>
      </c>
      <c r="AA5" s="8">
        <f>Table1[[#This Row],[Percentage of Business Users]]*Table1[[#This Row],[SLA CU per hour]]*Table1[[#This Row],[Failures per year]]*Table1[[#This Row],[Total Time to Repair(h)]]</f>
        <v>7.9716000000000006E-3</v>
      </c>
      <c r="AB5" s="8">
        <f>Table1[[#This Row],[Percentage of ITS and business users]]*Table1[[#This Row],[SLA CU per hour]]*Table1[[#This Row],[Failures per year]]*Table1[[#This Row],[Total Time to Repair(h)]]</f>
        <v>8.0330951999999997E-3</v>
      </c>
    </row>
    <row r="6" spans="1:28" x14ac:dyDescent="0.25">
      <c r="A6" s="16" t="s">
        <v>3</v>
      </c>
      <c r="B6" s="17" t="s">
        <v>74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3.0000000000000001E-3</v>
      </c>
      <c r="O6" s="8">
        <f>Table1[[#This Row],[Yearly Energy Consumption in kWh]]*Table1[[#This Row],[CU/kWh]]</f>
        <v>40.9968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  <c r="X6">
        <v>2</v>
      </c>
      <c r="Y6" s="8">
        <v>7.0000000000000007E-2</v>
      </c>
      <c r="Z6" s="8">
        <v>7.0540000000000005E-2</v>
      </c>
      <c r="AA6" s="8">
        <f>Table1[[#This Row],[Percentage of Business Users]]*Table1[[#This Row],[SLA CU per hour]]*Table1[[#This Row],[Failures per year]]*Table1[[#This Row],[Total Time to Repair(h)]]</f>
        <v>0</v>
      </c>
      <c r="AB6" s="8">
        <f>Table1[[#This Row],[Percentage of ITS and business users]]*Table1[[#This Row],[SLA CU per hour]]*Table1[[#This Row],[Failures per year]]*Table1[[#This Row],[Total Time to Repair(h)]]</f>
        <v>0</v>
      </c>
    </row>
    <row r="7" spans="1:28" x14ac:dyDescent="0.25">
      <c r="A7" s="19" t="s">
        <v>3</v>
      </c>
      <c r="B7" s="20" t="s">
        <v>75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3.0000000000000001E-3</v>
      </c>
      <c r="O7" s="8">
        <f>Table1[[#This Row],[Yearly Energy Consumption in kWh]]*Table1[[#This Row],[CU/kWh]]</f>
        <v>1.3140000000000001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  <c r="X7">
        <v>2</v>
      </c>
      <c r="Y7" s="8">
        <v>7.0000000000000007E-2</v>
      </c>
      <c r="Z7" s="8">
        <v>7.0540000000000005E-2</v>
      </c>
      <c r="AA7" s="8">
        <f>Table1[[#This Row],[Percentage of Business Users]]*Table1[[#This Row],[SLA CU per hour]]*Table1[[#This Row],[Failures per year]]*Table1[[#This Row],[Total Time to Repair(h)]]</f>
        <v>0</v>
      </c>
      <c r="AB7" s="8">
        <f>Table1[[#This Row],[Percentage of ITS and business users]]*Table1[[#This Row],[SLA CU per hour]]*Table1[[#This Row],[Failures per year]]*Table1[[#This Row],[Total Time to Repair(h)]]</f>
        <v>0</v>
      </c>
    </row>
    <row r="8" spans="1:28" x14ac:dyDescent="0.25">
      <c r="A8" s="16" t="s">
        <v>8</v>
      </c>
      <c r="B8" s="17" t="s">
        <v>76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3.0000000000000001E-3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  <c r="X8">
        <v>2</v>
      </c>
      <c r="Y8" s="8">
        <v>7.0000000000000007E-2</v>
      </c>
      <c r="Z8" s="8">
        <v>7.0540000000000005E-2</v>
      </c>
      <c r="AA8" s="8">
        <f>Table1[[#This Row],[Percentage of Business Users]]*Table1[[#This Row],[SLA CU per hour]]*Table1[[#This Row],[Failures per year]]*Table1[[#This Row],[Total Time to Repair(h)]]</f>
        <v>9.8050680000000015E-2</v>
      </c>
      <c r="AB8" s="8">
        <f>Table1[[#This Row],[Percentage of ITS and business users]]*Table1[[#This Row],[SLA CU per hour]]*Table1[[#This Row],[Failures per year]]*Table1[[#This Row],[Total Time to Repair(h)]]</f>
        <v>9.8807070960000007E-2</v>
      </c>
    </row>
    <row r="9" spans="1:28" x14ac:dyDescent="0.25">
      <c r="A9" s="19" t="s">
        <v>13</v>
      </c>
      <c r="B9" s="20" t="s">
        <v>60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512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3.0000000000000001E-3</v>
      </c>
      <c r="O9" s="8">
        <f>Table1[[#This Row],[Yearly Energy Consumption in kWh]]*Table1[[#This Row],[CU/kWh]]</f>
        <v>6570</v>
      </c>
      <c r="P9">
        <v>2.25</v>
      </c>
      <c r="Q9">
        <v>20</v>
      </c>
      <c r="R9" s="8">
        <f>Table1[[#This Row],[Quantity]]*Table1[[#This Row],[FIT]]*24*365/1000000000</f>
        <v>22.425599999999999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2064.3886080000002</v>
      </c>
      <c r="X9">
        <v>2</v>
      </c>
      <c r="Y9" s="8">
        <v>7.0000000000000007E-2</v>
      </c>
      <c r="Z9" s="8">
        <v>7.0540000000000005E-2</v>
      </c>
      <c r="AA9" s="8">
        <f>Table1[[#This Row],[Percentage of Business Users]]*Table1[[#This Row],[SLA CU per hour]]*Table1[[#This Row],[Failures per year]]*Table1[[#This Row],[Total Time to Repair(h)]]</f>
        <v>76.056422400000002</v>
      </c>
      <c r="AB9" s="8">
        <f>Table1[[#This Row],[Percentage of ITS and business users]]*Table1[[#This Row],[SLA CU per hour]]*Table1[[#This Row],[Failures per year]]*Table1[[#This Row],[Total Time to Repair(h)]]</f>
        <v>76.643143372800012</v>
      </c>
    </row>
    <row r="10" spans="1:28" x14ac:dyDescent="0.25">
      <c r="A10" s="16" t="s">
        <v>13</v>
      </c>
      <c r="B10" s="17" t="s">
        <v>77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3.0000000000000001E-3</v>
      </c>
      <c r="O10" s="8">
        <f>Table1[[#This Row],[Yearly Energy Consumption in kWh]]*Table1[[#This Row],[CU/kWh]]</f>
        <v>617.58000000000004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  <c r="X10">
        <v>2</v>
      </c>
      <c r="Y10" s="8">
        <v>7.0000000000000007E-2</v>
      </c>
      <c r="Z10" s="8">
        <v>7.0540000000000005E-2</v>
      </c>
      <c r="AA10" s="8">
        <f>Table1[[#This Row],[Percentage of Business Users]]*Table1[[#This Row],[SLA CU per hour]]*Table1[[#This Row],[Failures per year]]*Table1[[#This Row],[Total Time to Repair(h)]]</f>
        <v>9.7719552000000007</v>
      </c>
      <c r="AB10" s="8">
        <f>Table1[[#This Row],[Percentage of ITS and business users]]*Table1[[#This Row],[SLA CU per hour]]*Table1[[#This Row],[Failures per year]]*Table1[[#This Row],[Total Time to Repair(h)]]</f>
        <v>9.8473388544000002</v>
      </c>
    </row>
    <row r="11" spans="1:28" x14ac:dyDescent="0.25">
      <c r="B11" s="36"/>
      <c r="C11" s="37"/>
      <c r="D11" s="37"/>
      <c r="E11" s="22"/>
      <c r="F11" s="22"/>
      <c r="G11" s="22"/>
      <c r="H11" s="22">
        <f>SUBTOTAL(109,Table1[Total Rent cost per year])</f>
        <v>3869</v>
      </c>
      <c r="I11" s="22"/>
      <c r="J11" s="22"/>
      <c r="K11" s="22"/>
      <c r="L11" s="22"/>
      <c r="M11" s="22"/>
      <c r="N11" s="22"/>
      <c r="O11" s="22">
        <f>SUBTOTAL(109,Table1[Energy Cost per year in CU])</f>
        <v>7318.8486000000003</v>
      </c>
      <c r="P11" s="22"/>
      <c r="Q11" s="22"/>
      <c r="R11" s="22"/>
      <c r="S11" s="22"/>
      <c r="T11" s="22"/>
      <c r="U11" s="22"/>
      <c r="V11" s="22"/>
      <c r="W11" s="22">
        <f>SUM(Table1[FM Cost])</f>
        <v>2332.9890139680001</v>
      </c>
      <c r="X11" s="22"/>
      <c r="Y11" s="22"/>
      <c r="Z11" s="22"/>
      <c r="AA11" s="22">
        <f>SUBTOTAL(109,Table1[FM Penalty Business])</f>
        <v>85.952226830400008</v>
      </c>
      <c r="AB11" s="22">
        <f>SUBTOTAL(109,Table1[FM Penalty ITS])</f>
        <v>86.615286865948804</v>
      </c>
    </row>
    <row r="13" spans="1:28" x14ac:dyDescent="0.25">
      <c r="M13" t="s">
        <v>69</v>
      </c>
    </row>
    <row r="14" spans="1:28" x14ac:dyDescent="0.25">
      <c r="M14">
        <f>Table1[[#Totals],[Total Rent cost per year]]+Table1[[#Totals],[Energy Cost per year in CU]]+Table1[[#Totals],[FM Cost]]+J20</f>
        <v>13858.811542565714</v>
      </c>
    </row>
    <row r="17" spans="1:15" x14ac:dyDescent="0.25">
      <c r="A17" s="8" t="s">
        <v>39</v>
      </c>
      <c r="B17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111</v>
      </c>
      <c r="L17" s="8" t="s">
        <v>117</v>
      </c>
      <c r="M17" s="8" t="s">
        <v>118</v>
      </c>
      <c r="N17" s="8" t="s">
        <v>119</v>
      </c>
      <c r="O17" s="8" t="s">
        <v>120</v>
      </c>
    </row>
    <row r="18" spans="1:15" x14ac:dyDescent="0.25">
      <c r="A18" t="s">
        <v>41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  <c r="K18" s="8">
        <v>2</v>
      </c>
      <c r="L18">
        <v>7.0000000000000007E-2</v>
      </c>
      <c r="M18">
        <v>7.0540000000000005E-2</v>
      </c>
      <c r="N18">
        <f>L18*K18*I18*C18*24*365/1000000000</f>
        <v>1.2234347634946949</v>
      </c>
      <c r="O18">
        <f>M18*K18*I18*C18*24*365/1000000000</f>
        <v>1.2328726888130825</v>
      </c>
    </row>
    <row r="19" spans="1:15" x14ac:dyDescent="0.25">
      <c r="A19" t="s">
        <v>62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  <c r="K19" s="8">
        <v>2</v>
      </c>
      <c r="L19" s="8">
        <v>7.0000000000000007E-2</v>
      </c>
      <c r="M19" s="8">
        <v>7.0540000000000005E-2</v>
      </c>
      <c r="N19" s="8">
        <f>L19*K19*I19*C19*24*365/1000000000</f>
        <v>11.22823629010526</v>
      </c>
      <c r="O19" s="8">
        <f>M19*K19*I19*C19*24*365/1000000000</f>
        <v>11.314854112914642</v>
      </c>
    </row>
    <row r="20" spans="1:15" x14ac:dyDescent="0.25">
      <c r="J20">
        <f>SUM(J18:J19)</f>
        <v>337.97392859771304</v>
      </c>
      <c r="K20" s="8"/>
      <c r="L20" s="8"/>
    </row>
    <row r="33" spans="13:16" x14ac:dyDescent="0.25">
      <c r="M33" s="8" t="s">
        <v>91</v>
      </c>
      <c r="N33" s="8" t="s">
        <v>112</v>
      </c>
      <c r="O33" t="s">
        <v>113</v>
      </c>
      <c r="P33" t="s">
        <v>121</v>
      </c>
    </row>
    <row r="34" spans="13:16" x14ac:dyDescent="0.25">
      <c r="M34" s="8" t="s">
        <v>92</v>
      </c>
      <c r="N34" s="8">
        <f>Table1[[#Totals],[Total Rent cost per year]]</f>
        <v>3869</v>
      </c>
      <c r="O34" s="8">
        <f>Table1[[#Totals],[Total Rent cost per year]]</f>
        <v>3869</v>
      </c>
      <c r="P34" s="8">
        <f>Table1[[#Totals],[Total Rent cost per year]]</f>
        <v>3869</v>
      </c>
    </row>
    <row r="35" spans="13:16" x14ac:dyDescent="0.25">
      <c r="M35" s="8" t="s">
        <v>93</v>
      </c>
      <c r="N35" s="8">
        <f>Table1[[#Totals],[Energy Cost per year in CU]]</f>
        <v>7318.8486000000003</v>
      </c>
      <c r="O35" s="8">
        <f>Table1[[#Totals],[Energy Cost per year in CU]]</f>
        <v>7318.8486000000003</v>
      </c>
      <c r="P35" s="8">
        <f>Table1[[#Totals],[Energy Cost per year in CU]]</f>
        <v>7318.8486000000003</v>
      </c>
    </row>
    <row r="36" spans="13:16" x14ac:dyDescent="0.25">
      <c r="M36" s="8" t="s">
        <v>94</v>
      </c>
      <c r="N36" s="8">
        <f>Table1[[#Totals],[FM Cost]]+J20</f>
        <v>2670.9629425657131</v>
      </c>
      <c r="O36" s="8">
        <f>Table1[[#Totals],[FM Cost]]+$J$20+N18+N19+Table1[[#Totals],[FM Penalty Business]]</f>
        <v>2769.366840449713</v>
      </c>
      <c r="P36" s="8">
        <f>Table1[[#Totals],[FM Cost]]+$J$20+O18+O19+Table1[[#Totals],[FM Penalty ITS]]</f>
        <v>2770.1259562333894</v>
      </c>
    </row>
    <row r="37" spans="13:16" x14ac:dyDescent="0.25">
      <c r="M37" s="8" t="s">
        <v>95</v>
      </c>
      <c r="N37" s="8">
        <f>0.05*SUM(N34:N36)</f>
        <v>692.94057712828578</v>
      </c>
      <c r="O37" s="8">
        <f>0.05*SUM(O34:O36)</f>
        <v>697.86077202248578</v>
      </c>
      <c r="P37" s="8">
        <f>0.05*SUM(P34:P36)</f>
        <v>697.89872781166957</v>
      </c>
    </row>
    <row r="38" spans="13:16" x14ac:dyDescent="0.25">
      <c r="M38" s="8" t="s">
        <v>96</v>
      </c>
      <c r="N38" s="8">
        <f>0.07*SUM(N34:N36)</f>
        <v>970.11680797960014</v>
      </c>
      <c r="O38" s="8">
        <f>0.07*SUM(O34:O36)</f>
        <v>977.00508083148009</v>
      </c>
      <c r="P38" s="8">
        <f>0.07*SUM(P34:P36)</f>
        <v>977.05821893633743</v>
      </c>
    </row>
    <row r="39" spans="13:16" x14ac:dyDescent="0.25">
      <c r="M39" s="8"/>
      <c r="N39" s="28">
        <f>SUM(N34:N38)</f>
        <v>15521.8689276736</v>
      </c>
      <c r="O39" s="28">
        <f>SUM(O34:O38)</f>
        <v>15632.081293303681</v>
      </c>
      <c r="P39" s="28">
        <f>SUM(P34:P38)</f>
        <v>15632.931502981397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N2" sqref="N2:N10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s="10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t="s">
        <v>3</v>
      </c>
      <c r="B2" s="24" t="s">
        <v>70</v>
      </c>
      <c r="C2">
        <v>16</v>
      </c>
      <c r="D2" s="23">
        <f>3*7</f>
        <v>21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0.15/50</f>
        <v>3.0000000000000001E-3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4.7093759999999998E-2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0.35791257599999998</v>
      </c>
      <c r="X2" s="8">
        <v>2</v>
      </c>
      <c r="Y2" s="8">
        <v>7.0000000000000007E-2</v>
      </c>
      <c r="Z2" s="8">
        <v>7.0540000000000005E-2</v>
      </c>
      <c r="AA2" s="8">
        <f>Table4[[#This Row],[Percentage of Business Users]]*Table4[[#This Row],[SLA CU per hour]]*Table4[[#This Row],[Failures per year]]*Table4[[#This Row],[Total Time to Repair(h)]]</f>
        <v>1.3186252800000001E-2</v>
      </c>
      <c r="AB2" s="8">
        <f>Table4[[#This Row],[Percentage of ITS and business users]]*Table4[[#This Row],[SLA CU per hour]]*Table4[[#This Row],[Failures per year]]*Table4[[#This Row],[Total Time to Repair(h)]]</f>
        <v>1.3287975321600001E-2</v>
      </c>
    </row>
    <row r="3" spans="1:28" x14ac:dyDescent="0.25">
      <c r="A3" t="s">
        <v>3</v>
      </c>
      <c r="B3" s="24" t="s">
        <v>71</v>
      </c>
      <c r="C3">
        <v>8.8000000000000007</v>
      </c>
      <c r="D3" s="23">
        <f>65*7</f>
        <v>455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76.333333333333329</v>
      </c>
      <c r="J3" s="8">
        <v>2</v>
      </c>
      <c r="K3" s="8">
        <v>50</v>
      </c>
      <c r="L3" s="8">
        <f>5*80*Table4[[#This Row],[Quantity]]</f>
        <v>182000</v>
      </c>
      <c r="M3" s="8">
        <f>Table4[[#This Row],[Energy consumption in W]]*24*365/1000</f>
        <v>1594320</v>
      </c>
      <c r="N3" s="8">
        <f t="shared" ref="N3:N10" si="1">0.15/50</f>
        <v>3.0000000000000001E-3</v>
      </c>
      <c r="O3" s="8">
        <f>Table4[[#This Row],[Yearly Energy Consumption in kWh]]*Table1[[#This Row],[CU/kWh]]</f>
        <v>4782.96</v>
      </c>
      <c r="P3" s="8">
        <v>0</v>
      </c>
      <c r="Q3" s="8">
        <v>20</v>
      </c>
      <c r="R3" s="8">
        <f>Table4[[#This Row],[Quantity]]*Table4[[#This Row],[FIT]]*24*365/1000000000</f>
        <v>0.19928999999999999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1.5146039999999998</v>
      </c>
      <c r="X3" s="8">
        <v>2</v>
      </c>
      <c r="Y3" s="8">
        <v>7.0000000000000007E-2</v>
      </c>
      <c r="Z3" s="8">
        <v>7.0540000000000005E-2</v>
      </c>
      <c r="AA3" s="8">
        <f>Table4[[#This Row],[Percentage of Business Users]]*Table4[[#This Row],[SLA CU per hour]]*Table4[[#This Row],[Failures per year]]*Table4[[#This Row],[Total Time to Repair(h)]]</f>
        <v>5.5801200000000002E-2</v>
      </c>
      <c r="AB3" s="8">
        <f>Table4[[#This Row],[Percentage of ITS and business users]]*Table4[[#This Row],[SLA CU per hour]]*Table4[[#This Row],[Failures per year]]*Table4[[#This Row],[Total Time to Repair(h)]]</f>
        <v>5.6231666400000005E-2</v>
      </c>
    </row>
    <row r="4" spans="1:28" x14ac:dyDescent="0.25">
      <c r="A4" t="s">
        <v>3</v>
      </c>
      <c r="B4" s="24" t="s">
        <v>72</v>
      </c>
      <c r="C4">
        <v>63</v>
      </c>
      <c r="D4" s="23">
        <f>65*7</f>
        <v>455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76.333333333333329</v>
      </c>
      <c r="J4" s="8">
        <v>2</v>
      </c>
      <c r="K4" s="8">
        <v>50</v>
      </c>
      <c r="L4" s="8">
        <f>48*D4</f>
        <v>21840</v>
      </c>
      <c r="M4" s="8">
        <f>Table4[[#This Row],[Energy consumption in W]]*24*365/1000</f>
        <v>191318.39999999999</v>
      </c>
      <c r="N4" s="8">
        <f t="shared" si="1"/>
        <v>3.0000000000000001E-3</v>
      </c>
      <c r="O4" s="8">
        <f>Table4[[#This Row],[Yearly Energy Consumption in kWh]]*Table1[[#This Row],[CU/kWh]]</f>
        <v>573.95519999999999</v>
      </c>
      <c r="P4" s="8">
        <v>0</v>
      </c>
      <c r="Q4" s="8">
        <v>20</v>
      </c>
      <c r="R4" s="8">
        <f>Table4[[#This Row],[Quantity]]*Table4[[#This Row],[FIT]]*24*365/1000000000</f>
        <v>0.19928999999999999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1.5146039999999998</v>
      </c>
      <c r="X4" s="8">
        <v>2</v>
      </c>
      <c r="Y4" s="8">
        <v>7.0000000000000007E-2</v>
      </c>
      <c r="Z4" s="8">
        <v>7.0540000000000005E-2</v>
      </c>
      <c r="AA4" s="8">
        <f>Table4[[#This Row],[Percentage of Business Users]]*Table4[[#This Row],[SLA CU per hour]]*Table4[[#This Row],[Failures per year]]*Table4[[#This Row],[Total Time to Repair(h)]]</f>
        <v>5.5801200000000002E-2</v>
      </c>
      <c r="AB4" s="8">
        <f>Table4[[#This Row],[Percentage of ITS and business users]]*Table4[[#This Row],[SLA CU per hour]]*Table4[[#This Row],[Failures per year]]*Table4[[#This Row],[Total Time to Repair(h)]]</f>
        <v>5.6231666400000005E-2</v>
      </c>
    </row>
    <row r="5" spans="1:28" x14ac:dyDescent="0.25">
      <c r="A5" t="s">
        <v>3</v>
      </c>
      <c r="B5" s="24" t="s">
        <v>73</v>
      </c>
      <c r="C5">
        <v>2.2999999999999998</v>
      </c>
      <c r="D5" s="23">
        <f>65*7</f>
        <v>455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76.333333333333329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3.0000000000000001E-3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0.19928999999999999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1.5146039999999998</v>
      </c>
      <c r="X5" s="8">
        <v>2</v>
      </c>
      <c r="Y5" s="8">
        <v>7.0000000000000007E-2</v>
      </c>
      <c r="Z5" s="8">
        <v>7.0540000000000005E-2</v>
      </c>
      <c r="AA5" s="8">
        <f>Table4[[#This Row],[Percentage of Business Users]]*Table4[[#This Row],[SLA CU per hour]]*Table4[[#This Row],[Failures per year]]*Table4[[#This Row],[Total Time to Repair(h)]]</f>
        <v>5.5801200000000002E-2</v>
      </c>
      <c r="AB5" s="8">
        <f>Table4[[#This Row],[Percentage of ITS and business users]]*Table4[[#This Row],[SLA CU per hour]]*Table4[[#This Row],[Failures per year]]*Table4[[#This Row],[Total Time to Repair(h)]]</f>
        <v>5.6231666400000005E-2</v>
      </c>
    </row>
    <row r="6" spans="1:28" x14ac:dyDescent="0.25">
      <c r="A6" t="s">
        <v>3</v>
      </c>
      <c r="B6" s="24" t="s">
        <v>74</v>
      </c>
      <c r="C6">
        <v>2.2222222222222223E-2</v>
      </c>
      <c r="D6" s="23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3.0000000000000001E-3</v>
      </c>
      <c r="O6" s="8">
        <f>Table4[[#This Row],[Yearly Energy Consumption in kWh]]*Table1[[#This Row],[CU/kWh]]</f>
        <v>81.993600000000001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  <c r="X6" s="8">
        <v>2</v>
      </c>
      <c r="Y6" s="8">
        <v>7.0000000000000007E-2</v>
      </c>
      <c r="Z6" s="8">
        <v>7.0540000000000005E-2</v>
      </c>
      <c r="AA6" s="8">
        <f>Table4[[#This Row],[Percentage of Business Users]]*Table4[[#This Row],[SLA CU per hour]]*Table4[[#This Row],[Failures per year]]*Table4[[#This Row],[Total Time to Repair(h)]]</f>
        <v>0</v>
      </c>
      <c r="AB6" s="8">
        <f>Table4[[#This Row],[Percentage of ITS and business users]]*Table4[[#This Row],[SLA CU per hour]]*Table4[[#This Row],[Failures per year]]*Table4[[#This Row],[Total Time to Repair(h)]]</f>
        <v>0</v>
      </c>
    </row>
    <row r="7" spans="1:28" x14ac:dyDescent="0.25">
      <c r="A7" t="s">
        <v>3</v>
      </c>
      <c r="B7" s="24" t="s">
        <v>75</v>
      </c>
      <c r="C7">
        <v>400</v>
      </c>
      <c r="D7" s="23">
        <v>6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1.5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3.0000000000000001E-3</v>
      </c>
      <c r="O7" s="8">
        <f>Table4[[#This Row],[Yearly Energy Consumption in kWh]]*Table1[[#This Row],[CU/kWh]]</f>
        <v>1.3140000000000001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  <c r="X7" s="8">
        <v>2</v>
      </c>
      <c r="Y7" s="8">
        <v>7.0000000000000007E-2</v>
      </c>
      <c r="Z7" s="8">
        <v>7.0540000000000005E-2</v>
      </c>
      <c r="AA7" s="8">
        <f>Table4[[#This Row],[Percentage of Business Users]]*Table4[[#This Row],[SLA CU per hour]]*Table4[[#This Row],[Failures per year]]*Table4[[#This Row],[Total Time to Repair(h)]]</f>
        <v>0</v>
      </c>
      <c r="AB7" s="8">
        <f>Table4[[#This Row],[Percentage of ITS and business users]]*Table4[[#This Row],[SLA CU per hour]]*Table4[[#This Row],[Failures per year]]*Table4[[#This Row],[Total Time to Repair(h)]]</f>
        <v>0</v>
      </c>
    </row>
    <row r="8" spans="1:28" x14ac:dyDescent="0.25">
      <c r="A8" t="s">
        <v>8</v>
      </c>
      <c r="B8" s="24" t="s">
        <v>76</v>
      </c>
      <c r="C8">
        <v>24</v>
      </c>
      <c r="D8" s="23">
        <f>65*7</f>
        <v>455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76.333333333333329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3.0000000000000001E-3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0.79715999999999998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18.6296292</v>
      </c>
      <c r="X8" s="8">
        <v>2</v>
      </c>
      <c r="Y8" s="8">
        <v>7.0000000000000007E-2</v>
      </c>
      <c r="Z8" s="8">
        <v>7.0540000000000005E-2</v>
      </c>
      <c r="AA8" s="8">
        <f>Table4[[#This Row],[Percentage of Business Users]]*Table4[[#This Row],[SLA CU per hour]]*Table4[[#This Row],[Failures per year]]*Table4[[#This Row],[Total Time to Repair(h)]]</f>
        <v>0.68635476000000006</v>
      </c>
      <c r="AB8" s="8">
        <f>Table4[[#This Row],[Percentage of ITS and business users]]*Table4[[#This Row],[SLA CU per hour]]*Table4[[#This Row],[Failures per year]]*Table4[[#This Row],[Total Time to Repair(h)]]</f>
        <v>0.69164949672000009</v>
      </c>
    </row>
    <row r="9" spans="1:28" x14ac:dyDescent="0.25">
      <c r="A9" t="s">
        <v>13</v>
      </c>
      <c r="B9" s="24" t="s">
        <v>78</v>
      </c>
      <c r="C9">
        <v>1.8</v>
      </c>
      <c r="D9" s="23">
        <v>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0.5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3.0000000000000001E-3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0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0</v>
      </c>
      <c r="X9" s="8">
        <v>2</v>
      </c>
      <c r="Y9" s="8">
        <v>7.0000000000000007E-2</v>
      </c>
      <c r="Z9" s="8">
        <v>7.0540000000000005E-2</v>
      </c>
      <c r="AA9" s="8">
        <f>Table4[[#This Row],[Percentage of Business Users]]*Table4[[#This Row],[SLA CU per hour]]*Table4[[#This Row],[Failures per year]]*Table4[[#This Row],[Total Time to Repair(h)]]</f>
        <v>0</v>
      </c>
      <c r="AB9" s="8">
        <f>Table4[[#This Row],[Percentage of ITS and business users]]*Table4[[#This Row],[SLA CU per hour]]*Table4[[#This Row],[Failures per year]]*Table4[[#This Row],[Total Time to Repair(h)]]</f>
        <v>0</v>
      </c>
    </row>
    <row r="10" spans="1:28" x14ac:dyDescent="0.25">
      <c r="A10" t="s">
        <v>13</v>
      </c>
      <c r="B10" s="24" t="s">
        <v>79</v>
      </c>
      <c r="C10">
        <v>1.86</v>
      </c>
      <c r="D10" s="23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3.0000000000000001E-3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  <c r="X10" s="8">
        <v>2</v>
      </c>
      <c r="Y10" s="8">
        <v>7.0000000000000007E-2</v>
      </c>
      <c r="Z10" s="8">
        <v>7.0540000000000005E-2</v>
      </c>
      <c r="AA10" s="8">
        <f>Table4[[#This Row],[Percentage of Business Users]]*Table4[[#This Row],[SLA CU per hour]]*Table4[[#This Row],[Failures per year]]*Table4[[#This Row],[Total Time to Repair(h)]]</f>
        <v>58.631731199999997</v>
      </c>
      <c r="AB10" s="8">
        <f>Table4[[#This Row],[Percentage of ITS and business users]]*Table4[[#This Row],[SLA CU per hour]]*Table4[[#This Row],[Failures per year]]*Table4[[#This Row],[Total Time to Repair(h)]]</f>
        <v>59.084033126399994</v>
      </c>
    </row>
    <row r="11" spans="1:28" x14ac:dyDescent="0.25">
      <c r="H11">
        <f>SUBTOTAL(109,Table4[Total Rent cost per year])</f>
        <v>3869</v>
      </c>
      <c r="O11">
        <f>SUBTOTAL(109,Table4[Energy Cost per year in CU])</f>
        <v>5440.2228000000005</v>
      </c>
      <c r="W11">
        <f>SUM(Table4[FM Cost])</f>
        <v>1614.9640577759997</v>
      </c>
      <c r="AA11">
        <f>SUBTOTAL(109,Table4[FM Penalty Business])</f>
        <v>59.498675812799995</v>
      </c>
      <c r="AB11">
        <f>SUBTOTAL(109,Table4[FM Penalty ITS])</f>
        <v>59.957665597641594</v>
      </c>
    </row>
    <row r="13" spans="1:28" x14ac:dyDescent="0.25">
      <c r="Q13" t="s">
        <v>69</v>
      </c>
    </row>
    <row r="14" spans="1:28" x14ac:dyDescent="0.25">
      <c r="Q14">
        <f>Table4[[#Totals],[Total Rent cost per year]]+Table4[[#Totals],[Energy Cost per year in CU]]+Table4[[#Totals],[FM Cost]]+J18</f>
        <v>11539.942488773713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K15" s="8" t="s">
        <v>111</v>
      </c>
      <c r="L15" s="8" t="s">
        <v>117</v>
      </c>
      <c r="M15" s="8" t="s">
        <v>118</v>
      </c>
      <c r="N15" s="8" t="s">
        <v>119</v>
      </c>
      <c r="O15" s="8" t="s">
        <v>120</v>
      </c>
    </row>
    <row r="16" spans="1:28" x14ac:dyDescent="0.25">
      <c r="A16" s="8" t="s">
        <v>41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K16" s="8">
        <v>2</v>
      </c>
      <c r="L16" s="8">
        <v>7.0000000000000007E-2</v>
      </c>
      <c r="M16" s="8">
        <v>7.0540000000000005E-2</v>
      </c>
      <c r="N16" s="8">
        <f>L16*K16*I16*C16*24*365/1000000000</f>
        <v>1.2234347634946949</v>
      </c>
      <c r="O16" s="8">
        <f>M16*K16*I16*C16*24*365/1000000000</f>
        <v>1.2328726888130825</v>
      </c>
    </row>
    <row r="17" spans="1:16" x14ac:dyDescent="0.25">
      <c r="A17" s="8" t="s">
        <v>62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  <c r="K17" s="8">
        <v>2</v>
      </c>
      <c r="L17" s="8">
        <v>7.0000000000000007E-2</v>
      </c>
      <c r="M17" s="8">
        <v>7.0540000000000005E-2</v>
      </c>
      <c r="N17" s="8">
        <f>L17*K17*I17*C17*24*365/1000000000</f>
        <v>21.462299010105255</v>
      </c>
      <c r="O17" s="8">
        <f>M17*K17*I17*C17*24*365/1000000000</f>
        <v>21.627865316754644</v>
      </c>
    </row>
    <row r="18" spans="1:16" x14ac:dyDescent="0.25">
      <c r="J18">
        <f>SUM(J16:J17)</f>
        <v>615.75563099771284</v>
      </c>
    </row>
    <row r="20" spans="1:16" x14ac:dyDescent="0.25">
      <c r="M20" s="8" t="s">
        <v>91</v>
      </c>
      <c r="N20" s="8" t="s">
        <v>112</v>
      </c>
      <c r="O20" t="s">
        <v>113</v>
      </c>
      <c r="P20" t="s">
        <v>121</v>
      </c>
    </row>
    <row r="21" spans="1:16" x14ac:dyDescent="0.25">
      <c r="M21" s="8" t="s">
        <v>92</v>
      </c>
      <c r="N21" s="8">
        <f>Table4[[#Totals],[Total Rent cost per year]]</f>
        <v>3869</v>
      </c>
      <c r="O21" s="8">
        <f>Table4[[#Totals],[Total Rent cost per year]]</f>
        <v>3869</v>
      </c>
      <c r="P21" s="8">
        <f>Table4[[#Totals],[Total Rent cost per year]]</f>
        <v>3869</v>
      </c>
    </row>
    <row r="22" spans="1:16" x14ac:dyDescent="0.25">
      <c r="M22" s="8" t="s">
        <v>93</v>
      </c>
      <c r="N22" s="8">
        <f>Table4[[#Totals],[Energy Cost per year in CU]]</f>
        <v>5440.2228000000005</v>
      </c>
      <c r="O22" s="8">
        <f>Table4[[#Totals],[Energy Cost per year in CU]]</f>
        <v>5440.2228000000005</v>
      </c>
      <c r="P22" s="8">
        <f>Table4[[#Totals],[Energy Cost per year in CU]]</f>
        <v>5440.2228000000005</v>
      </c>
    </row>
    <row r="23" spans="1:16" x14ac:dyDescent="0.25">
      <c r="M23" s="8" t="s">
        <v>94</v>
      </c>
      <c r="N23" s="8">
        <f>Table4[[#Totals],[FM Cost]]+J18</f>
        <v>2230.7196887737127</v>
      </c>
      <c r="O23" s="8">
        <f>Table4[[#Totals],[FM Cost]]+$J$18+N16+N17+Table4[[#Totals],[FM Penalty Business]]</f>
        <v>2312.9040983601126</v>
      </c>
      <c r="P23" s="8">
        <f>Table4[[#Totals],[FM Cost]]+$J$18+O16+O17+Table4[[#Totals],[FM Penalty ITS]]</f>
        <v>2313.5380923769221</v>
      </c>
    </row>
    <row r="24" spans="1:16" x14ac:dyDescent="0.25">
      <c r="M24" s="8" t="s">
        <v>95</v>
      </c>
      <c r="N24" s="8">
        <f>0.05*SUM(N21:N23)</f>
        <v>576.99712443868555</v>
      </c>
      <c r="O24" s="8">
        <f>0.05*SUM(O21:O23)</f>
        <v>581.10634491800556</v>
      </c>
      <c r="P24" s="8">
        <f>0.05*SUM(P21:P23)</f>
        <v>581.13804461884615</v>
      </c>
    </row>
    <row r="25" spans="1:16" x14ac:dyDescent="0.25">
      <c r="M25" s="8" t="s">
        <v>96</v>
      </c>
      <c r="N25" s="8">
        <f>0.07*SUM(N21:N23)</f>
        <v>807.79597421415986</v>
      </c>
      <c r="O25" s="8">
        <f>0.07*SUM(O21:O23)</f>
        <v>813.54888288520783</v>
      </c>
      <c r="P25" s="8">
        <f>0.07*SUM(P21:P23)</f>
        <v>813.59326246638466</v>
      </c>
    </row>
    <row r="26" spans="1:16" x14ac:dyDescent="0.25">
      <c r="M26" s="8"/>
      <c r="N26" s="28">
        <f>SUM(N21:N25)</f>
        <v>12924.735587426556</v>
      </c>
      <c r="O26" s="28">
        <f>SUM(O21:O25)</f>
        <v>13016.782126163325</v>
      </c>
      <c r="P26" s="28">
        <f>SUM(P21:P25)</f>
        <v>13017.492199462155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D1" workbookViewId="0">
      <selection activeCell="N2" sqref="N2:N10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21.42578125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24" t="s">
        <v>58</v>
      </c>
      <c r="C2" s="8">
        <v>80</v>
      </c>
      <c r="D2" s="23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0.15/50</f>
        <v>3.0000000000000001E-3</v>
      </c>
      <c r="O2" s="8">
        <f>Table36[[#This Row],[Yearly Energy Consumption in kWh]]*Table36[[#This Row],[CU/kWh]]</f>
        <v>283.82400000000001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  <c r="X2" s="8">
        <v>2</v>
      </c>
      <c r="Y2" s="8">
        <v>7.0000000000000007E-2</v>
      </c>
      <c r="Z2" s="8">
        <v>7.0540000000000005E-2</v>
      </c>
      <c r="AA2" s="8">
        <f>Table36[[#This Row],[Percentage of Business Users]]*Table36[[#This Row],[SLA CU per hour]]*Table36[[#This Row],[Failures per year]]*Table36[[#This Row],[Total Time to Repair(h)]]</f>
        <v>6.7815014399999998E-2</v>
      </c>
      <c r="AB2" s="8">
        <f>Table36[[#This Row],[Percentage of ITS and business users]]*Table36[[#This Row],[SLA CU per hour]]*Table36[[#This Row],[Failures per year]]*Table36[[#This Row],[Total Time to Repair(h)]]</f>
        <v>6.8338158796799997E-2</v>
      </c>
    </row>
    <row r="3" spans="1:28" x14ac:dyDescent="0.25">
      <c r="A3" s="8" t="s">
        <v>3</v>
      </c>
      <c r="B3" s="24" t="s">
        <v>59</v>
      </c>
      <c r="C3" s="8">
        <v>12</v>
      </c>
      <c r="D3" s="23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0.15/50</f>
        <v>3.0000000000000001E-3</v>
      </c>
      <c r="O3" s="8">
        <f>Table36[[#This Row],[Yearly Energy Consumption in kWh]]*Table36[[#This Row],[CU/kWh]]</f>
        <v>819.93600000000004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  <c r="X3" s="8">
        <v>2</v>
      </c>
      <c r="Y3" s="8">
        <v>7.0000000000000007E-2</v>
      </c>
      <c r="Z3" s="8">
        <v>7.0540000000000005E-2</v>
      </c>
      <c r="AA3" s="8">
        <f>Table36[[#This Row],[Percentage of Business Users]]*Table36[[#This Row],[SLA CU per hour]]*Table36[[#This Row],[Failures per year]]*Table36[[#This Row],[Total Time to Repair(h)]]</f>
        <v>0</v>
      </c>
      <c r="AB3" s="8">
        <f>Table36[[#This Row],[Percentage of ITS and business users]]*Table36[[#This Row],[SLA CU per hour]]*Table36[[#This Row],[Failures per year]]*Table36[[#This Row],[Total Time to Repair(h)]]</f>
        <v>0</v>
      </c>
    </row>
    <row r="4" spans="1:28" x14ac:dyDescent="0.25">
      <c r="A4" s="8" t="s">
        <v>3</v>
      </c>
      <c r="B4" s="24" t="s">
        <v>6</v>
      </c>
      <c r="C4" s="8">
        <v>1.1111111E-2</v>
      </c>
      <c r="D4" s="23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3.0000000000000001E-3</v>
      </c>
      <c r="O4" s="8">
        <f>Table36[[#This Row],[Yearly Energy Consumption in kWh]]*Table36[[#This Row],[CU/kWh]]</f>
        <v>81.993600000000001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  <c r="X4" s="8">
        <v>2</v>
      </c>
      <c r="Y4" s="8">
        <v>7.0000000000000007E-2</v>
      </c>
      <c r="Z4" s="8">
        <v>7.0540000000000005E-2</v>
      </c>
      <c r="AA4" s="8">
        <f>Table36[[#This Row],[Percentage of Business Users]]*Table36[[#This Row],[SLA CU per hour]]*Table36[[#This Row],[Failures per year]]*Table36[[#This Row],[Total Time to Repair(h)]]</f>
        <v>0</v>
      </c>
      <c r="AB4" s="8">
        <f>Table36[[#This Row],[Percentage of ITS and business users]]*Table36[[#This Row],[SLA CU per hour]]*Table36[[#This Row],[Failures per year]]*Table36[[#This Row],[Total Time to Repair(h)]]</f>
        <v>0</v>
      </c>
    </row>
    <row r="5" spans="1:28" x14ac:dyDescent="0.25">
      <c r="A5" s="8" t="s">
        <v>3</v>
      </c>
      <c r="B5" s="24" t="s">
        <v>7</v>
      </c>
      <c r="C5" s="8">
        <v>200</v>
      </c>
      <c r="D5" s="23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3.0000000000000001E-3</v>
      </c>
      <c r="O5" s="8">
        <f>Table36[[#This Row],[Yearly Energy Consumption in kWh]]*Table36[[#This Row],[CU/kWh]]</f>
        <v>2.6280000000000001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  <c r="X5" s="8">
        <v>2</v>
      </c>
      <c r="Y5" s="8">
        <v>7.0000000000000007E-2</v>
      </c>
      <c r="Z5" s="8">
        <v>7.0540000000000005E-2</v>
      </c>
      <c r="AA5" s="8">
        <f>Table36[[#This Row],[Percentage of Business Users]]*Table36[[#This Row],[SLA CU per hour]]*Table36[[#This Row],[Failures per year]]*Table36[[#This Row],[Total Time to Repair(h)]]</f>
        <v>0</v>
      </c>
      <c r="AB5" s="8">
        <f>Table36[[#This Row],[Percentage of ITS and business users]]*Table36[[#This Row],[SLA CU per hour]]*Table36[[#This Row],[Failures per year]]*Table36[[#This Row],[Total Time to Repair(h)]]</f>
        <v>0</v>
      </c>
    </row>
    <row r="6" spans="1:28" x14ac:dyDescent="0.25">
      <c r="A6" s="8" t="s">
        <v>8</v>
      </c>
      <c r="B6" s="24" t="s">
        <v>9</v>
      </c>
      <c r="C6" s="8">
        <v>1.8</v>
      </c>
      <c r="D6" s="23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3.0000000000000001E-3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  <c r="X6" s="8">
        <v>2</v>
      </c>
      <c r="Y6" s="8">
        <v>7.0000000000000007E-2</v>
      </c>
      <c r="Z6" s="8">
        <v>7.0540000000000005E-2</v>
      </c>
      <c r="AA6" s="8">
        <f>Table36[[#This Row],[Percentage of Business Users]]*Table36[[#This Row],[SLA CU per hour]]*Table36[[#This Row],[Failures per year]]*Table36[[#This Row],[Total Time to Repair(h)]]</f>
        <v>0.11766081600000002</v>
      </c>
      <c r="AB6" s="8">
        <f>Table36[[#This Row],[Percentage of ITS and business users]]*Table36[[#This Row],[SLA CU per hour]]*Table36[[#This Row],[Failures per year]]*Table36[[#This Row],[Total Time to Repair(h)]]</f>
        <v>0.11856848515200002</v>
      </c>
    </row>
    <row r="7" spans="1:28" x14ac:dyDescent="0.25">
      <c r="A7" s="8" t="s">
        <v>8</v>
      </c>
      <c r="B7" s="24" t="s">
        <v>59</v>
      </c>
      <c r="C7" s="8">
        <v>12</v>
      </c>
      <c r="D7" s="23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3.0000000000000001E-3</v>
      </c>
      <c r="O7" s="8">
        <f>Table36[[#This Row],[Yearly Energy Consumption in kWh]]*Table36[[#This Row],[CU/kWh]]</f>
        <v>36.897120000000001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  <c r="X7" s="8">
        <v>2</v>
      </c>
      <c r="Y7" s="8">
        <v>7.0000000000000007E-2</v>
      </c>
      <c r="Z7" s="8">
        <v>7.0540000000000005E-2</v>
      </c>
      <c r="AA7" s="8">
        <f>Table36[[#This Row],[Percentage of Business Users]]*Table36[[#This Row],[SLA CU per hour]]*Table36[[#This Row],[Failures per year]]*Table36[[#This Row],[Total Time to Repair(h)]]</f>
        <v>0</v>
      </c>
      <c r="AB7" s="8">
        <f>Table36[[#This Row],[Percentage of ITS and business users]]*Table36[[#This Row],[SLA CU per hour]]*Table36[[#This Row],[Failures per year]]*Table36[[#This Row],[Total Time to Repair(h)]]</f>
        <v>0</v>
      </c>
    </row>
    <row r="8" spans="1:28" x14ac:dyDescent="0.25">
      <c r="A8" s="8" t="s">
        <v>10</v>
      </c>
      <c r="B8" s="24" t="s">
        <v>9</v>
      </c>
      <c r="C8" s="8">
        <v>1.8</v>
      </c>
      <c r="D8" s="23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3.0000000000000001E-3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  <c r="X8" s="8">
        <v>2</v>
      </c>
      <c r="Y8" s="8">
        <v>7.0000000000000007E-2</v>
      </c>
      <c r="Z8" s="8">
        <v>7.0540000000000005E-2</v>
      </c>
      <c r="AA8" s="8">
        <f>Table36[[#This Row],[Percentage of Business Users]]*Table36[[#This Row],[SLA CU per hour]]*Table36[[#This Row],[Failures per year]]*Table36[[#This Row],[Total Time to Repair(h)]]</f>
        <v>0.46382447999999998</v>
      </c>
      <c r="AB8" s="8">
        <f>Table36[[#This Row],[Percentage of ITS and business users]]*Table36[[#This Row],[SLA CU per hour]]*Table36[[#This Row],[Failures per year]]*Table36[[#This Row],[Total Time to Repair(h)]]</f>
        <v>0.46740255456000002</v>
      </c>
    </row>
    <row r="9" spans="1:28" x14ac:dyDescent="0.25">
      <c r="A9" s="8" t="s">
        <v>13</v>
      </c>
      <c r="B9" s="24" t="s">
        <v>9</v>
      </c>
      <c r="C9" s="8">
        <v>10</v>
      </c>
      <c r="D9" s="23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3.0000000000000001E-3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  <c r="X9" s="8">
        <v>2</v>
      </c>
      <c r="Y9" s="8">
        <v>7.0000000000000007E-2</v>
      </c>
      <c r="Z9" s="8">
        <v>7.0540000000000005E-2</v>
      </c>
      <c r="AA9" s="8">
        <f>Table36[[#This Row],[Percentage of Business Users]]*Table36[[#This Row],[SLA CU per hour]]*Table36[[#This Row],[Failures per year]]*Table36[[#This Row],[Total Time to Repair(h)]]</f>
        <v>1.9085850000000002</v>
      </c>
      <c r="AB9" s="8">
        <f>Table36[[#This Row],[Percentage of ITS and business users]]*Table36[[#This Row],[SLA CU per hour]]*Table36[[#This Row],[Failures per year]]*Table36[[#This Row],[Total Time to Repair(h)]]</f>
        <v>1.9233083699999998</v>
      </c>
    </row>
    <row r="10" spans="1:28" x14ac:dyDescent="0.25">
      <c r="A10" s="8" t="s">
        <v>13</v>
      </c>
      <c r="B10" s="24" t="s">
        <v>61</v>
      </c>
      <c r="C10" s="8">
        <v>2.1</v>
      </c>
      <c r="D10" s="23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3.0000000000000001E-3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  <c r="X10" s="8">
        <v>2</v>
      </c>
      <c r="Y10" s="8">
        <v>7.0000000000000007E-2</v>
      </c>
      <c r="Z10" s="8">
        <v>7.0540000000000005E-2</v>
      </c>
      <c r="AA10" s="8">
        <f>Table36[[#This Row],[Percentage of Business Users]]*Table36[[#This Row],[SLA CU per hour]]*Table36[[#This Row],[Failures per year]]*Table36[[#This Row],[Total Time to Repair(h)]]</f>
        <v>58.631731199999997</v>
      </c>
      <c r="AB10" s="8">
        <f>Table36[[#This Row],[Percentage of ITS and business users]]*Table36[[#This Row],[SLA CU per hour]]*Table36[[#This Row],[Failures per year]]*Table36[[#This Row],[Total Time to Repair(h)]]</f>
        <v>59.084033126399994</v>
      </c>
    </row>
    <row r="11" spans="1:28" x14ac:dyDescent="0.25">
      <c r="H11" s="8">
        <f>SUM(Table36[Total Rent cost per year])</f>
        <v>5936</v>
      </c>
      <c r="O11" s="8">
        <f>SUBTOTAL(109,Table36[Energy Cost per year in CU])</f>
        <v>1225.27872</v>
      </c>
      <c r="W11" s="8">
        <f>SUBTOTAL(109,Table36[FM Cost])</f>
        <v>1660.8610195679996</v>
      </c>
      <c r="AA11" s="8">
        <f>SUBTOTAL(109,Table36[FM Penalty Business])</f>
        <v>61.1896165104</v>
      </c>
      <c r="AB11" s="8">
        <f>SUBTOTAL(109,Table36[FM Penalty ITS])</f>
        <v>61.661650694908793</v>
      </c>
    </row>
    <row r="14" spans="1:28" x14ac:dyDescent="0.2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  <c r="M14" s="8" t="s">
        <v>69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  <c r="M15" s="8">
        <f>Table36[[#Totals],[Total Rent cost per year]]+Table36[[#Totals],[Energy Cost per year in CU]]+Table36[[#Totals],[FM Cost]]+I23</f>
        <v>9395.2611904598398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9" x14ac:dyDescent="0.25">
      <c r="B17" s="9">
        <f>(384090.367674523+20*30000)/1000</f>
        <v>984.09036767452301</v>
      </c>
      <c r="C17" s="8">
        <v>570</v>
      </c>
      <c r="E17" s="8">
        <v>20</v>
      </c>
    </row>
    <row r="19" spans="1:19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  <c r="O19" s="8" t="s">
        <v>111</v>
      </c>
      <c r="P19" s="8" t="s">
        <v>117</v>
      </c>
      <c r="Q19" s="8" t="s">
        <v>118</v>
      </c>
      <c r="R19" s="8" t="s">
        <v>119</v>
      </c>
      <c r="S19" s="8" t="s">
        <v>120</v>
      </c>
    </row>
    <row r="20" spans="1:19" x14ac:dyDescent="0.25">
      <c r="A20" s="8" t="s">
        <v>41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  <c r="O20" s="8">
        <v>2</v>
      </c>
      <c r="P20" s="8">
        <v>7.0000000000000007E-2</v>
      </c>
      <c r="Q20" s="8">
        <v>7.0250000000000007E-2</v>
      </c>
      <c r="R20" s="8">
        <f>P20*O20*M20*G20*24*365/1000000000</f>
        <v>3.5342376347164477E-7</v>
      </c>
      <c r="S20" s="8">
        <f>Q20*O20*M20*G20*24*365/1000000000</f>
        <v>3.5468599119832914E-7</v>
      </c>
    </row>
    <row r="21" spans="1:19" x14ac:dyDescent="0.25">
      <c r="A21" s="8" t="s">
        <v>42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" si="4">K21*J21*H21*B21*24*365/1000000000</f>
        <v>1.4477981180328632</v>
      </c>
      <c r="N21" s="8">
        <f t="shared" ref="N21:N22" si="5">L21*J21*H21*B21*24*365/1000000000</f>
        <v>1.4529688255972659</v>
      </c>
      <c r="O21" s="8">
        <v>2</v>
      </c>
      <c r="P21" s="8">
        <v>7.0000000000000007E-2</v>
      </c>
      <c r="Q21" s="8">
        <v>7.0250000000000007E-2</v>
      </c>
      <c r="R21" s="8">
        <f t="shared" ref="R21:R22" si="6">P21*O21*M21*G21*24*365/1000000000</f>
        <v>3.5511592239110073E-7</v>
      </c>
      <c r="S21" s="8">
        <f t="shared" ref="S21:S22" si="7">Q21*O21*M21*G21*24*365/1000000000</f>
        <v>3.5638419354249753E-7</v>
      </c>
    </row>
    <row r="22" spans="1:19" x14ac:dyDescent="0.25">
      <c r="A22" s="8" t="s">
        <v>62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J22" s="8">
        <v>2</v>
      </c>
      <c r="K22" s="8">
        <v>7.0000000000000007E-2</v>
      </c>
      <c r="L22" s="8">
        <v>7.0250000000000007E-2</v>
      </c>
      <c r="M22" s="8">
        <f>K22*J22*H22*B22*24*365/1000000000</f>
        <v>16.785404241548214</v>
      </c>
      <c r="N22" s="8">
        <f t="shared" si="5"/>
        <v>16.845352113839461</v>
      </c>
      <c r="O22" s="8">
        <v>2</v>
      </c>
      <c r="P22" s="8">
        <v>7.0000000000000007E-2</v>
      </c>
      <c r="Q22" s="8">
        <v>7.0250000000000007E-2</v>
      </c>
      <c r="R22" s="8">
        <f t="shared" si="6"/>
        <v>8.2342479047338922E-6</v>
      </c>
      <c r="S22" s="8">
        <f t="shared" si="7"/>
        <v>8.2636559329650856E-6</v>
      </c>
    </row>
    <row r="23" spans="1:19" x14ac:dyDescent="0.25">
      <c r="I23" s="8">
        <f>SUM(I20:I22)</f>
        <v>573.12145089184014</v>
      </c>
    </row>
    <row r="32" spans="1:19" x14ac:dyDescent="0.25">
      <c r="B32" s="9"/>
      <c r="C32" s="9"/>
      <c r="D32" s="9"/>
    </row>
    <row r="35" spans="12:15" x14ac:dyDescent="0.25">
      <c r="L35" s="8" t="s">
        <v>91</v>
      </c>
      <c r="M35" s="8" t="s">
        <v>112</v>
      </c>
      <c r="N35" s="8" t="s">
        <v>113</v>
      </c>
      <c r="O35" s="8" t="s">
        <v>121</v>
      </c>
    </row>
    <row r="36" spans="12:15" x14ac:dyDescent="0.25">
      <c r="L36" s="8" t="s">
        <v>92</v>
      </c>
      <c r="M36" s="8">
        <f>Table36[[#Totals],[Total Rent cost per year]]</f>
        <v>5936</v>
      </c>
      <c r="N36" s="8">
        <f>Table36[[#Totals],[Total Rent cost per year]]</f>
        <v>5936</v>
      </c>
      <c r="O36" s="8">
        <f>Table36[[#Totals],[Total Rent cost per year]]</f>
        <v>5936</v>
      </c>
    </row>
    <row r="37" spans="12:15" x14ac:dyDescent="0.25">
      <c r="L37" s="8" t="s">
        <v>93</v>
      </c>
      <c r="M37" s="8">
        <f>Table36[[#Totals],[Energy Cost per year in CU]]</f>
        <v>1225.27872</v>
      </c>
      <c r="N37" s="8">
        <f>Table36[[#Totals],[Energy Cost per year in CU]]</f>
        <v>1225.27872</v>
      </c>
      <c r="O37" s="8">
        <f>Table36[[#Totals],[Energy Cost per year in CU]]</f>
        <v>1225.27872</v>
      </c>
    </row>
    <row r="38" spans="12:15" x14ac:dyDescent="0.25">
      <c r="L38" s="8" t="s">
        <v>94</v>
      </c>
      <c r="M38" s="8">
        <f>Table36[[#Totals],[FM Cost]]+I23</f>
        <v>2233.9824704598395</v>
      </c>
      <c r="N38" s="8">
        <f>Table36[[#Totals],[FM Cost]]+$I$23+M20+M21+M22+Table36[[#Totals],[FM Penalty Business]]</f>
        <v>2316.2870877925707</v>
      </c>
      <c r="O38" s="8">
        <f>Table36[[#Totals],[FM Cost]]+$I$23+N20+N21+N22+Table36[[#Totals],[FM Penalty ITS]]</f>
        <v>2316.8345326943017</v>
      </c>
    </row>
    <row r="39" spans="12:15" x14ac:dyDescent="0.25">
      <c r="L39" s="8" t="s">
        <v>95</v>
      </c>
      <c r="M39" s="8">
        <f>0.05*SUM(M36:M38)</f>
        <v>469.76305952299202</v>
      </c>
      <c r="N39" s="8">
        <f>0.05*SUM(N36:N38)</f>
        <v>473.87829038962855</v>
      </c>
      <c r="O39" s="8">
        <f>0.05*SUM(O36:O38)</f>
        <v>473.9056626347151</v>
      </c>
    </row>
    <row r="40" spans="12:15" x14ac:dyDescent="0.25">
      <c r="L40" s="8" t="s">
        <v>96</v>
      </c>
      <c r="M40" s="8">
        <f>0.07*SUM(M36:M38)</f>
        <v>657.66828333218882</v>
      </c>
      <c r="N40" s="8">
        <f>0.07*SUM(N36:N38)</f>
        <v>663.42960654548006</v>
      </c>
      <c r="O40" s="8">
        <f>0.07*SUM(O36:O38)</f>
        <v>663.46792768860121</v>
      </c>
    </row>
    <row r="41" spans="12:15" x14ac:dyDescent="0.25">
      <c r="M41" s="28">
        <f>SUM(M36:M40)</f>
        <v>10522.692533315019</v>
      </c>
      <c r="N41" s="28">
        <f>SUM(N36:N40)</f>
        <v>10614.873704727679</v>
      </c>
      <c r="O41" s="28">
        <f>SUM(O36:O40)</f>
        <v>10615.486843017619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D1" workbookViewId="0">
      <selection activeCell="N2" sqref="N2:N10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2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24" t="s">
        <v>80</v>
      </c>
      <c r="C2" s="23">
        <v>80</v>
      </c>
      <c r="D2" s="23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0.15/50</f>
        <v>3.0000000000000001E-3</v>
      </c>
      <c r="O2" s="2">
        <f>Table27[[#This Row],[Yearly Energy Consumption in kWh]]*Table27[[#This Row],[CU/kWh]]</f>
        <v>2.0367000000000002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2</v>
      </c>
      <c r="Y2" s="8">
        <v>7.0000000000000007E-2</v>
      </c>
      <c r="Z2" s="8">
        <f>0.07+2*0.00027</f>
        <v>7.0540000000000005E-2</v>
      </c>
      <c r="AA2" s="8">
        <f>Table27[[#This Row],[Percentage of Business Users]]*Table27[[#This Row],[SLA CU per hour]]*Table27[[#This Row],[Failures per year]]*Table27[[#This Row],[Total Time to Repair(h)]]</f>
        <v>3.3907507199999999E-2</v>
      </c>
      <c r="AB2" s="8">
        <f>Table27[[#This Row],[Percentage of ITS and business users]]*Table27[[#This Row],[SLA CU per hour]]*Table27[[#This Row],[Failures per year]]*Table27[[#This Row],[Total Time to Repair(h)]]</f>
        <v>3.4169079398399999E-2</v>
      </c>
    </row>
    <row r="3" spans="1:28" x14ac:dyDescent="0.25">
      <c r="A3" s="8" t="s">
        <v>3</v>
      </c>
      <c r="B3" s="24" t="s">
        <v>59</v>
      </c>
      <c r="C3" s="23">
        <v>12</v>
      </c>
      <c r="D3" s="23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0.15/50</f>
        <v>3.0000000000000001E-3</v>
      </c>
      <c r="O3" s="2">
        <f>Table27[[#This Row],[Yearly Energy Consumption in kWh]]*Table27[[#This Row],[CU/kWh]]</f>
        <v>4.9196159999999995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2</v>
      </c>
      <c r="Y3" s="8">
        <v>7.0000000000000007E-2</v>
      </c>
      <c r="Z3" s="8">
        <f t="shared" ref="Z3:Z10" si="2">0.07+2*0.00027</f>
        <v>7.0540000000000005E-2</v>
      </c>
      <c r="AA3" s="8">
        <f>Table27[[#This Row],[Percentage of Business Users]]*Table27[[#This Row],[SLA CU per hour]]*Table27[[#This Row],[Failures per year]]*Table27[[#This Row],[Total Time to Repair(h)]]</f>
        <v>0</v>
      </c>
      <c r="AB3" s="8">
        <f>Table27[[#This Row],[Percentage of ITS and business users]]*Table27[[#This Row],[SLA CU per hour]]*Table27[[#This Row],[Failures per year]]*Table27[[#This Row],[Total Time to Repair(h)]]</f>
        <v>0</v>
      </c>
    </row>
    <row r="4" spans="1:28" x14ac:dyDescent="0.25">
      <c r="A4" s="8" t="s">
        <v>3</v>
      </c>
      <c r="B4" s="24" t="s">
        <v>6</v>
      </c>
      <c r="C4" s="23">
        <f>0.1/9</f>
        <v>1.1111111111111112E-2</v>
      </c>
      <c r="D4" s="23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3.0000000000000001E-3</v>
      </c>
      <c r="O4" s="2">
        <f>Table27[[#This Row],[Yearly Energy Consumption in kWh]]*Table27[[#This Row],[CU/kWh]]</f>
        <v>8.1993600000000004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2</v>
      </c>
      <c r="Y4" s="8">
        <v>7.0000000000000007E-2</v>
      </c>
      <c r="Z4" s="8">
        <f t="shared" si="2"/>
        <v>7.0540000000000005E-2</v>
      </c>
      <c r="AA4" s="8">
        <f>Table27[[#This Row],[Percentage of Business Users]]*Table27[[#This Row],[SLA CU per hour]]*Table27[[#This Row],[Failures per year]]*Table27[[#This Row],[Total Time to Repair(h)]]</f>
        <v>0</v>
      </c>
      <c r="AB4" s="8">
        <f>Table27[[#This Row],[Percentage of ITS and business users]]*Table27[[#This Row],[SLA CU per hour]]*Table27[[#This Row],[Failures per year]]*Table27[[#This Row],[Total Time to Repair(h)]]</f>
        <v>0</v>
      </c>
    </row>
    <row r="5" spans="1:28" x14ac:dyDescent="0.25">
      <c r="A5" s="8" t="s">
        <v>3</v>
      </c>
      <c r="B5" s="24" t="s">
        <v>7</v>
      </c>
      <c r="C5" s="23">
        <v>200</v>
      </c>
      <c r="D5" s="23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3.0000000000000001E-3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2</v>
      </c>
      <c r="Y5" s="8">
        <v>7.0000000000000007E-2</v>
      </c>
      <c r="Z5" s="8">
        <f t="shared" si="2"/>
        <v>7.0540000000000005E-2</v>
      </c>
      <c r="AA5" s="8">
        <f>Table27[[#This Row],[Percentage of Business Users]]*Table27[[#This Row],[SLA CU per hour]]*Table27[[#This Row],[Failures per year]]*Table27[[#This Row],[Total Time to Repair(h)]]</f>
        <v>0</v>
      </c>
      <c r="AB5" s="8">
        <f>Table27[[#This Row],[Percentage of ITS and business users]]*Table27[[#This Row],[SLA CU per hour]]*Table27[[#This Row],[Failures per year]]*Table27[[#This Row],[Total Time to Repair(h)]]</f>
        <v>0</v>
      </c>
    </row>
    <row r="6" spans="1:28" x14ac:dyDescent="0.25">
      <c r="A6" s="8" t="s">
        <v>8</v>
      </c>
      <c r="B6" s="24" t="s">
        <v>9</v>
      </c>
      <c r="C6" s="23">
        <v>1.8</v>
      </c>
      <c r="D6" s="23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3.0000000000000001E-3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2</v>
      </c>
      <c r="Y6" s="8">
        <v>7.0000000000000007E-2</v>
      </c>
      <c r="Z6" s="8">
        <f t="shared" si="2"/>
        <v>7.0540000000000005E-2</v>
      </c>
      <c r="AA6" s="8">
        <f>Table27[[#This Row],[Percentage of Business Users]]*Table27[[#This Row],[SLA CU per hour]]*Table27[[#This Row],[Failures per year]]*Table27[[#This Row],[Total Time to Repair(h)]]</f>
        <v>0.2777943168</v>
      </c>
      <c r="AB6" s="8">
        <f>Table27[[#This Row],[Percentage of ITS and business users]]*Table27[[#This Row],[SLA CU per hour]]*Table27[[#This Row],[Failures per year]]*Table27[[#This Row],[Total Time to Repair(h)]]</f>
        <v>0.27993730152960006</v>
      </c>
    </row>
    <row r="7" spans="1:28" x14ac:dyDescent="0.25">
      <c r="A7" s="8" t="s">
        <v>10</v>
      </c>
      <c r="B7" s="24" t="s">
        <v>59</v>
      </c>
      <c r="C7" s="23">
        <v>12</v>
      </c>
      <c r="D7" s="23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3.0000000000000001E-3</v>
      </c>
      <c r="O7" s="2">
        <f>Table27[[#This Row],[Yearly Energy Consumption in kWh]]*Table27[[#This Row],[CU/kWh]]</f>
        <v>9.8392319999999991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2</v>
      </c>
      <c r="Y7" s="8">
        <v>7.0000000000000007E-2</v>
      </c>
      <c r="Z7" s="8">
        <f t="shared" si="2"/>
        <v>7.0540000000000005E-2</v>
      </c>
      <c r="AA7" s="8">
        <f>Table27[[#This Row],[Percentage of Business Users]]*Table27[[#This Row],[SLA CU per hour]]*Table27[[#This Row],[Failures per year]]*Table27[[#This Row],[Total Time to Repair(h)]]</f>
        <v>2.8697760000000001E-3</v>
      </c>
      <c r="AB7" s="8">
        <f>Table27[[#This Row],[Percentage of ITS and business users]]*Table27[[#This Row],[SLA CU per hour]]*Table27[[#This Row],[Failures per year]]*Table27[[#This Row],[Total Time to Repair(h)]]</f>
        <v>2.8919142720000004E-3</v>
      </c>
    </row>
    <row r="8" spans="1:28" x14ac:dyDescent="0.25">
      <c r="A8" s="8" t="s">
        <v>10</v>
      </c>
      <c r="B8" s="24" t="s">
        <v>11</v>
      </c>
      <c r="C8" s="23">
        <v>1</v>
      </c>
      <c r="D8" s="23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3.0000000000000001E-3</v>
      </c>
      <c r="O8" s="2">
        <f>Table27[[#This Row],[Yearly Energy Consumption in kWh]]*Table27[[#This Row],[CU/kWh]]</f>
        <v>525.6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2</v>
      </c>
      <c r="Y8" s="8">
        <v>7.0000000000000007E-2</v>
      </c>
      <c r="Z8" s="8">
        <f t="shared" si="2"/>
        <v>7.0540000000000005E-2</v>
      </c>
      <c r="AA8" s="8">
        <f>Table27[[#This Row],[Percentage of Business Users]]*Table27[[#This Row],[SLA CU per hour]]*Table27[[#This Row],[Failures per year]]*Table27[[#This Row],[Total Time to Repair(h)]]</f>
        <v>9.7327104000000002</v>
      </c>
      <c r="AB8" s="8">
        <f>Table27[[#This Row],[Percentage of ITS and business users]]*Table27[[#This Row],[SLA CU per hour]]*Table27[[#This Row],[Failures per year]]*Table27[[#This Row],[Total Time to Repair(h)]]</f>
        <v>9.8077913088000006</v>
      </c>
    </row>
    <row r="9" spans="1:28" x14ac:dyDescent="0.25">
      <c r="A9" s="8" t="s">
        <v>10</v>
      </c>
      <c r="B9" s="24" t="s">
        <v>81</v>
      </c>
      <c r="C9" s="23">
        <v>1.2</v>
      </c>
      <c r="D9" s="23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3.0000000000000001E-3</v>
      </c>
      <c r="O9" s="2">
        <f>Table27[[#This Row],[Yearly Energy Consumption in kWh]]*Table27[[#This Row],[CU/kWh]]</f>
        <v>1634.616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2</v>
      </c>
      <c r="Y9" s="8">
        <v>7.0000000000000007E-2</v>
      </c>
      <c r="Z9" s="8">
        <f t="shared" si="2"/>
        <v>7.0540000000000005E-2</v>
      </c>
      <c r="AA9" s="8">
        <f>Table27[[#This Row],[Percentage of Business Users]]*Table27[[#This Row],[SLA CU per hour]]*Table27[[#This Row],[Failures per year]]*Table27[[#This Row],[Total Time to Repair(h)]]</f>
        <v>1.8460263360000004</v>
      </c>
      <c r="AB9" s="8">
        <f>Table27[[#This Row],[Percentage of ITS and business users]]*Table27[[#This Row],[SLA CU per hour]]*Table27[[#This Row],[Failures per year]]*Table27[[#This Row],[Total Time to Repair(h)]]</f>
        <v>1.8602671105920001</v>
      </c>
    </row>
    <row r="10" spans="1:28" x14ac:dyDescent="0.25">
      <c r="A10" s="8" t="s">
        <v>10</v>
      </c>
      <c r="B10" s="24" t="s">
        <v>82</v>
      </c>
      <c r="C10" s="23">
        <f>12+(100/4)</f>
        <v>37</v>
      </c>
      <c r="D10" s="23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2</v>
      </c>
      <c r="H10" s="2">
        <f>Table27[[#This Row],[Rent per sqm per year]]*Table27[[#This Row],[Total Floor Space]]</f>
        <v>10000</v>
      </c>
      <c r="I10" s="8">
        <v>0</v>
      </c>
      <c r="J10" s="8">
        <v>24</v>
      </c>
      <c r="K10" s="8">
        <v>512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3.0000000000000001E-3</v>
      </c>
      <c r="O10" s="2">
        <f>Table27[[#This Row],[Yearly Energy Consumption in kWh]]*Table27[[#This Row],[CU/kWh]]</f>
        <v>3285</v>
      </c>
      <c r="P10" s="8">
        <v>2</v>
      </c>
      <c r="Q10" s="8">
        <v>20</v>
      </c>
      <c r="R10" s="8">
        <f>Table27[[#This Row],[Quantity]]*(Table27[[#This Row],[FIT]]*24*365)/1000000000</f>
        <v>22.425599999999999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2062.2581759999998</v>
      </c>
      <c r="X10" s="8">
        <v>2</v>
      </c>
      <c r="Y10" s="8">
        <v>7.0000000000000007E-2</v>
      </c>
      <c r="Z10" s="8">
        <f t="shared" si="2"/>
        <v>7.0540000000000005E-2</v>
      </c>
      <c r="AA10" s="8">
        <f>Table27[[#This Row],[Percentage of Business Users]]*Table27[[#This Row],[SLA CU per hour]]*Table27[[#This Row],[Failures per year]]*Table27[[#This Row],[Total Time to Repair(h)]]</f>
        <v>75.977932800000005</v>
      </c>
      <c r="AB10" s="8">
        <f>Table27[[#This Row],[Percentage of ITS and business users]]*Table27[[#This Row],[SLA CU per hour]]*Table27[[#This Row],[Failures per year]]*Table27[[#This Row],[Total Time to Repair(h)]]</f>
        <v>76.564048281599995</v>
      </c>
    </row>
    <row r="11" spans="1:28" x14ac:dyDescent="0.25">
      <c r="B11" s="30"/>
      <c r="H11" s="27">
        <f>SUM(Table27[Total Rent cost per year])</f>
        <v>13074</v>
      </c>
      <c r="O11" s="27">
        <f>SUM(Table27[Energy Cost per year in CU])</f>
        <v>5470.210908</v>
      </c>
      <c r="W11" s="27">
        <f>SUM(Table27[FM Cost])+L20</f>
        <v>2819.9006324201123</v>
      </c>
      <c r="AA11" s="8">
        <f>SUBTOTAL(109,Table27[FM Penalty Business])</f>
        <v>87.871241136000009</v>
      </c>
      <c r="AB11" s="8">
        <f>SUBTOTAL(109,Table27[FM Penalty ITS])</f>
        <v>88.549104996192</v>
      </c>
    </row>
    <row r="14" spans="1:28" x14ac:dyDescent="0.25">
      <c r="A14" s="8" t="s">
        <v>39</v>
      </c>
      <c r="B14" s="8" t="s">
        <v>17</v>
      </c>
      <c r="C14" s="8" t="s">
        <v>16</v>
      </c>
      <c r="D14" s="8" t="s">
        <v>40</v>
      </c>
      <c r="E14" s="8" t="s">
        <v>30</v>
      </c>
      <c r="F14" s="8" t="s">
        <v>44</v>
      </c>
      <c r="G14" s="8" t="s">
        <v>45</v>
      </c>
      <c r="H14" s="8" t="s">
        <v>47</v>
      </c>
      <c r="I14" s="8" t="s">
        <v>46</v>
      </c>
      <c r="J14" s="8" t="s">
        <v>48</v>
      </c>
      <c r="K14" s="8" t="s">
        <v>49</v>
      </c>
      <c r="L14" s="8" t="s">
        <v>50</v>
      </c>
      <c r="M14" s="8" t="s">
        <v>111</v>
      </c>
      <c r="N14" s="8" t="s">
        <v>117</v>
      </c>
      <c r="O14" s="8" t="s">
        <v>118</v>
      </c>
      <c r="P14" s="8" t="s">
        <v>119</v>
      </c>
      <c r="Q14" s="8" t="s">
        <v>120</v>
      </c>
    </row>
    <row r="15" spans="1:28" x14ac:dyDescent="0.25">
      <c r="A15" s="8" t="s">
        <v>41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  <c r="M15" s="8">
        <v>2</v>
      </c>
      <c r="N15" s="8">
        <v>7.0000000000000007E-2</v>
      </c>
      <c r="O15" s="8">
        <f>0.07+2*0.00027</f>
        <v>7.0540000000000005E-2</v>
      </c>
      <c r="P15" s="8">
        <f>N15*M15*J15*B15*24*365/1000000000</f>
        <v>2.8817984627498747</v>
      </c>
      <c r="Q15" s="8">
        <f>O15*M15*J15*B15*24*365/1000000000</f>
        <v>2.9040294794625163</v>
      </c>
    </row>
    <row r="16" spans="1:28" x14ac:dyDescent="0.25">
      <c r="A16" s="8" t="s">
        <v>42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3">F16/20</f>
        <v>0.1</v>
      </c>
      <c r="I16" s="8">
        <f t="shared" si="3"/>
        <v>0.05</v>
      </c>
      <c r="J16" s="8">
        <f t="shared" ref="J16:J17" si="4">C16+2*H16</f>
        <v>24.2</v>
      </c>
      <c r="K16" s="8">
        <f t="shared" ref="K16:K17" si="5">C16+2*I16</f>
        <v>24.1</v>
      </c>
      <c r="L16" s="8">
        <f t="shared" ref="L16:L17" si="6">B16*24*365*J16*E16/1000000000</f>
        <v>39.297377489463415</v>
      </c>
      <c r="M16" s="8">
        <v>2</v>
      </c>
      <c r="N16" s="8">
        <v>7.0000000000000007E-2</v>
      </c>
      <c r="O16" s="8">
        <f t="shared" ref="O16:O17" si="7">0.07+2*0.00027</f>
        <v>7.0540000000000005E-2</v>
      </c>
      <c r="P16" s="8">
        <f t="shared" ref="P16:P17" si="8">N16*M16*J16*B16*24*365/1000000000</f>
        <v>1.4477981180328632</v>
      </c>
      <c r="Q16" s="8">
        <f t="shared" ref="Q16:Q17" si="9">O16*M16*J16*B16*24*365/1000000000</f>
        <v>1.4589668463719738</v>
      </c>
    </row>
    <row r="17" spans="1:19" x14ac:dyDescent="0.25">
      <c r="A17" s="8" t="s">
        <v>43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3"/>
        <v>0.2</v>
      </c>
      <c r="I17" s="8">
        <f t="shared" si="3"/>
        <v>7.4999999999999997E-2</v>
      </c>
      <c r="J17" s="8">
        <f t="shared" si="4"/>
        <v>24.4</v>
      </c>
      <c r="K17" s="8">
        <f t="shared" si="5"/>
        <v>24.15</v>
      </c>
      <c r="L17" s="8">
        <f t="shared" si="6"/>
        <v>317.30646582172432</v>
      </c>
      <c r="M17" s="8">
        <v>2</v>
      </c>
      <c r="N17" s="8">
        <v>7.0000000000000007E-2</v>
      </c>
      <c r="O17" s="8">
        <f t="shared" si="7"/>
        <v>7.0540000000000005E-2</v>
      </c>
      <c r="P17" s="8">
        <f t="shared" si="8"/>
        <v>11.690238214484584</v>
      </c>
      <c r="Q17" s="8">
        <f t="shared" si="9"/>
        <v>11.780420052139178</v>
      </c>
    </row>
    <row r="20" spans="1:19" x14ac:dyDescent="0.25">
      <c r="K20" s="8" t="s">
        <v>51</v>
      </c>
      <c r="L20" s="8">
        <f>SUM(L15:L17)</f>
        <v>434.82408730011286</v>
      </c>
    </row>
    <row r="22" spans="1:19" x14ac:dyDescent="0.25">
      <c r="O22" s="8" t="s">
        <v>91</v>
      </c>
    </row>
    <row r="23" spans="1:19" x14ac:dyDescent="0.25">
      <c r="O23" s="8" t="s">
        <v>97</v>
      </c>
      <c r="P23" s="8" t="s">
        <v>112</v>
      </c>
      <c r="Q23" s="8" t="s">
        <v>113</v>
      </c>
      <c r="R23" s="8" t="s">
        <v>121</v>
      </c>
    </row>
    <row r="24" spans="1:19" x14ac:dyDescent="0.25">
      <c r="O24" s="8" t="s">
        <v>92</v>
      </c>
      <c r="P24" s="8">
        <f>Table27[[#Totals],[Total Rent cost per year]]</f>
        <v>13074</v>
      </c>
      <c r="Q24" s="8">
        <f>Table27[[#Totals],[Total Rent cost per year]]</f>
        <v>13074</v>
      </c>
      <c r="R24" s="8">
        <f>Table27[[#Totals],[Total Rent cost per year]]</f>
        <v>13074</v>
      </c>
    </row>
    <row r="25" spans="1:19" x14ac:dyDescent="0.25">
      <c r="O25" s="8" t="s">
        <v>93</v>
      </c>
      <c r="P25" s="8">
        <f>Table27[[#Totals],[Energy Cost per year in CU]]</f>
        <v>5470.210908</v>
      </c>
      <c r="Q25" s="8">
        <f>Table27[[#Totals],[Energy Cost per year in CU]]</f>
        <v>5470.210908</v>
      </c>
      <c r="R25" s="8">
        <f>Table27[[#Totals],[Energy Cost per year in CU]]</f>
        <v>5470.210908</v>
      </c>
    </row>
    <row r="26" spans="1:19" x14ac:dyDescent="0.25">
      <c r="O26" s="8" t="s">
        <v>94</v>
      </c>
      <c r="P26" s="8">
        <f>Table27[[#Totals],[FM Cost]]+L20</f>
        <v>3254.724719720225</v>
      </c>
      <c r="Q26" s="8">
        <f>Table27[[#Totals],[FM Cost]]+$L$20+P15+P16+P17+Table27[[#Totals],[FM Penalty Business]]</f>
        <v>3358.6157956514926</v>
      </c>
      <c r="R26" s="8">
        <f>Table27[[#Totals],[FM Cost]]+$L$20+Q15+Q16+Q17+Table27[[#Totals],[FM Penalty ITS]]</f>
        <v>3359.4172410943906</v>
      </c>
    </row>
    <row r="27" spans="1:19" x14ac:dyDescent="0.25">
      <c r="O27" s="8" t="s">
        <v>95</v>
      </c>
      <c r="P27" s="8">
        <f>0.05*SUM(P24:P26)</f>
        <v>1089.9467813860113</v>
      </c>
      <c r="Q27" s="8">
        <f>0.05*SUM(Q24:Q26)</f>
        <v>1095.1413351825747</v>
      </c>
      <c r="R27" s="8">
        <f>0.05*SUM(R24:R26)</f>
        <v>1095.1814074547196</v>
      </c>
    </row>
    <row r="28" spans="1:19" x14ac:dyDescent="0.25">
      <c r="K28" s="8" t="s">
        <v>52</v>
      </c>
      <c r="O28" s="8" t="s">
        <v>96</v>
      </c>
      <c r="P28" s="8">
        <f>0.07*SUM(P24:P26)</f>
        <v>1525.9254939404159</v>
      </c>
      <c r="Q28" s="8">
        <f>0.07*SUM(Q24:Q26)</f>
        <v>1533.1978692556049</v>
      </c>
      <c r="R28" s="8">
        <f>0.07*SUM(R24:R26)</f>
        <v>1533.2539704366075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K29" s="8">
        <f>Table27[[#Totals],[Total Rent cost per year]]+Table27[[#Totals],[Energy Cost per year in CU]]+Table27[[#Totals],[FM Cost]]+L20</f>
        <v>21798.935627720224</v>
      </c>
      <c r="P29" s="8">
        <f>SUM(Table14[Residential])</f>
        <v>24414.807903046651</v>
      </c>
      <c r="Q29" s="8">
        <f>SUBTOTAL(109,Table14[Business])</f>
        <v>24531.165908089675</v>
      </c>
      <c r="R29" s="8">
        <f>SUBTOTAL(109,Table14[Business ITS])</f>
        <v>24532.063526985716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D1" workbookViewId="0">
      <selection activeCell="N2" sqref="N2:N10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8" t="s">
        <v>3</v>
      </c>
      <c r="B2" s="8" t="s">
        <v>58</v>
      </c>
      <c r="C2" s="23">
        <v>80</v>
      </c>
      <c r="D2" s="23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0.15/50</f>
        <v>3.0000000000000001E-3</v>
      </c>
      <c r="O2" s="8">
        <f>Table38[[#This Row],[Yearly Energy Consumption in kWh]]*Table38[[#This Row],[CU/kWh]]</f>
        <v>283.82400000000001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  <c r="X2" s="8">
        <v>2</v>
      </c>
      <c r="Y2" s="8">
        <v>7.0000000000000007E-2</v>
      </c>
      <c r="Z2" s="8">
        <f>0.07+2*0.00027</f>
        <v>7.0540000000000005E-2</v>
      </c>
      <c r="AA2" s="8">
        <f>Table38[[#This Row],[Percentage of Business Users]]*Table38[[#This Row],[SLA CU per hour]]*Table38[[#This Row],[Failures per year]]*Table38[[#This Row],[Total Time to Repair(h)]]</f>
        <v>6.7815014399999998E-2</v>
      </c>
      <c r="AB2" s="8">
        <f>Table38[[#This Row],[Percentage of ITS and business users]]*Table38[[#This Row],[SLA CU per hour]]*Table38[[#This Row],[Failures per year]]*Table38[[#This Row],[Total Time to Repair(h)]]</f>
        <v>6.8338158796799997E-2</v>
      </c>
    </row>
    <row r="3" spans="1:28" x14ac:dyDescent="0.25">
      <c r="A3" s="8" t="s">
        <v>3</v>
      </c>
      <c r="B3" s="8" t="s">
        <v>59</v>
      </c>
      <c r="C3" s="23">
        <v>12</v>
      </c>
      <c r="D3" s="23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0.15/50</f>
        <v>3.0000000000000001E-3</v>
      </c>
      <c r="O3" s="8">
        <f>Table38[[#This Row],[Yearly Energy Consumption in kWh]]*Table38[[#This Row],[CU/kWh]]</f>
        <v>36.897120000000001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  <c r="X3" s="8">
        <v>2</v>
      </c>
      <c r="Y3" s="8">
        <v>7.0000000000000007E-2</v>
      </c>
      <c r="Z3" s="8">
        <f t="shared" ref="Z3:Z10" si="2">0.07+2*0.00027</f>
        <v>7.0540000000000005E-2</v>
      </c>
      <c r="AA3" s="8">
        <f>Table38[[#This Row],[Percentage of Business Users]]*Table38[[#This Row],[SLA CU per hour]]*Table38[[#This Row],[Failures per year]]*Table38[[#This Row],[Total Time to Repair(h)]]</f>
        <v>0</v>
      </c>
      <c r="AB3" s="8">
        <f>Table38[[#This Row],[Percentage of ITS and business users]]*Table38[[#This Row],[SLA CU per hour]]*Table38[[#This Row],[Failures per year]]*Table38[[#This Row],[Total Time to Repair(h)]]</f>
        <v>0</v>
      </c>
    </row>
    <row r="4" spans="1:28" x14ac:dyDescent="0.25">
      <c r="A4" s="8" t="s">
        <v>3</v>
      </c>
      <c r="B4" s="8" t="s">
        <v>6</v>
      </c>
      <c r="C4" s="23">
        <f>0.1/9</f>
        <v>1.1111111111111112E-2</v>
      </c>
      <c r="D4" s="23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3.0000000000000001E-3</v>
      </c>
      <c r="O4" s="8">
        <f>Table38[[#This Row],[Yearly Energy Consumption in kWh]]*Table38[[#This Row],[CU/kWh]]</f>
        <v>81.993600000000001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  <c r="X4" s="8">
        <v>2</v>
      </c>
      <c r="Y4" s="8">
        <v>7.0000000000000007E-2</v>
      </c>
      <c r="Z4" s="8">
        <f t="shared" si="2"/>
        <v>7.0540000000000005E-2</v>
      </c>
      <c r="AA4" s="8">
        <f>Table38[[#This Row],[Percentage of Business Users]]*Table38[[#This Row],[SLA CU per hour]]*Table38[[#This Row],[Failures per year]]*Table38[[#This Row],[Total Time to Repair(h)]]</f>
        <v>0</v>
      </c>
      <c r="AB4" s="8">
        <f>Table38[[#This Row],[Percentage of ITS and business users]]*Table38[[#This Row],[SLA CU per hour]]*Table38[[#This Row],[Failures per year]]*Table38[[#This Row],[Total Time to Repair(h)]]</f>
        <v>0</v>
      </c>
    </row>
    <row r="5" spans="1:28" x14ac:dyDescent="0.25">
      <c r="A5" s="8" t="s">
        <v>3</v>
      </c>
      <c r="B5" s="8" t="s">
        <v>7</v>
      </c>
      <c r="C5" s="23">
        <v>400</v>
      </c>
      <c r="D5" s="23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3.0000000000000001E-3</v>
      </c>
      <c r="O5" s="8">
        <f>Table38[[#This Row],[Yearly Energy Consumption in kWh]]*Table38[[#This Row],[CU/kWh]]</f>
        <v>2.6280000000000001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  <c r="X5" s="8">
        <v>2</v>
      </c>
      <c r="Y5" s="8">
        <v>7.0000000000000007E-2</v>
      </c>
      <c r="Z5" s="8">
        <f t="shared" si="2"/>
        <v>7.0540000000000005E-2</v>
      </c>
      <c r="AA5" s="8">
        <f>Table38[[#This Row],[Percentage of Business Users]]*Table38[[#This Row],[SLA CU per hour]]*Table38[[#This Row],[Failures per year]]*Table38[[#This Row],[Total Time to Repair(h)]]</f>
        <v>0</v>
      </c>
      <c r="AB5" s="8">
        <f>Table38[[#This Row],[Percentage of ITS and business users]]*Table38[[#This Row],[SLA CU per hour]]*Table38[[#This Row],[Failures per year]]*Table38[[#This Row],[Total Time to Repair(h)]]</f>
        <v>0</v>
      </c>
    </row>
    <row r="6" spans="1:28" x14ac:dyDescent="0.25">
      <c r="A6" s="8" t="s">
        <v>8</v>
      </c>
      <c r="B6" s="8" t="s">
        <v>9</v>
      </c>
      <c r="C6" s="23">
        <v>1.8</v>
      </c>
      <c r="D6" s="23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3.0000000000000001E-3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  <c r="X6" s="8">
        <v>2</v>
      </c>
      <c r="Y6" s="8">
        <v>7.0000000000000007E-2</v>
      </c>
      <c r="Z6" s="8">
        <f t="shared" si="2"/>
        <v>7.0540000000000005E-2</v>
      </c>
      <c r="AA6" s="8">
        <f>Table38[[#This Row],[Percentage of Business Users]]*Table38[[#This Row],[SLA CU per hour]]*Table38[[#This Row],[Failures per year]]*Table38[[#This Row],[Total Time to Repair(h)]]</f>
        <v>5.8830408000000008E-2</v>
      </c>
      <c r="AB6" s="8">
        <f>Table38[[#This Row],[Percentage of ITS and business users]]*Table38[[#This Row],[SLA CU per hour]]*Table38[[#This Row],[Failures per year]]*Table38[[#This Row],[Total Time to Repair(h)]]</f>
        <v>5.9284242576000012E-2</v>
      </c>
    </row>
    <row r="7" spans="1:28" x14ac:dyDescent="0.25">
      <c r="A7" s="8" t="s">
        <v>8</v>
      </c>
      <c r="B7" s="8" t="s">
        <v>59</v>
      </c>
      <c r="C7" s="23">
        <v>4</v>
      </c>
      <c r="D7" s="23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3.0000000000000001E-3</v>
      </c>
      <c r="O7" s="8">
        <f>Table38[[#This Row],[Yearly Energy Consumption in kWh]]*Table38[[#This Row],[CU/kWh]]</f>
        <v>18.448560000000001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  <c r="X7" s="8">
        <v>2</v>
      </c>
      <c r="Y7" s="8">
        <v>7.0000000000000007E-2</v>
      </c>
      <c r="Z7" s="8">
        <f t="shared" si="2"/>
        <v>7.0540000000000005E-2</v>
      </c>
      <c r="AA7" s="8">
        <f>Table38[[#This Row],[Percentage of Business Users]]*Table38[[#This Row],[SLA CU per hour]]*Table38[[#This Row],[Failures per year]]*Table38[[#This Row],[Total Time to Repair(h)]]</f>
        <v>0</v>
      </c>
      <c r="AB7" s="8">
        <f>Table38[[#This Row],[Percentage of ITS and business users]]*Table38[[#This Row],[SLA CU per hour]]*Table38[[#This Row],[Failures per year]]*Table38[[#This Row],[Total Time to Repair(h)]]</f>
        <v>0</v>
      </c>
    </row>
    <row r="8" spans="1:28" x14ac:dyDescent="0.25">
      <c r="A8" s="8" t="s">
        <v>10</v>
      </c>
      <c r="B8" s="8" t="s">
        <v>9</v>
      </c>
      <c r="C8" s="23">
        <v>1.8</v>
      </c>
      <c r="D8" s="23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3.0000000000000001E-3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  <c r="X8" s="8">
        <v>2</v>
      </c>
      <c r="Y8" s="8">
        <v>7.0000000000000007E-2</v>
      </c>
      <c r="Z8" s="8">
        <f t="shared" si="2"/>
        <v>7.0540000000000005E-2</v>
      </c>
      <c r="AA8" s="8">
        <f>Table38[[#This Row],[Percentage of Business Users]]*Table38[[#This Row],[SLA CU per hour]]*Table38[[#This Row],[Failures per year]]*Table38[[#This Row],[Total Time to Repair(h)]]</f>
        <v>0.23191223999999999</v>
      </c>
      <c r="AB8" s="8">
        <f>Table38[[#This Row],[Percentage of ITS and business users]]*Table38[[#This Row],[SLA CU per hour]]*Table38[[#This Row],[Failures per year]]*Table38[[#This Row],[Total Time to Repair(h)]]</f>
        <v>0.23370127728000001</v>
      </c>
    </row>
    <row r="9" spans="1:28" x14ac:dyDescent="0.25">
      <c r="A9" s="8" t="s">
        <v>13</v>
      </c>
      <c r="B9" s="8" t="s">
        <v>60</v>
      </c>
      <c r="C9" s="23">
        <f>10</f>
        <v>10</v>
      </c>
      <c r="D9" s="23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512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3.0000000000000001E-3</v>
      </c>
      <c r="O9" s="8">
        <f>Table38[[#This Row],[Yearly Energy Consumption in kWh]]*Table38[[#This Row],[CU/kWh]]</f>
        <v>6570</v>
      </c>
      <c r="P9" s="8">
        <v>2.25</v>
      </c>
      <c r="Q9" s="8">
        <v>20</v>
      </c>
      <c r="R9" s="8">
        <f>Table38[[#This Row],[Quantity]]*(Table38[[#This Row],[FIT]]*24*365)/1000000000</f>
        <v>22.425599999999999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2064.3886080000002</v>
      </c>
      <c r="X9" s="8">
        <v>2</v>
      </c>
      <c r="Y9" s="8">
        <v>7.0000000000000007E-2</v>
      </c>
      <c r="Z9" s="8">
        <f t="shared" si="2"/>
        <v>7.0540000000000005E-2</v>
      </c>
      <c r="AA9" s="8">
        <f>Table38[[#This Row],[Percentage of Business Users]]*Table38[[#This Row],[SLA CU per hour]]*Table38[[#This Row],[Failures per year]]*Table38[[#This Row],[Total Time to Repair(h)]]</f>
        <v>76.056422400000002</v>
      </c>
      <c r="AB9" s="8">
        <f>Table38[[#This Row],[Percentage of ITS and business users]]*Table38[[#This Row],[SLA CU per hour]]*Table38[[#This Row],[Failures per year]]*Table38[[#This Row],[Total Time to Repair(h)]]</f>
        <v>76.643143372800012</v>
      </c>
    </row>
    <row r="10" spans="1:28" x14ac:dyDescent="0.25">
      <c r="A10" s="8" t="s">
        <v>13</v>
      </c>
      <c r="B10" s="8" t="s">
        <v>61</v>
      </c>
      <c r="C10" s="23">
        <v>2.2999999999999998</v>
      </c>
      <c r="D10" s="23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3.0000000000000001E-3</v>
      </c>
      <c r="O10" s="8">
        <f>Table38[[#This Row],[Yearly Energy Consumption in kWh]]*Table38[[#This Row],[CU/kWh]]</f>
        <v>854.1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  <c r="X10" s="8">
        <v>2</v>
      </c>
      <c r="Y10" s="8">
        <v>7.0000000000000007E-2</v>
      </c>
      <c r="Z10" s="8">
        <f t="shared" si="2"/>
        <v>7.0540000000000005E-2</v>
      </c>
      <c r="AA10" s="8">
        <f>Table38[[#This Row],[Percentage of Business Users]]*Table38[[#This Row],[SLA CU per hour]]*Table38[[#This Row],[Failures per year]]*Table38[[#This Row],[Total Time to Repair(h)]]</f>
        <v>9.7719552000000007</v>
      </c>
      <c r="AB10" s="8">
        <f>Table38[[#This Row],[Percentage of ITS and business users]]*Table38[[#This Row],[SLA CU per hour]]*Table38[[#This Row],[Failures per year]]*Table38[[#This Row],[Total Time to Repair(h)]]</f>
        <v>9.8473388544000002</v>
      </c>
    </row>
    <row r="11" spans="1:28" x14ac:dyDescent="0.25">
      <c r="H11" s="8">
        <f>SUM(Table38[Total Rent cost per year])</f>
        <v>5936</v>
      </c>
      <c r="O11" s="8">
        <f>SUBTOTAL(109,Table38[Energy Cost per year in CU])</f>
        <v>7847.8912800000007</v>
      </c>
      <c r="W11" s="8">
        <f>SUBTOTAL(109,Table38[FM Cost])</f>
        <v>2339.3596714080004</v>
      </c>
      <c r="AA11" s="8">
        <f>SUBTOTAL(109,Table38[FM Penalty Business])</f>
        <v>86.186935262399999</v>
      </c>
      <c r="AB11" s="8">
        <f>SUBTOTAL(109,Table38[FM Penalty ITS])</f>
        <v>86.851805905852814</v>
      </c>
    </row>
    <row r="14" spans="1:28" x14ac:dyDescent="0.2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</row>
    <row r="15" spans="1:28" x14ac:dyDescent="0.25">
      <c r="B15" s="9">
        <f>171056.493544313/1000</f>
        <v>171.05649354431301</v>
      </c>
      <c r="C15" s="8">
        <v>570</v>
      </c>
      <c r="E15" s="8">
        <v>20</v>
      </c>
    </row>
    <row r="16" spans="1:28" x14ac:dyDescent="0.25">
      <c r="B16" s="9">
        <f>85582.6331149716/1000</f>
        <v>85.5826331149716</v>
      </c>
      <c r="C16" s="8">
        <v>570</v>
      </c>
      <c r="E16" s="8">
        <v>20</v>
      </c>
    </row>
    <row r="17" spans="1:15" x14ac:dyDescent="0.25">
      <c r="B17" s="9">
        <f>384090.367674523/1000</f>
        <v>384.09036767452295</v>
      </c>
      <c r="C17" s="8">
        <v>570</v>
      </c>
      <c r="E17" s="8">
        <v>20</v>
      </c>
    </row>
    <row r="19" spans="1:15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111</v>
      </c>
      <c r="K19" s="8" t="s">
        <v>117</v>
      </c>
      <c r="L19" s="8" t="s">
        <v>118</v>
      </c>
      <c r="M19" s="8" t="s">
        <v>119</v>
      </c>
      <c r="N19" s="8" t="s">
        <v>120</v>
      </c>
    </row>
    <row r="20" spans="1:15" x14ac:dyDescent="0.25">
      <c r="A20" s="8" t="s">
        <v>41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B20*24*365*E20*H20/1000000000</f>
        <v>78.220243988925176</v>
      </c>
      <c r="J20" s="8">
        <v>2</v>
      </c>
      <c r="K20" s="8">
        <v>7.0000000000000007E-2</v>
      </c>
      <c r="L20" s="8">
        <v>7.0250000000000007E-2</v>
      </c>
      <c r="M20" s="8">
        <f>K20*J20*H20*B20*24*365/1000000000</f>
        <v>2.8817984627498752</v>
      </c>
      <c r="N20" s="8">
        <f>L20*J20*H20*B20*24*365/1000000000</f>
        <v>2.8920906001168385</v>
      </c>
    </row>
    <row r="21" spans="1:15" x14ac:dyDescent="0.25">
      <c r="A21" s="8" t="s">
        <v>42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3">2*F21/20</f>
        <v>0.2</v>
      </c>
      <c r="H21" s="8">
        <f t="shared" ref="H21:H22" si="4">G21+C21</f>
        <v>24.2</v>
      </c>
      <c r="I21" s="8">
        <f t="shared" ref="I21:I22" si="5">B21*24*365*E21*H21/1000000000</f>
        <v>39.297377489463408</v>
      </c>
      <c r="J21" s="8">
        <v>2</v>
      </c>
      <c r="K21" s="8">
        <v>7.0000000000000007E-2</v>
      </c>
      <c r="L21" s="8">
        <v>7.0250000000000007E-2</v>
      </c>
      <c r="M21" s="8">
        <f t="shared" ref="M21:M22" si="6">K21*J21*H21*B21*24*365/1000000000</f>
        <v>1.4477981180328632</v>
      </c>
      <c r="N21" s="8">
        <f t="shared" ref="N21:N22" si="7">L21*J21*H21*B21*24*365/1000000000</f>
        <v>1.4529688255972659</v>
      </c>
    </row>
    <row r="22" spans="1:15" x14ac:dyDescent="0.25">
      <c r="A22" s="8" t="s">
        <v>62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3"/>
        <v>0.4</v>
      </c>
      <c r="H22" s="8">
        <f t="shared" si="4"/>
        <v>24.4</v>
      </c>
      <c r="I22" s="8">
        <f t="shared" si="5"/>
        <v>177.82212701345154</v>
      </c>
      <c r="J22" s="8">
        <v>2</v>
      </c>
      <c r="K22" s="8">
        <v>7.0000000000000007E-2</v>
      </c>
      <c r="L22" s="8">
        <v>7.0250000000000007E-2</v>
      </c>
      <c r="M22" s="8">
        <f t="shared" si="6"/>
        <v>6.5513415215482151</v>
      </c>
      <c r="N22" s="8">
        <f t="shared" si="7"/>
        <v>6.5747391698394591</v>
      </c>
    </row>
    <row r="23" spans="1:15" x14ac:dyDescent="0.25">
      <c r="I23" s="8">
        <f>SUM(I20:I22)</f>
        <v>295.33974849184011</v>
      </c>
    </row>
    <row r="30" spans="1:15" x14ac:dyDescent="0.25">
      <c r="G30" s="8" t="s">
        <v>69</v>
      </c>
    </row>
    <row r="31" spans="1:15" x14ac:dyDescent="0.25">
      <c r="G31" s="8">
        <f>Table38[[#Totals],[Total Rent cost per year]]+Table38[[#Totals],[Energy Cost per year in CU]]+Table38[[#Totals],[FM Cost]]+I23</f>
        <v>16418.59069989984</v>
      </c>
      <c r="L31" s="8" t="s">
        <v>97</v>
      </c>
      <c r="M31" s="8" t="s">
        <v>112</v>
      </c>
      <c r="N31" s="8" t="s">
        <v>113</v>
      </c>
      <c r="O31" s="8" t="s">
        <v>121</v>
      </c>
    </row>
    <row r="32" spans="1:15" x14ac:dyDescent="0.25">
      <c r="B32" s="9"/>
      <c r="C32" s="9"/>
      <c r="D32" s="9"/>
      <c r="L32" s="8" t="s">
        <v>92</v>
      </c>
      <c r="M32" s="8">
        <f>Table38[[#Totals],[Total Rent cost per year]]</f>
        <v>5936</v>
      </c>
      <c r="N32" s="8">
        <f>Table38[[#Totals],[Total Rent cost per year]]</f>
        <v>5936</v>
      </c>
      <c r="O32" s="8">
        <f>Table38[[#Totals],[Total Rent cost per year]]</f>
        <v>5936</v>
      </c>
    </row>
    <row r="33" spans="12:15" x14ac:dyDescent="0.25">
      <c r="L33" s="8" t="s">
        <v>93</v>
      </c>
      <c r="M33" s="8">
        <f>Table38[[#Totals],[Energy Cost per year in CU]]</f>
        <v>7847.8912800000007</v>
      </c>
      <c r="N33" s="8">
        <f>Table38[[#Totals],[Energy Cost per year in CU]]</f>
        <v>7847.8912800000007</v>
      </c>
      <c r="O33" s="8">
        <f>Table38[[#Totals],[Energy Cost per year in CU]]</f>
        <v>7847.8912800000007</v>
      </c>
    </row>
    <row r="34" spans="12:15" x14ac:dyDescent="0.25">
      <c r="L34" s="8" t="s">
        <v>94</v>
      </c>
      <c r="M34" s="8">
        <f>Table38[[#Totals],[FM Cost]]+I23</f>
        <v>2634.6994198998404</v>
      </c>
      <c r="N34" s="8">
        <f>Table38[[#Totals],[FM Cost]]+$I$23+M20+M21+M22+Table38[[#Totals],[FM Penalty Business]]</f>
        <v>2731.7672932645714</v>
      </c>
      <c r="O34" s="8">
        <f>Table38[[#Totals],[FM Cost]]+$I$23+N20+N21+N22+Table38[[#Totals],[FM Penalty ITS]]</f>
        <v>2732.4710244012467</v>
      </c>
    </row>
    <row r="35" spans="12:15" x14ac:dyDescent="0.25">
      <c r="L35" s="8" t="s">
        <v>95</v>
      </c>
      <c r="M35" s="8">
        <f>0.05*SUM(M32:M34)</f>
        <v>820.92953499499208</v>
      </c>
      <c r="N35" s="8">
        <f>0.05*SUM(N32:N34)</f>
        <v>825.78292866322863</v>
      </c>
      <c r="O35" s="8">
        <f>0.05*SUM(O32:O34)</f>
        <v>825.81811522006228</v>
      </c>
    </row>
    <row r="36" spans="12:15" x14ac:dyDescent="0.25">
      <c r="L36" s="8" t="s">
        <v>96</v>
      </c>
      <c r="M36" s="8">
        <f>0.07*SUM(M32:M34)</f>
        <v>1149.301348992989</v>
      </c>
      <c r="N36" s="8">
        <f>0.07*SUM(N32:N34)</f>
        <v>1156.0961001285202</v>
      </c>
      <c r="O36" s="8">
        <f>0.07*SUM(O32:O34)</f>
        <v>1156.1453613080873</v>
      </c>
    </row>
    <row r="37" spans="12:15" x14ac:dyDescent="0.25">
      <c r="M37" s="8">
        <f>SUM(Table1416[Residential])</f>
        <v>18388.821583887824</v>
      </c>
      <c r="N37" s="8">
        <f>SUBTOTAL(109,Table1416[Business])</f>
        <v>18497.537602056324</v>
      </c>
      <c r="O37" s="8">
        <f>SUBTOTAL(109,Table1416[Business ITS])</f>
        <v>18498.325780929397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C1" workbookViewId="0">
      <selection activeCell="I22" sqref="I22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111</v>
      </c>
      <c r="Y1" s="8" t="s">
        <v>115</v>
      </c>
      <c r="Z1" s="8" t="s">
        <v>116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23">
        <v>16</v>
      </c>
      <c r="D2" s="23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0.15/50</f>
        <v>3.0000000000000001E-3</v>
      </c>
      <c r="O2" s="8">
        <f>Table19[[#This Row],[Yearly Energy Consumption in kWh]]*Table19[[#This Row],[CU/kWh]]</f>
        <v>0.94608000000000003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  <c r="X2" s="8">
        <v>2</v>
      </c>
      <c r="Y2" s="8">
        <v>7.0000000000000007E-2</v>
      </c>
      <c r="Z2" s="8">
        <f>0.07+2*0.00027</f>
        <v>7.0540000000000005E-2</v>
      </c>
      <c r="AA2" s="38">
        <f>Table19[Percentage of Business Users]*Table19[SLA CU per hour]*Table19[Failures per year]*Table19[Total Time to Repair(h)]</f>
        <v>1.8837504000000001E-3</v>
      </c>
      <c r="AB2" s="8">
        <f>Table19[[#This Row],[Percentage of ITS and business users]]*Table19[[#This Row],[SLA CU per hour]]*Table19[[#This Row],[Failures per year]]*Table19[[#This Row],[Total Time to Repair(h)]]</f>
        <v>1.8982821888E-3</v>
      </c>
    </row>
    <row r="3" spans="1:28" x14ac:dyDescent="0.25">
      <c r="A3" s="19" t="s">
        <v>3</v>
      </c>
      <c r="B3" s="20" t="s">
        <v>71</v>
      </c>
      <c r="C3" s="23">
        <v>17</v>
      </c>
      <c r="D3" s="23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0.15/50</f>
        <v>3.0000000000000001E-3</v>
      </c>
      <c r="O3" s="8">
        <f>Table19[[#This Row],[Yearly Energy Consumption in kWh]]*Table19[[#This Row],[CU/kWh]]</f>
        <v>17.082000000000001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  <c r="X3" s="8">
        <v>2</v>
      </c>
      <c r="Y3" s="8">
        <v>7.0000000000000007E-2</v>
      </c>
      <c r="Z3" s="8">
        <f t="shared" ref="Z3:Z10" si="3">0.07+2*0.00027</f>
        <v>7.0540000000000005E-2</v>
      </c>
      <c r="AA3" s="38">
        <f>Table19[Percentage of Business Users]*Table19[SLA CU per hour]*Table19[Failures per year]*Table19[Total Time to Repair(h)]</f>
        <v>1.5943200000000001E-2</v>
      </c>
      <c r="AB3" s="8">
        <f>Table19[[#This Row],[Percentage of ITS and business users]]*Table19[[#This Row],[SLA CU per hour]]*Table19[[#This Row],[Failures per year]]*Table19[[#This Row],[Total Time to Repair(h)]]</f>
        <v>1.6066190399999999E-2</v>
      </c>
    </row>
    <row r="4" spans="1:28" x14ac:dyDescent="0.25">
      <c r="A4" s="16" t="s">
        <v>3</v>
      </c>
      <c r="B4" s="17" t="s">
        <v>72</v>
      </c>
      <c r="C4" s="23">
        <v>63</v>
      </c>
      <c r="D4" s="23">
        <f t="shared" ref="D4:D5" si="4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3.0000000000000001E-3</v>
      </c>
      <c r="O4" s="8">
        <f>Table19[[#This Row],[Yearly Energy Consumption in kWh]]*Table19[[#This Row],[CU/kWh]]</f>
        <v>79.47072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  <c r="X4" s="8">
        <v>2</v>
      </c>
      <c r="Y4" s="8">
        <v>7.0000000000000007E-2</v>
      </c>
      <c r="Z4" s="8">
        <f t="shared" si="3"/>
        <v>7.0540000000000005E-2</v>
      </c>
      <c r="AA4" s="38">
        <f>Table19[Percentage of Business Users]*Table19[SLA CU per hour]*Table19[Failures per year]*Table19[Total Time to Repair(h)]</f>
        <v>1.5943200000000001E-2</v>
      </c>
      <c r="AB4" s="8">
        <f>Table19[[#This Row],[Percentage of ITS and business users]]*Table19[[#This Row],[SLA CU per hour]]*Table19[[#This Row],[Failures per year]]*Table19[[#This Row],[Total Time to Repair(h)]]</f>
        <v>1.6066190399999999E-2</v>
      </c>
    </row>
    <row r="5" spans="1:28" x14ac:dyDescent="0.25">
      <c r="A5" s="19" t="s">
        <v>3</v>
      </c>
      <c r="B5" s="20" t="s">
        <v>73</v>
      </c>
      <c r="C5" s="23">
        <v>2.2999999999999998</v>
      </c>
      <c r="D5" s="23">
        <f t="shared" si="4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3.0000000000000001E-3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  <c r="X5" s="8">
        <v>2</v>
      </c>
      <c r="Y5" s="8">
        <v>7.0000000000000007E-2</v>
      </c>
      <c r="Z5" s="8">
        <f t="shared" si="3"/>
        <v>7.0540000000000005E-2</v>
      </c>
      <c r="AA5" s="38">
        <f>Table19[Percentage of Business Users]*Table19[SLA CU per hour]*Table19[Failures per year]*Table19[Total Time to Repair(h)]</f>
        <v>1.5943200000000001E-2</v>
      </c>
      <c r="AB5" s="8">
        <f>Table19[[#This Row],[Percentage of ITS and business users]]*Table19[[#This Row],[SLA CU per hour]]*Table19[[#This Row],[Failures per year]]*Table19[[#This Row],[Total Time to Repair(h)]]</f>
        <v>1.6066190399999999E-2</v>
      </c>
    </row>
    <row r="6" spans="1:28" x14ac:dyDescent="0.25">
      <c r="A6" s="16" t="s">
        <v>3</v>
      </c>
      <c r="B6" s="17" t="s">
        <v>74</v>
      </c>
      <c r="C6" s="23">
        <f>0.1/4.5</f>
        <v>2.2222222222222223E-2</v>
      </c>
      <c r="D6" s="23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3.0000000000000001E-3</v>
      </c>
      <c r="O6" s="8">
        <f>Table19[[#This Row],[Yearly Energy Consumption in kWh]]*Table19[[#This Row],[CU/kWh]]</f>
        <v>81.993600000000001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  <c r="X6" s="8">
        <v>2</v>
      </c>
      <c r="Y6" s="8">
        <v>7.0000000000000007E-2</v>
      </c>
      <c r="Z6" s="8">
        <f t="shared" si="3"/>
        <v>7.0540000000000005E-2</v>
      </c>
      <c r="AA6" s="38">
        <f>Table19[Percentage of Business Users]*Table19[SLA CU per hour]*Table19[Failures per year]*Table19[Total Time to Repair(h)]</f>
        <v>0</v>
      </c>
      <c r="AB6" s="8">
        <f>Table19[[#This Row],[Percentage of ITS and business users]]*Table19[[#This Row],[SLA CU per hour]]*Table19[[#This Row],[Failures per year]]*Table19[[#This Row],[Total Time to Repair(h)]]</f>
        <v>0</v>
      </c>
    </row>
    <row r="7" spans="1:28" x14ac:dyDescent="0.25">
      <c r="A7" s="19" t="s">
        <v>3</v>
      </c>
      <c r="B7" s="20" t="s">
        <v>75</v>
      </c>
      <c r="C7" s="23">
        <v>400</v>
      </c>
      <c r="D7" s="23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3.0000000000000001E-3</v>
      </c>
      <c r="O7" s="8">
        <f>Table19[[#This Row],[Yearly Energy Consumption in kWh]]*Table19[[#This Row],[CU/kWh]]</f>
        <v>1.3140000000000001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  <c r="X7" s="8">
        <v>2</v>
      </c>
      <c r="Y7" s="8">
        <v>7.0000000000000007E-2</v>
      </c>
      <c r="Z7" s="8">
        <f t="shared" si="3"/>
        <v>7.0540000000000005E-2</v>
      </c>
      <c r="AA7" s="38">
        <f>Table19[Percentage of Business Users]*Table19[SLA CU per hour]*Table19[Failures per year]*Table19[Total Time to Repair(h)]</f>
        <v>0</v>
      </c>
      <c r="AB7" s="8">
        <f>Table19[[#This Row],[Percentage of ITS and business users]]*Table19[[#This Row],[SLA CU per hour]]*Table19[[#This Row],[Failures per year]]*Table19[[#This Row],[Total Time to Repair(h)]]</f>
        <v>0</v>
      </c>
    </row>
    <row r="8" spans="1:28" x14ac:dyDescent="0.25">
      <c r="A8" s="16" t="s">
        <v>8</v>
      </c>
      <c r="B8" s="17" t="s">
        <v>76</v>
      </c>
      <c r="C8" s="23">
        <f>80*0.3</f>
        <v>24</v>
      </c>
      <c r="D8" s="23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3.0000000000000001E-3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  <c r="X8" s="8">
        <v>2</v>
      </c>
      <c r="Y8" s="8">
        <v>7.0000000000000007E-2</v>
      </c>
      <c r="Z8" s="8">
        <f t="shared" si="3"/>
        <v>7.0540000000000005E-2</v>
      </c>
      <c r="AA8" s="38">
        <f>Table19[Percentage of Business Users]*Table19[SLA CU per hour]*Table19[Failures per year]*Table19[Total Time to Repair(h)]</f>
        <v>9.8050680000000015E-2</v>
      </c>
      <c r="AB8" s="8">
        <f>Table19[[#This Row],[Percentage of ITS and business users]]*Table19[[#This Row],[SLA CU per hour]]*Table19[[#This Row],[Failures per year]]*Table19[[#This Row],[Total Time to Repair(h)]]</f>
        <v>9.8807070960000007E-2</v>
      </c>
    </row>
    <row r="9" spans="1:28" x14ac:dyDescent="0.25">
      <c r="A9" s="19" t="s">
        <v>13</v>
      </c>
      <c r="B9" s="20" t="s">
        <v>60</v>
      </c>
      <c r="C9" s="23">
        <v>10</v>
      </c>
      <c r="D9" s="23">
        <v>5000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512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3.0000000000000001E-3</v>
      </c>
      <c r="O9" s="8">
        <f>Table19[[#This Row],[Yearly Energy Consumption in kWh]]*Table19[[#This Row],[CU/kWh]]</f>
        <v>6570</v>
      </c>
      <c r="P9" s="8">
        <v>2.25</v>
      </c>
      <c r="Q9" s="8">
        <v>20</v>
      </c>
      <c r="R9" s="8">
        <f>Table19[[#This Row],[Quantity]]*Table19[[#This Row],[FIT]]*24*365/1000000000</f>
        <v>22.425599999999999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2064.3886080000002</v>
      </c>
      <c r="X9" s="8">
        <v>2</v>
      </c>
      <c r="Y9" s="8">
        <v>7.0000000000000007E-2</v>
      </c>
      <c r="Z9" s="8">
        <f t="shared" si="3"/>
        <v>7.0540000000000005E-2</v>
      </c>
      <c r="AA9" s="38">
        <f>Table19[Percentage of Business Users]*Table19[SLA CU per hour]*Table19[Failures per year]*Table19[Total Time to Repair(h)]</f>
        <v>76.056422400000002</v>
      </c>
      <c r="AB9" s="8">
        <f>Table19[[#This Row],[Percentage of ITS and business users]]*Table19[[#This Row],[SLA CU per hour]]*Table19[[#This Row],[Failures per year]]*Table19[[#This Row],[Total Time to Repair(h)]]</f>
        <v>76.643143372800012</v>
      </c>
    </row>
    <row r="10" spans="1:28" x14ac:dyDescent="0.25">
      <c r="A10" s="16" t="s">
        <v>13</v>
      </c>
      <c r="B10" s="17" t="s">
        <v>77</v>
      </c>
      <c r="C10" s="23">
        <v>2.2999999999999998</v>
      </c>
      <c r="D10" s="23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3.0000000000000001E-3</v>
      </c>
      <c r="O10" s="8">
        <f>Table19[[#This Row],[Yearly Energy Consumption in kWh]]*Table19[[#This Row],[CU/kWh]]</f>
        <v>617.58000000000004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  <c r="X10" s="8">
        <v>2</v>
      </c>
      <c r="Y10" s="8">
        <v>7.0000000000000007E-2</v>
      </c>
      <c r="Z10" s="8">
        <f t="shared" si="3"/>
        <v>7.0540000000000005E-2</v>
      </c>
      <c r="AA10" s="38">
        <f>Table19[Percentage of Business Users]*Table19[SLA CU per hour]*Table19[Failures per year]*Table19[Total Time to Repair(h)]</f>
        <v>9.7719552000000007</v>
      </c>
      <c r="AB10" s="8">
        <f>Table19[[#This Row],[Percentage of ITS and business users]]*Table19[[#This Row],[SLA CU per hour]]*Table19[[#This Row],[Failures per year]]*Table19[[#This Row],[Total Time to Repair(h)]]</f>
        <v>9.8473388544000002</v>
      </c>
    </row>
    <row r="11" spans="1:28" x14ac:dyDescent="0.25">
      <c r="B11" s="36"/>
      <c r="C11" s="37"/>
      <c r="D11" s="37"/>
      <c r="E11" s="22"/>
      <c r="F11" s="22"/>
      <c r="G11" s="22"/>
      <c r="H11" s="22">
        <f>SUBTOTAL(109,Table19[Total Rent cost per year])</f>
        <v>7314</v>
      </c>
      <c r="I11" s="22"/>
      <c r="J11" s="22"/>
      <c r="K11" s="22"/>
      <c r="L11" s="22"/>
      <c r="M11" s="22"/>
      <c r="N11" s="22"/>
      <c r="O11" s="22">
        <f>SUBTOTAL(109,Table19[Energy Cost per year in CU])</f>
        <v>7368.3864000000003</v>
      </c>
      <c r="P11" s="22"/>
      <c r="Q11" s="22"/>
      <c r="R11" s="22"/>
      <c r="S11" s="22"/>
      <c r="T11" s="22"/>
      <c r="U11" s="22"/>
      <c r="V11" s="22"/>
      <c r="W11" s="22">
        <f>SUM(Table19[FM Cost])</f>
        <v>2333.6381299680002</v>
      </c>
      <c r="X11" s="22"/>
      <c r="Y11" s="22"/>
      <c r="Z11" s="22"/>
      <c r="AA11" s="22">
        <f>SUBTOTAL(109,Table19[FM Penalty Business])</f>
        <v>85.976141630400008</v>
      </c>
      <c r="AB11" s="22">
        <f>SUBTOTAL(109,Table19[FM Penalty ITS])</f>
        <v>86.63938615154882</v>
      </c>
    </row>
    <row r="14" spans="1:28" x14ac:dyDescent="0.25">
      <c r="M14" s="8" t="s">
        <v>69</v>
      </c>
    </row>
    <row r="15" spans="1:28" x14ac:dyDescent="0.25">
      <c r="M15" s="8">
        <f>Table19[[#Totals],[Total Rent cost per year]]+Table19[[#Totals],[Energy Cost per year in CU]]+Table19[[#Totals],[FM Cost]]+J20</f>
        <v>17353.998458565711</v>
      </c>
    </row>
    <row r="17" spans="1:15" x14ac:dyDescent="0.25">
      <c r="A17" s="8" t="s">
        <v>39</v>
      </c>
      <c r="B17" s="8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111</v>
      </c>
      <c r="L17" s="8" t="s">
        <v>117</v>
      </c>
      <c r="M17" s="8" t="s">
        <v>118</v>
      </c>
      <c r="N17" s="8" t="s">
        <v>119</v>
      </c>
      <c r="O17" s="8" t="s">
        <v>120</v>
      </c>
    </row>
    <row r="18" spans="1:15" x14ac:dyDescent="0.25">
      <c r="A18" s="8" t="s">
        <v>41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  <c r="K18" s="8">
        <v>2</v>
      </c>
      <c r="L18" s="8">
        <v>7.0000000000000007E-2</v>
      </c>
      <c r="M18" s="8">
        <v>7.0250000000000007E-2</v>
      </c>
      <c r="N18" s="8">
        <f>L18*K18*I18*C18*24*365/1000000000</f>
        <v>1.2234347634946949</v>
      </c>
      <c r="O18" s="8">
        <f>M18*K18*I18*C18*24*365/1000000000</f>
        <v>1.2278041733643186</v>
      </c>
    </row>
    <row r="19" spans="1:15" x14ac:dyDescent="0.25">
      <c r="A19" s="8" t="s">
        <v>62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  <c r="K19" s="8">
        <v>2</v>
      </c>
      <c r="L19" s="8">
        <v>7.0000000000000007E-2</v>
      </c>
      <c r="M19" s="8">
        <v>7.0250000000000007E-2</v>
      </c>
      <c r="N19" s="8">
        <f t="shared" ref="N19:N20" si="5">L19*K19*I19*C19*24*365/1000000000</f>
        <v>11.22823629010526</v>
      </c>
      <c r="O19" s="8">
        <f t="shared" ref="O19:O20" si="6">M19*K19*I19*C19*24*365/1000000000</f>
        <v>11.268337133998493</v>
      </c>
    </row>
    <row r="20" spans="1:15" x14ac:dyDescent="0.25">
      <c r="J20" s="8">
        <f>SUM(J18:J19)</f>
        <v>337.97392859771304</v>
      </c>
    </row>
    <row r="32" spans="1:15" x14ac:dyDescent="0.25">
      <c r="L32" s="8" t="s">
        <v>97</v>
      </c>
      <c r="M32" s="8" t="s">
        <v>123</v>
      </c>
      <c r="N32" s="8" t="s">
        <v>124</v>
      </c>
      <c r="O32" s="8" t="s">
        <v>125</v>
      </c>
    </row>
    <row r="33" spans="12:15" x14ac:dyDescent="0.25">
      <c r="L33" s="8" t="s">
        <v>92</v>
      </c>
      <c r="M33" s="8">
        <f>Table19[[#Totals],[Total Rent cost per year]]</f>
        <v>7314</v>
      </c>
      <c r="N33" s="8">
        <f>Table19[[#Totals],[Total Rent cost per year]]</f>
        <v>7314</v>
      </c>
      <c r="O33" s="8">
        <f>Table19[[#Totals],[Total Rent cost per year]]</f>
        <v>7314</v>
      </c>
    </row>
    <row r="34" spans="12:15" x14ac:dyDescent="0.25">
      <c r="L34" s="8" t="s">
        <v>93</v>
      </c>
      <c r="M34" s="8">
        <f>Table19[[#Totals],[Energy Cost per year in CU]]</f>
        <v>7368.3864000000003</v>
      </c>
      <c r="N34" s="8">
        <f>Table19[[#Totals],[Energy Cost per year in CU]]</f>
        <v>7368.3864000000003</v>
      </c>
      <c r="O34" s="8">
        <f>Table19[[#Totals],[Energy Cost per year in CU]]</f>
        <v>7368.3864000000003</v>
      </c>
    </row>
    <row r="35" spans="12:15" x14ac:dyDescent="0.25">
      <c r="L35" s="8" t="s">
        <v>94</v>
      </c>
      <c r="M35" s="8">
        <f>Table19[[#Totals],[FM Cost]]+J20</f>
        <v>2671.6120585657131</v>
      </c>
      <c r="N35" s="8">
        <f>Table19[[#Totals],[FM Cost]]+$J$20+N18+N19+Table19[[#Totals],[FM Penalty Business]]</f>
        <v>2770.0398712497131</v>
      </c>
      <c r="O35" s="8">
        <f>Table19[[#Totals],[FM Cost]]+$J$20+O18+O19+Table19[[#Totals],[FM Penalty ITS]]</f>
        <v>2770.747586024625</v>
      </c>
    </row>
    <row r="36" spans="12:15" x14ac:dyDescent="0.25">
      <c r="L36" s="8" t="s">
        <v>95</v>
      </c>
      <c r="M36" s="8">
        <f>0.05*SUM(M33:M35)</f>
        <v>867.69992292828556</v>
      </c>
      <c r="N36" s="8">
        <f>0.05*SUM(N33:N35)</f>
        <v>872.62131356248562</v>
      </c>
      <c r="O36" s="8">
        <f>0.05*SUM(O33:O35)</f>
        <v>872.65669930123113</v>
      </c>
    </row>
    <row r="37" spans="12:15" x14ac:dyDescent="0.25">
      <c r="L37" s="8" t="s">
        <v>96</v>
      </c>
      <c r="M37" s="8">
        <f>0.07*SUM(M33:M35)</f>
        <v>1214.7798920995999</v>
      </c>
      <c r="N37" s="8">
        <f>0.07*SUM(N33:N35)</f>
        <v>1221.6698389874798</v>
      </c>
      <c r="O37" s="8">
        <f>0.07*SUM(O33:O35)</f>
        <v>1221.7193790217236</v>
      </c>
    </row>
    <row r="38" spans="12:15" x14ac:dyDescent="0.25">
      <c r="M38" s="8">
        <f>SUM(Table141617[Residential Cost])</f>
        <v>19436.478273593595</v>
      </c>
      <c r="N38" s="8">
        <f>SUBTOTAL(109,Table141617[Business Cost])</f>
        <v>19546.717423799677</v>
      </c>
      <c r="O38" s="8">
        <f>SUBTOTAL(109,Table141617[ITS cost])</f>
        <v>19547.510064347578</v>
      </c>
    </row>
  </sheetData>
  <hyperlinks>
    <hyperlink ref="AA2" r:id="rId1" display="=@[Percentage of Business Users]*@[SLA CU per hour]*@[Failures per year]*@[Total Time to Repair(h)]"/>
    <hyperlink ref="AA3:AA10" r:id="rId2" display="=@[Percentage of Business Users]*@[SLA CU per hour]*@[Failures per year]*@[Total Time to Repair(h)]"/>
  </hyperlinks>
  <pageMargins left="0.7" right="0.7" top="0.75" bottom="0.75" header="0.3" footer="0.3"/>
  <pageSetup paperSize="9" orientation="portrait" verticalDpi="0" r:id="rId3"/>
  <headerFooter>
    <oddFooter>&amp;LUnrestricted</oddFooter>
  </headerFooter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2018-07-25T17:33:11Z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