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2.xml" ContentType="application/vnd.openxmlformats-officedocument.drawing+xml"/>
  <Override PartName="/xl/tables/table14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tables/table15.xml" ContentType="application/vnd.openxmlformats-officedocument.spreadsheetml.tab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tables/table16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tables/table17.xml" ContentType="application/vnd.openxmlformats-officedocument.spreadsheetml.tab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adzay\LRZ Sync+Share\PycharmProjects\mt_branch_new_code\tumlknexpectimax\tumlknexpectimax\excel_data\"/>
    </mc:Choice>
  </mc:AlternateContent>
  <bookViews>
    <workbookView xWindow="0" yWindow="60" windowWidth="19368" windowHeight="9588" tabRatio="961" firstSheet="1" activeTab="1"/>
  </bookViews>
  <sheets>
    <sheet name="Papers and Reports" sheetId="1" r:id="rId1"/>
    <sheet name="Results_Visual" sheetId="20" r:id="rId2"/>
    <sheet name="FTTCab GPON 26 Mbps" sheetId="2" r:id="rId3"/>
    <sheet name="FTTB XGPON 50 Mbps" sheetId="3" r:id="rId4"/>
    <sheet name="FTTB WR-WDMPON 50 Mbps" sheetId="4" r:id="rId5"/>
    <sheet name="FTTH WR-WDMPON 100 Mbps" sheetId="5" r:id="rId6"/>
    <sheet name="FTTH XGPON 100 Mbps" sheetId="6" r:id="rId7"/>
    <sheet name="FTTCab_GPON_100" sheetId="8" r:id="rId8"/>
    <sheet name="FTTB_XGPON_100" sheetId="9" r:id="rId9"/>
    <sheet name="FTTB_WRWDM_100" sheetId="10" r:id="rId10"/>
    <sheet name="FTTCab_Hybridpon_25" sheetId="11" r:id="rId11"/>
    <sheet name="FTTB_Hybridpon_50" sheetId="12" r:id="rId12"/>
    <sheet name="FTTH_Hybridpon_100" sheetId="13" r:id="rId13"/>
    <sheet name="FTTC_Hybridpon_100" sheetId="14" r:id="rId14"/>
    <sheet name="FTTB_Hybridpon_100" sheetId="15" r:id="rId15"/>
    <sheet name="CAPEX_Euros_OASE" sheetId="7" r:id="rId16"/>
    <sheet name="CAPEX_Euros_Rokkas" sheetId="16" r:id="rId17"/>
    <sheet name="CAPEX_Euros_BSG" sheetId="17" r:id="rId18"/>
    <sheet name="CAPEX_Euros_Phillipson" sheetId="19" r:id="rId19"/>
  </sheets>
  <calcPr calcId="171027"/>
</workbook>
</file>

<file path=xl/calcChain.xml><?xml version="1.0" encoding="utf-8"?>
<calcChain xmlns="http://schemas.openxmlformats.org/spreadsheetml/2006/main">
  <c r="G4" i="10" l="1"/>
  <c r="G5" i="10"/>
  <c r="G3" i="10"/>
  <c r="D3" i="10"/>
  <c r="D7" i="14"/>
  <c r="D7" i="11"/>
  <c r="D10" i="8"/>
  <c r="D9" i="2"/>
  <c r="E9" i="3"/>
  <c r="E9" i="2"/>
  <c r="F8" i="13"/>
  <c r="E8" i="13"/>
  <c r="D8" i="13"/>
  <c r="C8" i="13"/>
  <c r="E9" i="9"/>
  <c r="C9" i="9"/>
  <c r="C9" i="3"/>
  <c r="F10" i="6"/>
  <c r="E10" i="6"/>
  <c r="D10" i="6"/>
  <c r="C10" i="6"/>
  <c r="F10" i="5"/>
  <c r="E10" i="5"/>
  <c r="D10" i="5"/>
  <c r="C10" i="5"/>
  <c r="C9" i="2"/>
  <c r="H13" i="19" l="1"/>
  <c r="H10" i="19"/>
  <c r="H7" i="19"/>
  <c r="E3" i="19"/>
  <c r="E4" i="19"/>
  <c r="E5" i="19"/>
  <c r="E6" i="19"/>
  <c r="E7" i="19"/>
  <c r="E8" i="19"/>
  <c r="E9" i="19"/>
  <c r="E10" i="19"/>
  <c r="E11" i="19"/>
  <c r="E12" i="19"/>
  <c r="E13" i="19"/>
  <c r="E14" i="19"/>
  <c r="E2" i="19"/>
  <c r="D3" i="19"/>
  <c r="D4" i="19"/>
  <c r="D5" i="19"/>
  <c r="D6" i="19"/>
  <c r="D7" i="19"/>
  <c r="D8" i="19"/>
  <c r="D9" i="19"/>
  <c r="D10" i="19"/>
  <c r="D11" i="19"/>
  <c r="D12" i="19"/>
  <c r="D13" i="19"/>
  <c r="D14" i="19"/>
  <c r="D2" i="19"/>
  <c r="K3" i="15"/>
  <c r="K4" i="15"/>
  <c r="K5" i="15"/>
  <c r="K6" i="15"/>
  <c r="K7" i="15"/>
  <c r="K8" i="15"/>
  <c r="K9" i="15"/>
  <c r="K2" i="15"/>
  <c r="B18" i="15" s="1"/>
  <c r="K3" i="14"/>
  <c r="K4" i="14"/>
  <c r="K5" i="14"/>
  <c r="K6" i="14"/>
  <c r="K7" i="14"/>
  <c r="K10" i="14"/>
  <c r="K2" i="14"/>
  <c r="B19" i="14" s="1"/>
  <c r="K3" i="13"/>
  <c r="K4" i="13"/>
  <c r="K5" i="13"/>
  <c r="K6" i="13"/>
  <c r="C18" i="13" s="1"/>
  <c r="G12" i="19" s="1"/>
  <c r="K7" i="13"/>
  <c r="K8" i="13"/>
  <c r="K9" i="13"/>
  <c r="K2" i="13"/>
  <c r="B18" i="13" s="1"/>
  <c r="K3" i="12"/>
  <c r="K4" i="12"/>
  <c r="K5" i="12"/>
  <c r="K6" i="12"/>
  <c r="C18" i="12" s="1"/>
  <c r="G11" i="19" s="1"/>
  <c r="K7" i="12"/>
  <c r="K8" i="12"/>
  <c r="K9" i="12"/>
  <c r="K2" i="12"/>
  <c r="B18" i="12" s="1"/>
  <c r="K3" i="11"/>
  <c r="K4" i="11"/>
  <c r="K5" i="11"/>
  <c r="K6" i="11"/>
  <c r="K7" i="11"/>
  <c r="K10" i="11"/>
  <c r="K2" i="11"/>
  <c r="B19" i="11" s="1"/>
  <c r="K4" i="10"/>
  <c r="K5" i="10"/>
  <c r="K6" i="10"/>
  <c r="K7" i="10"/>
  <c r="K8" i="10"/>
  <c r="C17" i="10" s="1"/>
  <c r="G9" i="19" s="1"/>
  <c r="K9" i="10"/>
  <c r="K10" i="10"/>
  <c r="K2" i="10"/>
  <c r="K4" i="9"/>
  <c r="K5" i="9"/>
  <c r="K8" i="9"/>
  <c r="K9" i="9"/>
  <c r="D19" i="9" s="1"/>
  <c r="H8" i="19" s="1"/>
  <c r="K10" i="9"/>
  <c r="K4" i="8"/>
  <c r="K5" i="8"/>
  <c r="K9" i="8"/>
  <c r="K11" i="8"/>
  <c r="K2" i="8"/>
  <c r="K4" i="6"/>
  <c r="K5" i="6"/>
  <c r="K9" i="6"/>
  <c r="D20" i="6" s="1"/>
  <c r="H6" i="19" s="1"/>
  <c r="K10" i="6"/>
  <c r="K3" i="5"/>
  <c r="K4" i="5"/>
  <c r="K5" i="5"/>
  <c r="K6" i="5"/>
  <c r="K7" i="5"/>
  <c r="K8" i="5"/>
  <c r="C18" i="5" s="1"/>
  <c r="G5" i="19" s="1"/>
  <c r="K9" i="5"/>
  <c r="K10" i="5"/>
  <c r="D18" i="5" s="1"/>
  <c r="H5" i="19" s="1"/>
  <c r="K2" i="5"/>
  <c r="B18" i="5" s="1"/>
  <c r="F5" i="19" s="1"/>
  <c r="K3" i="4"/>
  <c r="K4" i="4"/>
  <c r="K5" i="4"/>
  <c r="K6" i="4"/>
  <c r="K7" i="4"/>
  <c r="K8" i="4"/>
  <c r="C18" i="4" s="1"/>
  <c r="G4" i="19" s="1"/>
  <c r="K9" i="4"/>
  <c r="K10" i="4"/>
  <c r="K2" i="4"/>
  <c r="K4" i="3"/>
  <c r="K5" i="3"/>
  <c r="K7" i="3"/>
  <c r="K8" i="3"/>
  <c r="K9" i="3"/>
  <c r="D20" i="3" s="1"/>
  <c r="H3" i="19" s="1"/>
  <c r="K10" i="3"/>
  <c r="K2" i="3"/>
  <c r="K4" i="2"/>
  <c r="K5" i="2"/>
  <c r="K9" i="2"/>
  <c r="K10" i="2"/>
  <c r="D21" i="2" s="1"/>
  <c r="H2" i="19" s="1"/>
  <c r="K2" i="2"/>
  <c r="F9" i="2"/>
  <c r="F8" i="2"/>
  <c r="F2" i="2"/>
  <c r="E10" i="8"/>
  <c r="C10" i="8"/>
  <c r="H13" i="17"/>
  <c r="H10" i="17"/>
  <c r="H7" i="17"/>
  <c r="H13" i="16"/>
  <c r="H10" i="16"/>
  <c r="H7" i="16"/>
  <c r="C18" i="15" l="1"/>
  <c r="G14" i="19" s="1"/>
  <c r="D18" i="15"/>
  <c r="H14" i="19" s="1"/>
  <c r="D18" i="13"/>
  <c r="H12" i="19" s="1"/>
  <c r="D18" i="12"/>
  <c r="H11" i="19" s="1"/>
  <c r="D17" i="10"/>
  <c r="H9" i="19" s="1"/>
  <c r="D18" i="4"/>
  <c r="H4" i="19" s="1"/>
  <c r="B18" i="4"/>
  <c r="F4" i="19" s="1"/>
  <c r="I4" i="19" s="1"/>
  <c r="J4" i="19" s="1"/>
  <c r="L4" i="19" s="1"/>
  <c r="F13" i="19"/>
  <c r="F11" i="19"/>
  <c r="I11" i="19" s="1"/>
  <c r="J11" i="19" s="1"/>
  <c r="L11" i="19" s="1"/>
  <c r="E18" i="4"/>
  <c r="F10" i="19"/>
  <c r="F12" i="19"/>
  <c r="E18" i="13"/>
  <c r="F14" i="19"/>
  <c r="I14" i="19" s="1"/>
  <c r="J14" i="19" s="1"/>
  <c r="L14" i="19" s="1"/>
  <c r="E18" i="15"/>
  <c r="E18" i="5"/>
  <c r="I5" i="19"/>
  <c r="J5" i="19" s="1"/>
  <c r="L5" i="19" s="1"/>
  <c r="I12" i="19"/>
  <c r="J12" i="19" s="1"/>
  <c r="L12" i="19" s="1"/>
  <c r="D2" i="17"/>
  <c r="E2" i="17"/>
  <c r="E3" i="17"/>
  <c r="E4" i="17"/>
  <c r="E5" i="17"/>
  <c r="E6" i="17"/>
  <c r="E7" i="17"/>
  <c r="E8" i="17"/>
  <c r="E9" i="17"/>
  <c r="E10" i="17"/>
  <c r="E11" i="17"/>
  <c r="E12" i="17"/>
  <c r="E13" i="17"/>
  <c r="E14" i="17"/>
  <c r="D3" i="17"/>
  <c r="D4" i="17"/>
  <c r="D5" i="17"/>
  <c r="D6" i="17"/>
  <c r="D7" i="17"/>
  <c r="D8" i="17"/>
  <c r="D9" i="17"/>
  <c r="D10" i="17"/>
  <c r="D11" i="17"/>
  <c r="D12" i="17"/>
  <c r="D13" i="17"/>
  <c r="D14" i="17"/>
  <c r="J3" i="14"/>
  <c r="J4" i="14"/>
  <c r="J5" i="14"/>
  <c r="J6" i="14"/>
  <c r="J7" i="14"/>
  <c r="J10" i="14"/>
  <c r="J2" i="14"/>
  <c r="J3" i="15"/>
  <c r="J4" i="15"/>
  <c r="J5" i="15"/>
  <c r="J6" i="15"/>
  <c r="J7" i="15"/>
  <c r="J8" i="15"/>
  <c r="J9" i="15"/>
  <c r="J2" i="15"/>
  <c r="E8" i="15"/>
  <c r="E8" i="14"/>
  <c r="J3" i="13"/>
  <c r="J4" i="13"/>
  <c r="J5" i="13"/>
  <c r="J6" i="13"/>
  <c r="J7" i="13"/>
  <c r="J8" i="13"/>
  <c r="J9" i="13"/>
  <c r="J2" i="13"/>
  <c r="J3" i="12"/>
  <c r="J4" i="12"/>
  <c r="J5" i="12"/>
  <c r="J6" i="12"/>
  <c r="J7" i="12"/>
  <c r="J9" i="12"/>
  <c r="J2" i="12"/>
  <c r="E8" i="12"/>
  <c r="J8" i="12" s="1"/>
  <c r="J3" i="11"/>
  <c r="J4" i="11"/>
  <c r="J5" i="11"/>
  <c r="J6" i="11"/>
  <c r="J7" i="11"/>
  <c r="J10" i="11"/>
  <c r="J2" i="11"/>
  <c r="E8" i="11"/>
  <c r="J4" i="10"/>
  <c r="J5" i="10"/>
  <c r="J6" i="10"/>
  <c r="J7" i="10"/>
  <c r="J8" i="10"/>
  <c r="C16" i="10" s="1"/>
  <c r="G9" i="17" s="1"/>
  <c r="J9" i="10"/>
  <c r="J2" i="10"/>
  <c r="E10" i="10"/>
  <c r="J10" i="10" s="1"/>
  <c r="J4" i="9"/>
  <c r="J5" i="9"/>
  <c r="J9" i="9"/>
  <c r="J10" i="9"/>
  <c r="E10" i="9"/>
  <c r="E8" i="9"/>
  <c r="J8" i="9" s="1"/>
  <c r="E6" i="9"/>
  <c r="E2" i="9"/>
  <c r="J4" i="8"/>
  <c r="J5" i="8"/>
  <c r="J9" i="8"/>
  <c r="J11" i="8"/>
  <c r="E8" i="8"/>
  <c r="E6" i="8"/>
  <c r="E5" i="8"/>
  <c r="E2" i="8"/>
  <c r="J2" i="8" s="1"/>
  <c r="J4" i="6"/>
  <c r="J5" i="6"/>
  <c r="J9" i="6"/>
  <c r="J10" i="6"/>
  <c r="J3" i="5"/>
  <c r="J4" i="5"/>
  <c r="J5" i="5"/>
  <c r="J6" i="5"/>
  <c r="J7" i="5"/>
  <c r="J8" i="5"/>
  <c r="C17" i="5" s="1"/>
  <c r="G5" i="17" s="1"/>
  <c r="J9" i="5"/>
  <c r="J10" i="5"/>
  <c r="J2" i="5"/>
  <c r="J3" i="4"/>
  <c r="J4" i="4"/>
  <c r="J5" i="4"/>
  <c r="J6" i="4"/>
  <c r="J7" i="4"/>
  <c r="J8" i="4"/>
  <c r="C17" i="4" s="1"/>
  <c r="G4" i="17" s="1"/>
  <c r="J9" i="4"/>
  <c r="J2" i="4"/>
  <c r="E10" i="4"/>
  <c r="J10" i="4" s="1"/>
  <c r="J4" i="3"/>
  <c r="J5" i="3"/>
  <c r="J7" i="3"/>
  <c r="J9" i="3"/>
  <c r="J10" i="3"/>
  <c r="E10" i="3"/>
  <c r="E8" i="3"/>
  <c r="J8" i="3" s="1"/>
  <c r="E6" i="3"/>
  <c r="E2" i="3"/>
  <c r="J2" i="3" s="1"/>
  <c r="J4" i="2"/>
  <c r="J5" i="2"/>
  <c r="J9" i="2"/>
  <c r="J10" i="2"/>
  <c r="E5" i="2"/>
  <c r="E8" i="2"/>
  <c r="E6" i="2"/>
  <c r="E2" i="2"/>
  <c r="J2" i="2" s="1"/>
  <c r="E18" i="12" l="1"/>
  <c r="D17" i="4"/>
  <c r="H4" i="17" s="1"/>
  <c r="J6" i="2"/>
  <c r="J8" i="14"/>
  <c r="C17" i="12"/>
  <c r="G11" i="17" s="1"/>
  <c r="D17" i="15"/>
  <c r="H14" i="17" s="1"/>
  <c r="D19" i="6"/>
  <c r="H6" i="17" s="1"/>
  <c r="D20" i="2"/>
  <c r="H2" i="17" s="1"/>
  <c r="D16" i="10"/>
  <c r="H9" i="17" s="1"/>
  <c r="B18" i="14"/>
  <c r="F13" i="17" s="1"/>
  <c r="B17" i="15"/>
  <c r="F14" i="17" s="1"/>
  <c r="C17" i="15"/>
  <c r="G14" i="17" s="1"/>
  <c r="B17" i="13"/>
  <c r="F12" i="17" s="1"/>
  <c r="D17" i="13"/>
  <c r="H12" i="17" s="1"/>
  <c r="C17" i="13"/>
  <c r="G12" i="17" s="1"/>
  <c r="B17" i="12"/>
  <c r="F11" i="17" s="1"/>
  <c r="D17" i="12"/>
  <c r="H11" i="17" s="1"/>
  <c r="B18" i="11"/>
  <c r="F10" i="17" s="1"/>
  <c r="D18" i="9"/>
  <c r="H8" i="17" s="1"/>
  <c r="D17" i="5"/>
  <c r="H5" i="17" s="1"/>
  <c r="B17" i="5"/>
  <c r="B17" i="4"/>
  <c r="F4" i="17" s="1"/>
  <c r="I4" i="17" s="1"/>
  <c r="J4" i="17" s="1"/>
  <c r="L4" i="17" s="1"/>
  <c r="D19" i="3"/>
  <c r="H3" i="17" s="1"/>
  <c r="E3" i="16"/>
  <c r="E4" i="16"/>
  <c r="E5" i="16"/>
  <c r="E6" i="16"/>
  <c r="E7" i="16"/>
  <c r="E8" i="16"/>
  <c r="E9" i="16"/>
  <c r="E10" i="16"/>
  <c r="E11" i="16"/>
  <c r="E12" i="16"/>
  <c r="E13" i="16"/>
  <c r="E14" i="16"/>
  <c r="E2" i="16"/>
  <c r="D3" i="16"/>
  <c r="D4" i="16"/>
  <c r="D5" i="16"/>
  <c r="D6" i="16"/>
  <c r="D7" i="16"/>
  <c r="D8" i="16"/>
  <c r="D9" i="16"/>
  <c r="D10" i="16"/>
  <c r="D11" i="16"/>
  <c r="D12" i="16"/>
  <c r="D13" i="16"/>
  <c r="D14" i="16"/>
  <c r="D2" i="16"/>
  <c r="I3" i="15"/>
  <c r="I4" i="15"/>
  <c r="I5" i="15"/>
  <c r="I6" i="15"/>
  <c r="I7" i="15"/>
  <c r="I9" i="15"/>
  <c r="D8" i="15"/>
  <c r="I8" i="15" s="1"/>
  <c r="I2" i="15"/>
  <c r="I4" i="14"/>
  <c r="I5" i="14"/>
  <c r="I6" i="14"/>
  <c r="I7" i="14"/>
  <c r="I10" i="14"/>
  <c r="I2" i="14"/>
  <c r="D8" i="14"/>
  <c r="D3" i="14"/>
  <c r="I3" i="14" s="1"/>
  <c r="I3" i="13"/>
  <c r="I4" i="13"/>
  <c r="I5" i="13"/>
  <c r="I6" i="13"/>
  <c r="I7" i="13"/>
  <c r="I8" i="13"/>
  <c r="I9" i="13"/>
  <c r="I2" i="13"/>
  <c r="I3" i="12"/>
  <c r="I4" i="12"/>
  <c r="I5" i="12"/>
  <c r="I6" i="12"/>
  <c r="C16" i="12" s="1"/>
  <c r="G11" i="16" s="1"/>
  <c r="I7" i="12"/>
  <c r="I9" i="12"/>
  <c r="D8" i="12"/>
  <c r="I8" i="12" s="1"/>
  <c r="I2" i="12"/>
  <c r="I4" i="11"/>
  <c r="I5" i="11"/>
  <c r="I6" i="11"/>
  <c r="I7" i="11"/>
  <c r="I10" i="11"/>
  <c r="I2" i="11"/>
  <c r="D8" i="11"/>
  <c r="I8" i="11" s="1"/>
  <c r="D3" i="11"/>
  <c r="I3" i="11" s="1"/>
  <c r="I9" i="10"/>
  <c r="I4" i="10"/>
  <c r="I5" i="10"/>
  <c r="I6" i="10"/>
  <c r="I7" i="10"/>
  <c r="I2" i="10"/>
  <c r="D10" i="10"/>
  <c r="I10" i="10" s="1"/>
  <c r="D8" i="10"/>
  <c r="I8" i="10" s="1"/>
  <c r="C15" i="10" s="1"/>
  <c r="G9" i="16" s="1"/>
  <c r="I4" i="9"/>
  <c r="I5" i="9"/>
  <c r="I8" i="9"/>
  <c r="I9" i="9"/>
  <c r="I10" i="9"/>
  <c r="D2" i="9"/>
  <c r="I2" i="9" s="1"/>
  <c r="I4" i="8"/>
  <c r="I9" i="8"/>
  <c r="I11" i="8"/>
  <c r="D8" i="8"/>
  <c r="D7" i="8"/>
  <c r="D6" i="8"/>
  <c r="D5" i="8"/>
  <c r="I5" i="8" s="1"/>
  <c r="D3" i="8"/>
  <c r="D2" i="8"/>
  <c r="I2" i="8" s="1"/>
  <c r="I4" i="6"/>
  <c r="I5" i="6"/>
  <c r="I9" i="6"/>
  <c r="I10" i="6"/>
  <c r="D2" i="6"/>
  <c r="G2" i="6"/>
  <c r="G3" i="6"/>
  <c r="G6" i="6"/>
  <c r="G7" i="6"/>
  <c r="G8" i="6"/>
  <c r="I4" i="5"/>
  <c r="I5" i="5"/>
  <c r="I6" i="5"/>
  <c r="I7" i="5"/>
  <c r="I2" i="5"/>
  <c r="I10" i="5"/>
  <c r="I9" i="5"/>
  <c r="D8" i="5"/>
  <c r="I8" i="5" s="1"/>
  <c r="C16" i="5" s="1"/>
  <c r="G5" i="16" s="1"/>
  <c r="D3" i="5"/>
  <c r="I3" i="5" s="1"/>
  <c r="D10" i="4"/>
  <c r="I10" i="4" s="1"/>
  <c r="D8" i="4"/>
  <c r="I8" i="4" s="1"/>
  <c r="C16" i="4" s="1"/>
  <c r="G4" i="16" s="1"/>
  <c r="I4" i="4"/>
  <c r="I5" i="4"/>
  <c r="I6" i="4"/>
  <c r="I7" i="4"/>
  <c r="I9" i="4"/>
  <c r="I2" i="4"/>
  <c r="D3" i="4"/>
  <c r="I3" i="4" s="1"/>
  <c r="D2" i="3"/>
  <c r="I2" i="3" s="1"/>
  <c r="D2" i="2"/>
  <c r="I2" i="2" s="1"/>
  <c r="I3" i="3"/>
  <c r="I4" i="3"/>
  <c r="I5" i="3"/>
  <c r="I7" i="3"/>
  <c r="I8" i="3"/>
  <c r="I9" i="3"/>
  <c r="I10" i="3"/>
  <c r="I4" i="2"/>
  <c r="I10" i="2"/>
  <c r="D19" i="2" s="1"/>
  <c r="H2" i="16" s="1"/>
  <c r="I9" i="2"/>
  <c r="D8" i="2"/>
  <c r="I8" i="2" s="1"/>
  <c r="D7" i="2"/>
  <c r="D6" i="2"/>
  <c r="D5" i="2"/>
  <c r="I5" i="2" s="1"/>
  <c r="D3" i="2"/>
  <c r="I3" i="2" s="1"/>
  <c r="F63" i="7"/>
  <c r="H9" i="15"/>
  <c r="H8" i="15"/>
  <c r="H7" i="15"/>
  <c r="C6" i="15"/>
  <c r="H6" i="15" s="1"/>
  <c r="H5" i="15"/>
  <c r="C4" i="15"/>
  <c r="H4" i="15" s="1"/>
  <c r="H3" i="15"/>
  <c r="H2" i="15"/>
  <c r="H3" i="14"/>
  <c r="H5" i="14"/>
  <c r="H7" i="14"/>
  <c r="H10" i="14"/>
  <c r="D16" i="14" s="1"/>
  <c r="F14" i="7" s="1"/>
  <c r="G9" i="14"/>
  <c r="G8" i="14"/>
  <c r="C6" i="14"/>
  <c r="H6" i="14" s="1"/>
  <c r="C4" i="14"/>
  <c r="H4" i="14" s="1"/>
  <c r="H2" i="14"/>
  <c r="H9" i="13"/>
  <c r="H8" i="13"/>
  <c r="H7" i="13"/>
  <c r="C6" i="13"/>
  <c r="H6" i="13" s="1"/>
  <c r="H5" i="13"/>
  <c r="C4" i="13"/>
  <c r="H4" i="13" s="1"/>
  <c r="H3" i="13"/>
  <c r="H2" i="13"/>
  <c r="H9" i="12"/>
  <c r="H8" i="12"/>
  <c r="H7" i="12"/>
  <c r="C6" i="12"/>
  <c r="H6" i="12" s="1"/>
  <c r="H5" i="12"/>
  <c r="C4" i="12"/>
  <c r="H4" i="12" s="1"/>
  <c r="H3" i="12"/>
  <c r="H2" i="12"/>
  <c r="H5" i="6"/>
  <c r="H9" i="6"/>
  <c r="H10" i="6"/>
  <c r="H3" i="5"/>
  <c r="H4" i="5"/>
  <c r="H5" i="5"/>
  <c r="H7" i="5"/>
  <c r="H9" i="5"/>
  <c r="H10" i="5"/>
  <c r="H3" i="4"/>
  <c r="H4" i="4"/>
  <c r="H5" i="4"/>
  <c r="H7" i="4"/>
  <c r="H9" i="4"/>
  <c r="H10" i="4"/>
  <c r="H2" i="4"/>
  <c r="H5" i="2"/>
  <c r="H9" i="2"/>
  <c r="H10" i="2"/>
  <c r="D18" i="2" s="1"/>
  <c r="F3" i="7" s="1"/>
  <c r="C4" i="11"/>
  <c r="H4" i="11" s="1"/>
  <c r="H3" i="11"/>
  <c r="H5" i="11"/>
  <c r="H7" i="11"/>
  <c r="H10" i="11"/>
  <c r="D16" i="11" s="1"/>
  <c r="F11" i="7" s="1"/>
  <c r="H2" i="11"/>
  <c r="G9" i="11"/>
  <c r="H9" i="11" s="1"/>
  <c r="G8" i="11"/>
  <c r="J8" i="11" s="1"/>
  <c r="C6" i="11"/>
  <c r="H6" i="11" s="1"/>
  <c r="H2" i="10"/>
  <c r="H5" i="10"/>
  <c r="H10" i="10"/>
  <c r="H9" i="10"/>
  <c r="C8" i="10"/>
  <c r="H8" i="10" s="1"/>
  <c r="C14" i="10" s="1"/>
  <c r="E10" i="7" s="1"/>
  <c r="H7" i="10"/>
  <c r="C6" i="10"/>
  <c r="H6" i="10" s="1"/>
  <c r="H4" i="10"/>
  <c r="H3" i="10"/>
  <c r="G7" i="9"/>
  <c r="G6" i="9"/>
  <c r="G3" i="9"/>
  <c r="G2" i="9"/>
  <c r="J2" i="9" s="1"/>
  <c r="H10" i="9"/>
  <c r="H9" i="9"/>
  <c r="H8" i="9"/>
  <c r="H5" i="9"/>
  <c r="C4" i="9"/>
  <c r="H4" i="9" s="1"/>
  <c r="H11" i="8"/>
  <c r="D16" i="8" s="1"/>
  <c r="F8" i="7" s="1"/>
  <c r="G10" i="8"/>
  <c r="H5" i="8"/>
  <c r="H9" i="8"/>
  <c r="H2" i="8"/>
  <c r="G8" i="8"/>
  <c r="C4" i="8"/>
  <c r="H4" i="8" s="1"/>
  <c r="G3" i="8"/>
  <c r="G7" i="8"/>
  <c r="G6" i="8"/>
  <c r="C4" i="6"/>
  <c r="H4" i="6" s="1"/>
  <c r="C8" i="5"/>
  <c r="H8" i="5" s="1"/>
  <c r="C6" i="5"/>
  <c r="H6" i="5" s="1"/>
  <c r="H2" i="5"/>
  <c r="C8" i="4"/>
  <c r="H8" i="4" s="1"/>
  <c r="C6" i="4"/>
  <c r="H6" i="4" s="1"/>
  <c r="H10" i="3"/>
  <c r="G6" i="3"/>
  <c r="G3" i="3"/>
  <c r="H9" i="3"/>
  <c r="H8" i="3"/>
  <c r="H7" i="3"/>
  <c r="H5" i="3"/>
  <c r="C4" i="3"/>
  <c r="H4" i="3" s="1"/>
  <c r="H2" i="3"/>
  <c r="H2" i="2"/>
  <c r="G8" i="2"/>
  <c r="G7" i="2"/>
  <c r="G6" i="2"/>
  <c r="C4" i="2"/>
  <c r="H4" i="2" s="1"/>
  <c r="G3" i="2"/>
  <c r="H4" i="1"/>
  <c r="E4" i="1"/>
  <c r="D16" i="12" l="1"/>
  <c r="H11" i="16" s="1"/>
  <c r="D15" i="12"/>
  <c r="F12" i="7" s="1"/>
  <c r="B18" i="9"/>
  <c r="F8" i="17" s="1"/>
  <c r="I3" i="9"/>
  <c r="B17" i="9" s="1"/>
  <c r="F8" i="16" s="1"/>
  <c r="K3" i="9"/>
  <c r="J3" i="9"/>
  <c r="H6" i="6"/>
  <c r="K6" i="6"/>
  <c r="J6" i="6"/>
  <c r="H6" i="2"/>
  <c r="K6" i="2"/>
  <c r="H6" i="9"/>
  <c r="C16" i="9" s="1"/>
  <c r="K6" i="9"/>
  <c r="C16" i="13"/>
  <c r="G12" i="16" s="1"/>
  <c r="I11" i="17"/>
  <c r="J11" i="17" s="1"/>
  <c r="L11" i="17" s="1"/>
  <c r="J6" i="9"/>
  <c r="C18" i="9" s="1"/>
  <c r="G8" i="17" s="1"/>
  <c r="H6" i="3"/>
  <c r="K6" i="3"/>
  <c r="C20" i="3" s="1"/>
  <c r="G3" i="19" s="1"/>
  <c r="H6" i="8"/>
  <c r="K6" i="8"/>
  <c r="H8" i="8"/>
  <c r="K8" i="8"/>
  <c r="J6" i="8"/>
  <c r="I3" i="6"/>
  <c r="K3" i="6"/>
  <c r="J3" i="6"/>
  <c r="I7" i="2"/>
  <c r="K7" i="2"/>
  <c r="J7" i="2"/>
  <c r="H3" i="8"/>
  <c r="K3" i="8"/>
  <c r="B19" i="8" s="1"/>
  <c r="J3" i="8"/>
  <c r="B18" i="8" s="1"/>
  <c r="F7" i="17" s="1"/>
  <c r="H7" i="9"/>
  <c r="K7" i="9"/>
  <c r="C19" i="9" s="1"/>
  <c r="G8" i="19" s="1"/>
  <c r="J7" i="9"/>
  <c r="K3" i="10"/>
  <c r="B17" i="10" s="1"/>
  <c r="J3" i="10"/>
  <c r="B16" i="10" s="1"/>
  <c r="H8" i="11"/>
  <c r="K8" i="11"/>
  <c r="H3" i="6"/>
  <c r="B17" i="6" s="1"/>
  <c r="D7" i="7" s="1"/>
  <c r="H8" i="14"/>
  <c r="K8" i="14"/>
  <c r="H8" i="6"/>
  <c r="K8" i="6"/>
  <c r="J8" i="6"/>
  <c r="H2" i="6"/>
  <c r="K2" i="6"/>
  <c r="B20" i="6" s="1"/>
  <c r="J2" i="6"/>
  <c r="B19" i="6" s="1"/>
  <c r="F6" i="17" s="1"/>
  <c r="D16" i="15"/>
  <c r="H14" i="16" s="1"/>
  <c r="J8" i="8"/>
  <c r="H10" i="8"/>
  <c r="J10" i="8"/>
  <c r="K10" i="8"/>
  <c r="H7" i="8"/>
  <c r="K7" i="8"/>
  <c r="J7" i="8"/>
  <c r="H3" i="2"/>
  <c r="K3" i="2"/>
  <c r="B21" i="2" s="1"/>
  <c r="J3" i="2"/>
  <c r="B20" i="2" s="1"/>
  <c r="H8" i="2"/>
  <c r="K8" i="2"/>
  <c r="H3" i="3"/>
  <c r="K3" i="3"/>
  <c r="B20" i="3" s="1"/>
  <c r="J3" i="3"/>
  <c r="B19" i="3" s="1"/>
  <c r="F3" i="17" s="1"/>
  <c r="H2" i="9"/>
  <c r="K2" i="9"/>
  <c r="B19" i="9" s="1"/>
  <c r="I9" i="11"/>
  <c r="K9" i="11"/>
  <c r="J9" i="11"/>
  <c r="C18" i="11" s="1"/>
  <c r="I9" i="14"/>
  <c r="K9" i="14"/>
  <c r="J9" i="14"/>
  <c r="C18" i="14" s="1"/>
  <c r="I6" i="2"/>
  <c r="H7" i="6"/>
  <c r="K7" i="6"/>
  <c r="J7" i="6"/>
  <c r="I14" i="17"/>
  <c r="J14" i="17" s="1"/>
  <c r="L14" i="17" s="1"/>
  <c r="J8" i="2"/>
  <c r="C20" i="2" s="1"/>
  <c r="G2" i="17" s="1"/>
  <c r="J6" i="3"/>
  <c r="C19" i="3" s="1"/>
  <c r="G3" i="17" s="1"/>
  <c r="E17" i="15"/>
  <c r="E17" i="13"/>
  <c r="I12" i="17"/>
  <c r="J12" i="17" s="1"/>
  <c r="L12" i="17" s="1"/>
  <c r="E17" i="12"/>
  <c r="D17" i="9"/>
  <c r="H8" i="16" s="1"/>
  <c r="D16" i="9"/>
  <c r="F5" i="17"/>
  <c r="I5" i="17" s="1"/>
  <c r="J5" i="17" s="1"/>
  <c r="L5" i="17" s="1"/>
  <c r="E17" i="5"/>
  <c r="D15" i="5"/>
  <c r="F6" i="7" s="1"/>
  <c r="E17" i="4"/>
  <c r="D18" i="3"/>
  <c r="H3" i="16" s="1"/>
  <c r="C16" i="15"/>
  <c r="G14" i="16" s="1"/>
  <c r="B16" i="15"/>
  <c r="F14" i="16" s="1"/>
  <c r="B17" i="14"/>
  <c r="F13" i="16" s="1"/>
  <c r="I8" i="14"/>
  <c r="H9" i="14"/>
  <c r="C16" i="14" s="1"/>
  <c r="E14" i="7" s="1"/>
  <c r="F68" i="7" s="1"/>
  <c r="D16" i="13"/>
  <c r="H12" i="16" s="1"/>
  <c r="B16" i="12"/>
  <c r="D15" i="10"/>
  <c r="H9" i="16" s="1"/>
  <c r="I3" i="10"/>
  <c r="B15" i="10" s="1"/>
  <c r="I7" i="8"/>
  <c r="I3" i="8"/>
  <c r="B17" i="8" s="1"/>
  <c r="F7" i="16" s="1"/>
  <c r="I8" i="8"/>
  <c r="I6" i="8"/>
  <c r="I2" i="6"/>
  <c r="I7" i="6"/>
  <c r="D18" i="6"/>
  <c r="H6" i="16" s="1"/>
  <c r="B16" i="4"/>
  <c r="D16" i="4"/>
  <c r="H4" i="16" s="1"/>
  <c r="D17" i="3"/>
  <c r="F4" i="7" s="1"/>
  <c r="B16" i="5"/>
  <c r="F5" i="16" s="1"/>
  <c r="C17" i="11"/>
  <c r="G10" i="16" s="1"/>
  <c r="D16" i="5"/>
  <c r="H5" i="16" s="1"/>
  <c r="B17" i="11"/>
  <c r="F10" i="16" s="1"/>
  <c r="I6" i="3"/>
  <c r="C18" i="3" s="1"/>
  <c r="G3" i="16" s="1"/>
  <c r="B18" i="3"/>
  <c r="F3" i="16" s="1"/>
  <c r="I6" i="6"/>
  <c r="I10" i="8"/>
  <c r="I7" i="9"/>
  <c r="B16" i="13"/>
  <c r="C16" i="8"/>
  <c r="E8" i="7" s="1"/>
  <c r="F62" i="7" s="1"/>
  <c r="H7" i="2"/>
  <c r="C18" i="2" s="1"/>
  <c r="E3" i="7" s="1"/>
  <c r="F57" i="7" s="1"/>
  <c r="D17" i="6"/>
  <c r="F7" i="7" s="1"/>
  <c r="I6" i="9"/>
  <c r="B15" i="12"/>
  <c r="C15" i="12"/>
  <c r="E12" i="7" s="1"/>
  <c r="F66" i="7" s="1"/>
  <c r="C15" i="13"/>
  <c r="E13" i="7" s="1"/>
  <c r="I8" i="6"/>
  <c r="C15" i="15"/>
  <c r="E15" i="7" s="1"/>
  <c r="D15" i="13"/>
  <c r="F13" i="7" s="1"/>
  <c r="H3" i="9"/>
  <c r="B16" i="9" s="1"/>
  <c r="B16" i="8"/>
  <c r="B15" i="5"/>
  <c r="D6" i="7" s="1"/>
  <c r="D15" i="4"/>
  <c r="F5" i="7" s="1"/>
  <c r="C19" i="2"/>
  <c r="G2" i="16" s="1"/>
  <c r="C17" i="3"/>
  <c r="E4" i="7" s="1"/>
  <c r="B19" i="2"/>
  <c r="F2" i="16" s="1"/>
  <c r="I2" i="16" s="1"/>
  <c r="J2" i="16" s="1"/>
  <c r="L2" i="16" s="1"/>
  <c r="D15" i="15"/>
  <c r="F15" i="7" s="1"/>
  <c r="B15" i="15"/>
  <c r="D15" i="7" s="1"/>
  <c r="B16" i="14"/>
  <c r="D14" i="7" s="1"/>
  <c r="B15" i="13"/>
  <c r="D13" i="7" s="1"/>
  <c r="C15" i="5"/>
  <c r="E6" i="7" s="1"/>
  <c r="C15" i="4"/>
  <c r="E5" i="7" s="1"/>
  <c r="D14" i="10"/>
  <c r="F10" i="7" s="1"/>
  <c r="F64" i="7" s="1"/>
  <c r="B16" i="11"/>
  <c r="D11" i="7" s="1"/>
  <c r="C16" i="11"/>
  <c r="E11" i="7" s="1"/>
  <c r="F65" i="7" s="1"/>
  <c r="C17" i="6"/>
  <c r="E7" i="7" s="1"/>
  <c r="B14" i="10"/>
  <c r="D10" i="7" s="1"/>
  <c r="G10" i="7" s="1"/>
  <c r="H10" i="7" s="1"/>
  <c r="J10" i="7" s="1"/>
  <c r="B15" i="4"/>
  <c r="D5" i="7" s="1"/>
  <c r="B17" i="3"/>
  <c r="D4" i="7" s="1"/>
  <c r="G4" i="7" s="1"/>
  <c r="H4" i="7" s="1"/>
  <c r="J4" i="7" s="1"/>
  <c r="B18" i="2"/>
  <c r="D3" i="7" s="1"/>
  <c r="I5" i="16" l="1"/>
  <c r="J5" i="16" s="1"/>
  <c r="L5" i="16" s="1"/>
  <c r="I14" i="16"/>
  <c r="J14" i="16" s="1"/>
  <c r="L14" i="16" s="1"/>
  <c r="C17" i="14"/>
  <c r="G13" i="16" s="1"/>
  <c r="I13" i="16" s="1"/>
  <c r="J13" i="16" s="1"/>
  <c r="L13" i="16" s="1"/>
  <c r="I10" i="16"/>
  <c r="J10" i="16" s="1"/>
  <c r="L10" i="16" s="1"/>
  <c r="G10" i="17"/>
  <c r="I10" i="17" s="1"/>
  <c r="J10" i="17" s="1"/>
  <c r="L10" i="17" s="1"/>
  <c r="E18" i="11"/>
  <c r="E18" i="14"/>
  <c r="G13" i="17"/>
  <c r="I13" i="17" s="1"/>
  <c r="J13" i="17" s="1"/>
  <c r="L13" i="17" s="1"/>
  <c r="F2" i="17"/>
  <c r="I2" i="17" s="1"/>
  <c r="J2" i="17" s="1"/>
  <c r="L2" i="17" s="1"/>
  <c r="E20" i="2"/>
  <c r="C19" i="8"/>
  <c r="G7" i="19" s="1"/>
  <c r="G6" i="7"/>
  <c r="H6" i="7" s="1"/>
  <c r="J6" i="7" s="1"/>
  <c r="E18" i="9"/>
  <c r="F8" i="19"/>
  <c r="I8" i="19" s="1"/>
  <c r="J8" i="19" s="1"/>
  <c r="L8" i="19" s="1"/>
  <c r="E19" i="9"/>
  <c r="F2" i="19"/>
  <c r="E21" i="2"/>
  <c r="F6" i="19"/>
  <c r="C19" i="11"/>
  <c r="F7" i="19"/>
  <c r="C18" i="8"/>
  <c r="G7" i="17" s="1"/>
  <c r="I7" i="17" s="1"/>
  <c r="J7" i="17" s="1"/>
  <c r="L7" i="17" s="1"/>
  <c r="C21" i="2"/>
  <c r="G2" i="19" s="1"/>
  <c r="I8" i="17"/>
  <c r="J8" i="17" s="1"/>
  <c r="L8" i="17" s="1"/>
  <c r="E17" i="10"/>
  <c r="F9" i="19"/>
  <c r="I9" i="19" s="1"/>
  <c r="J9" i="19" s="1"/>
  <c r="L9" i="19" s="1"/>
  <c r="C20" i="6"/>
  <c r="G6" i="19" s="1"/>
  <c r="G14" i="7"/>
  <c r="H14" i="7" s="1"/>
  <c r="J14" i="7" s="1"/>
  <c r="E19" i="3"/>
  <c r="E18" i="8"/>
  <c r="C19" i="14"/>
  <c r="F3" i="19"/>
  <c r="I3" i="19" s="1"/>
  <c r="J3" i="19" s="1"/>
  <c r="L3" i="19" s="1"/>
  <c r="E20" i="3"/>
  <c r="F60" i="7"/>
  <c r="B18" i="6"/>
  <c r="F6" i="16" s="1"/>
  <c r="I3" i="17"/>
  <c r="J3" i="17" s="1"/>
  <c r="L3" i="17" s="1"/>
  <c r="E16" i="10"/>
  <c r="F9" i="17"/>
  <c r="I9" i="17" s="1"/>
  <c r="J9" i="17" s="1"/>
  <c r="L9" i="17" s="1"/>
  <c r="C19" i="6"/>
  <c r="E16" i="15"/>
  <c r="G15" i="7"/>
  <c r="H15" i="7" s="1"/>
  <c r="J15" i="7" s="1"/>
  <c r="F69" i="7"/>
  <c r="F67" i="7"/>
  <c r="G13" i="7"/>
  <c r="H13" i="7" s="1"/>
  <c r="J13" i="7" s="1"/>
  <c r="E16" i="13"/>
  <c r="F12" i="16"/>
  <c r="I12" i="16" s="1"/>
  <c r="J12" i="16" s="1"/>
  <c r="L12" i="16" s="1"/>
  <c r="F11" i="16"/>
  <c r="I11" i="16" s="1"/>
  <c r="J11" i="16" s="1"/>
  <c r="L11" i="16" s="1"/>
  <c r="E16" i="12"/>
  <c r="E15" i="12"/>
  <c r="D12" i="7"/>
  <c r="G12" i="7" s="1"/>
  <c r="H12" i="7" s="1"/>
  <c r="J12" i="7" s="1"/>
  <c r="G11" i="7"/>
  <c r="H11" i="7" s="1"/>
  <c r="J11" i="7" s="1"/>
  <c r="E15" i="10"/>
  <c r="F9" i="16"/>
  <c r="I9" i="16" s="1"/>
  <c r="J9" i="16" s="1"/>
  <c r="L9" i="16" s="1"/>
  <c r="E16" i="9"/>
  <c r="D9" i="7"/>
  <c r="G9" i="7" s="1"/>
  <c r="H9" i="7" s="1"/>
  <c r="J9" i="7" s="1"/>
  <c r="E16" i="8"/>
  <c r="D8" i="7"/>
  <c r="G8" i="7" s="1"/>
  <c r="H8" i="7" s="1"/>
  <c r="J8" i="7" s="1"/>
  <c r="F61" i="7"/>
  <c r="C18" i="6"/>
  <c r="G6" i="16" s="1"/>
  <c r="I6" i="16" s="1"/>
  <c r="J6" i="16" s="1"/>
  <c r="L6" i="16" s="1"/>
  <c r="G7" i="7"/>
  <c r="H7" i="7" s="1"/>
  <c r="J7" i="7" s="1"/>
  <c r="G5" i="7"/>
  <c r="H5" i="7" s="1"/>
  <c r="J5" i="7" s="1"/>
  <c r="F59" i="7"/>
  <c r="F4" i="16"/>
  <c r="I4" i="16" s="1"/>
  <c r="J4" i="16" s="1"/>
  <c r="L4" i="16" s="1"/>
  <c r="E16" i="4"/>
  <c r="F58" i="7"/>
  <c r="I3" i="16"/>
  <c r="J3" i="16" s="1"/>
  <c r="L3" i="16" s="1"/>
  <c r="G3" i="7"/>
  <c r="H3" i="7" s="1"/>
  <c r="J3" i="7" s="1"/>
  <c r="E17" i="14"/>
  <c r="E17" i="11"/>
  <c r="E15" i="15"/>
  <c r="E16" i="14"/>
  <c r="C17" i="9"/>
  <c r="G8" i="16" s="1"/>
  <c r="I8" i="16" s="1"/>
  <c r="J8" i="16" s="1"/>
  <c r="L8" i="16" s="1"/>
  <c r="C17" i="8"/>
  <c r="E18" i="6"/>
  <c r="E15" i="5"/>
  <c r="E17" i="9"/>
  <c r="E18" i="3"/>
  <c r="E16" i="5"/>
  <c r="E15" i="13"/>
  <c r="E14" i="10"/>
  <c r="E19" i="2"/>
  <c r="E16" i="11"/>
  <c r="E17" i="6"/>
  <c r="E15" i="4"/>
  <c r="E17" i="3"/>
  <c r="E18" i="2"/>
  <c r="I6" i="19" l="1"/>
  <c r="J6" i="19" s="1"/>
  <c r="L6" i="19" s="1"/>
  <c r="E20" i="6"/>
  <c r="E19" i="8"/>
  <c r="I7" i="19"/>
  <c r="J7" i="19" s="1"/>
  <c r="L7" i="19" s="1"/>
  <c r="G6" i="17"/>
  <c r="I6" i="17" s="1"/>
  <c r="J6" i="17" s="1"/>
  <c r="L6" i="17" s="1"/>
  <c r="E19" i="6"/>
  <c r="G13" i="19"/>
  <c r="I13" i="19" s="1"/>
  <c r="J13" i="19" s="1"/>
  <c r="L13" i="19" s="1"/>
  <c r="E19" i="14"/>
  <c r="G10" i="19"/>
  <c r="I10" i="19" s="1"/>
  <c r="J10" i="19" s="1"/>
  <c r="L10" i="19" s="1"/>
  <c r="E19" i="11"/>
  <c r="I2" i="19"/>
  <c r="J2" i="19" s="1"/>
  <c r="L2" i="19" s="1"/>
  <c r="E17" i="8"/>
  <c r="G7" i="16"/>
  <c r="I7" i="16" s="1"/>
  <c r="J7" i="16" s="1"/>
  <c r="L7" i="16" s="1"/>
</calcChain>
</file>

<file path=xl/comments1.xml><?xml version="1.0" encoding="utf-8"?>
<comments xmlns="http://schemas.openxmlformats.org/spreadsheetml/2006/main">
  <authors>
    <author>Patri, Sai Kireet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15000 euros per 100 Gbps
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15000 euros per 100 Gbps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15000 euros per 100 Gbps
</t>
        </r>
      </text>
    </comment>
  </commentList>
</comments>
</file>

<file path=xl/sharedStrings.xml><?xml version="1.0" encoding="utf-8"?>
<sst xmlns="http://schemas.openxmlformats.org/spreadsheetml/2006/main" count="633" uniqueCount="130">
  <si>
    <t>Paper</t>
  </si>
  <si>
    <t>Duct Cost</t>
  </si>
  <si>
    <t>Fiber Cost</t>
  </si>
  <si>
    <t>RN Cost</t>
  </si>
  <si>
    <t>Duct Cost /km</t>
  </si>
  <si>
    <t>Fiber Cost /km</t>
  </si>
  <si>
    <t>Phillipson 2013</t>
  </si>
  <si>
    <t>RN1 Cost/unit</t>
  </si>
  <si>
    <t>RN2 Cost/unit</t>
  </si>
  <si>
    <t>Technology deployed</t>
  </si>
  <si>
    <t>CO Cost /unit</t>
  </si>
  <si>
    <t>NA</t>
  </si>
  <si>
    <t>FTTCab</t>
  </si>
  <si>
    <t>G.fast</t>
  </si>
  <si>
    <t>ONT Cost/unit</t>
  </si>
  <si>
    <t>Phillipson 2014</t>
  </si>
  <si>
    <t>WDM</t>
  </si>
  <si>
    <t>Leiva 2012+ 
Huelsermann 2008</t>
  </si>
  <si>
    <t>Position of component</t>
  </si>
  <si>
    <t>Component Name</t>
  </si>
  <si>
    <t>Cost per Unit (OASE)</t>
  </si>
  <si>
    <t>Quantity</t>
  </si>
  <si>
    <t>Component Cost</t>
  </si>
  <si>
    <t>GPON OLT Card(8*2.5Gbps)</t>
  </si>
  <si>
    <t>Pluggable B+</t>
  </si>
  <si>
    <t>Switching Cost</t>
  </si>
  <si>
    <t>Additional</t>
  </si>
  <si>
    <t>Central Office</t>
  </si>
  <si>
    <t>RN1</t>
  </si>
  <si>
    <t>Power Splitter 1:8</t>
  </si>
  <si>
    <t>RN2</t>
  </si>
  <si>
    <t>GPON ONT</t>
  </si>
  <si>
    <t>Building</t>
  </si>
  <si>
    <t>1:8 Mini DSLAM</t>
  </si>
  <si>
    <t>Total Cost</t>
  </si>
  <si>
    <t>OLT Electronic Cost</t>
  </si>
  <si>
    <t>RN Electronics Cost</t>
  </si>
  <si>
    <t>Building Electronics Cost</t>
  </si>
  <si>
    <t>XGPON OLT Card(6*10Gbps)</t>
  </si>
  <si>
    <t>Pluggable Nom1</t>
  </si>
  <si>
    <t>XGPON ONT</t>
  </si>
  <si>
    <t>Multi Frequency Laser</t>
  </si>
  <si>
    <t>OLT Shelf Port Card (1 for 80 channels)</t>
  </si>
  <si>
    <t>80*1G Laser</t>
  </si>
  <si>
    <t>Diplexer+Circulator</t>
  </si>
  <si>
    <t>Switching Capacity</t>
  </si>
  <si>
    <t>Additional Cost</t>
  </si>
  <si>
    <t>1:80 AWG</t>
  </si>
  <si>
    <t>1:8 Power Splitter</t>
  </si>
  <si>
    <t>Technology</t>
  </si>
  <si>
    <t>FTTCab_GPON_25</t>
  </si>
  <si>
    <t>FTTB_XGPON_50</t>
  </si>
  <si>
    <t>FTTB_WRWDM_50</t>
  </si>
  <si>
    <t>FTTH_WRWDM_100</t>
  </si>
  <si>
    <t>FTTH_XGPON_100</t>
  </si>
  <si>
    <t>Total Cost in Cost Units</t>
  </si>
  <si>
    <t>Total Cost in Euros</t>
  </si>
  <si>
    <t>No. Of HH</t>
  </si>
  <si>
    <t>Pure Residential Scenario</t>
  </si>
  <si>
    <t>Data rate</t>
  </si>
  <si>
    <t>Remote Node E&amp;I Costs</t>
  </si>
  <si>
    <t>Building E&amp;I Costs</t>
  </si>
  <si>
    <t>Central Office E&amp;I Costs</t>
  </si>
  <si>
    <t>GPON OLT Card(6*10Gbps)</t>
  </si>
  <si>
    <t>1:4 Power Splitter</t>
  </si>
  <si>
    <t>1:6 Mini DSLAM</t>
  </si>
  <si>
    <t>NIL</t>
  </si>
  <si>
    <t>FTTCab_GPON_100</t>
  </si>
  <si>
    <t>FTTB_XGPON_100</t>
  </si>
  <si>
    <t>FTTB_WRWDM_100</t>
  </si>
  <si>
    <t>FTTC_Hybridpon_25</t>
  </si>
  <si>
    <t>FTTB_Hybridpon_50</t>
  </si>
  <si>
    <t>FTTH_Hybridpon_100</t>
  </si>
  <si>
    <t>FTTC_Hybridpon_100</t>
  </si>
  <si>
    <t>FTTB_Hybridpon_100</t>
  </si>
  <si>
    <t>HybridPON ONT</t>
  </si>
  <si>
    <t>1:16 DSLAM</t>
  </si>
  <si>
    <t>Buildings</t>
  </si>
  <si>
    <t>EDFA</t>
  </si>
  <si>
    <t>1:16 Power Splitter</t>
  </si>
  <si>
    <t>CO cost</t>
  </si>
  <si>
    <t>Component Cost(OASE)</t>
  </si>
  <si>
    <t>Cost per Unit (Rokkas)</t>
  </si>
  <si>
    <t>Component Cost(Rokkas)</t>
  </si>
  <si>
    <t>Reference</t>
  </si>
  <si>
    <t>OASE</t>
  </si>
  <si>
    <t>Rokkas 2015</t>
  </si>
  <si>
    <t>Cost per Unit(Rokkas)</t>
  </si>
  <si>
    <t>WDMPON ONT</t>
  </si>
  <si>
    <t>Rokkas (2015)</t>
  </si>
  <si>
    <t>Duct Length</t>
  </si>
  <si>
    <t>Fiber Length</t>
  </si>
  <si>
    <t>Cost per Home passed(Rokkas)</t>
  </si>
  <si>
    <t>Total Cost in Euros(Rokkas)</t>
  </si>
  <si>
    <t>Papers added</t>
  </si>
  <si>
    <t>Title</t>
  </si>
  <si>
    <t>Date of Publishing</t>
  </si>
  <si>
    <t>Authors</t>
  </si>
  <si>
    <t>URL</t>
  </si>
  <si>
    <t>https://ieeexplore.ieee.org/document/7347221/</t>
  </si>
  <si>
    <t>Techno-economic analysis of PON architectures for FTTH deployments: Comparison between GPON,XGPON and NG-PON2 for a Greenfield operator</t>
  </si>
  <si>
    <t> 2015 Conference of Telecommunication, Media and Internet Techno-Economics (CTTE)</t>
  </si>
  <si>
    <t>Journal/Conference</t>
  </si>
  <si>
    <t>Theodoros Rokkas</t>
  </si>
  <si>
    <t>BSG- The costs of deploying next generation fiber broadband</t>
  </si>
  <si>
    <t>http://www.broadbanduk.org/wp-content/uploads/2012/08/http___www-broadbanduk6.pdf</t>
  </si>
  <si>
    <t>Analysys Mason</t>
  </si>
  <si>
    <t>Broadband Stakeholders Group</t>
  </si>
  <si>
    <t>Cost per Unit (BSG)</t>
  </si>
  <si>
    <t>Component Cost(BSG)</t>
  </si>
  <si>
    <t>BSG 2008</t>
  </si>
  <si>
    <t>Cost per Unit(BSG)</t>
  </si>
  <si>
    <t>Total Cost in Euros(BSG)</t>
  </si>
  <si>
    <t>Cost per Home passed(BSG)</t>
  </si>
  <si>
    <t>1:6 Mini DSLAM+Cabinet</t>
  </si>
  <si>
    <t>1:4 Mini DSLAM+Cabinet</t>
  </si>
  <si>
    <t>Cost per Home passed(OASE)</t>
  </si>
  <si>
    <t>Fourth Generation Broadband Delivered by Hybrid FttH Solution—A Techno-Economic Study</t>
  </si>
  <si>
    <t>J. OPT. COMMUN. NETW./VOL. 5, NO. 11/NOVEMBER 2013</t>
  </si>
  <si>
    <t>Frank Phillipson, Charlotte Smit-Rietveld, and Pieter Verhagen</t>
  </si>
  <si>
    <t>https://www.researchgate.net/publication/260357529</t>
  </si>
  <si>
    <t>Cost per Unit(Philipson)</t>
  </si>
  <si>
    <t>Component Cost(Phillipson)</t>
  </si>
  <si>
    <t>Cost per Unit(Phillipson)</t>
  </si>
  <si>
    <t>Cost per Unit (Phillipson)</t>
  </si>
  <si>
    <t>Cost per uNit(Phillipson)</t>
  </si>
  <si>
    <t>Total Cost in Euros(Phillipson)</t>
  </si>
  <si>
    <t>1:32 DSLAM+Cabinet</t>
  </si>
  <si>
    <t>WR-WDMPON ONT+Install Cost</t>
  </si>
  <si>
    <t>Cost per Home passed(Phillipson)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</si>
</sst>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€-2]\ #,##0;[Red]\-[$€-2]\ #,##0"/>
    <numFmt numFmtId="165" formatCode="[$€-2]\ #,##0.00;[Red]\-[$€-2]\ #,##0.00"/>
  </numFmts>
  <fonts count="1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7.600000000000001"/>
      <color rgb="FF333333"/>
      <name val="Arial"/>
      <family val="2"/>
    </font>
    <font>
      <sz val="9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theme="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5"/>
      </top>
      <bottom style="thin">
        <color theme="4" tint="0.3999755851924192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0" borderId="1" applyNumberFormat="0" applyFill="0" applyAlignment="0" applyProtection="0"/>
    <xf numFmtId="0" fontId="8" fillId="0" borderId="0"/>
    <xf numFmtId="0" fontId="11" fillId="0" borderId="0" applyNumberFormat="0" applyFill="0" applyBorder="0" applyAlignment="0" applyProtection="0"/>
  </cellStyleXfs>
  <cellXfs count="3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2" xfId="0" applyFont="1" applyBorder="1"/>
    <xf numFmtId="0" fontId="5" fillId="0" borderId="1" xfId="4"/>
    <xf numFmtId="0" fontId="5" fillId="0" borderId="2" xfId="0" applyFont="1" applyBorder="1"/>
    <xf numFmtId="0" fontId="4" fillId="4" borderId="0" xfId="0" applyFont="1" applyFill="1" applyBorder="1"/>
    <xf numFmtId="0" fontId="0" fillId="0" borderId="2" xfId="0" applyNumberFormat="1" applyFont="1" applyBorder="1"/>
    <xf numFmtId="0" fontId="2" fillId="2" borderId="0" xfId="2"/>
    <xf numFmtId="0" fontId="3" fillId="3" borderId="0" xfId="3"/>
    <xf numFmtId="0" fontId="0" fillId="0" borderId="2" xfId="4" applyNumberFormat="1" applyFont="1" applyBorder="1"/>
    <xf numFmtId="0" fontId="0" fillId="0" borderId="0" xfId="0" applyFont="1" applyBorder="1"/>
    <xf numFmtId="0" fontId="0" fillId="0" borderId="0" xfId="0"/>
    <xf numFmtId="0" fontId="2" fillId="2" borderId="0" xfId="2"/>
    <xf numFmtId="0" fontId="1" fillId="0" borderId="4" xfId="1" applyBorder="1"/>
    <xf numFmtId="0" fontId="1" fillId="0" borderId="0" xfId="1" applyBorder="1"/>
    <xf numFmtId="0" fontId="0" fillId="0" borderId="0" xfId="0" applyBorder="1"/>
    <xf numFmtId="0" fontId="1" fillId="0" borderId="3" xfId="1" applyBorder="1"/>
    <xf numFmtId="0" fontId="0" fillId="0" borderId="0" xfId="0"/>
    <xf numFmtId="0" fontId="2" fillId="2" borderId="0" xfId="2"/>
    <xf numFmtId="0" fontId="0" fillId="0" borderId="0" xfId="0"/>
    <xf numFmtId="0" fontId="1" fillId="0" borderId="3" xfId="1" applyBorder="1"/>
    <xf numFmtId="0" fontId="0" fillId="0" borderId="0" xfId="0"/>
    <xf numFmtId="0" fontId="0" fillId="0" borderId="0" xfId="0"/>
    <xf numFmtId="0" fontId="9" fillId="0" borderId="0" xfId="0" applyFont="1" applyAlignment="1">
      <alignment vertical="center" wrapText="1"/>
    </xf>
    <xf numFmtId="0" fontId="11" fillId="0" borderId="0" xfId="6"/>
    <xf numFmtId="14" fontId="0" fillId="0" borderId="0" xfId="0" applyNumberFormat="1"/>
    <xf numFmtId="0" fontId="0" fillId="5" borderId="5" xfId="0" applyFont="1" applyFill="1" applyBorder="1"/>
    <xf numFmtId="0" fontId="0" fillId="0" borderId="5" xfId="0" applyFont="1" applyBorder="1"/>
    <xf numFmtId="0" fontId="0" fillId="0" borderId="0" xfId="0" applyFont="1"/>
    <xf numFmtId="0" fontId="4" fillId="4" borderId="5" xfId="0" applyFont="1" applyFill="1" applyBorder="1"/>
    <xf numFmtId="14" fontId="10" fillId="0" borderId="0" xfId="0" applyNumberFormat="1" applyFont="1"/>
    <xf numFmtId="0" fontId="12" fillId="0" borderId="0" xfId="0" applyFont="1"/>
    <xf numFmtId="0" fontId="13" fillId="4" borderId="0" xfId="0" applyFont="1" applyFill="1" applyBorder="1"/>
    <xf numFmtId="0" fontId="12" fillId="0" borderId="0" xfId="0" applyFont="1" applyBorder="1"/>
    <xf numFmtId="0" fontId="0" fillId="0" borderId="0" xfId="0" applyNumberFormat="1" applyFont="1" applyBorder="1"/>
  </cellXfs>
  <cellStyles count="7">
    <cellStyle name="Bad" xfId="3" builtinId="27"/>
    <cellStyle name="Good" xfId="2" builtinId="26"/>
    <cellStyle name="Heading 4" xfId="1" builtinId="19"/>
    <cellStyle name="Hyperlink" xfId="6" builtinId="8"/>
    <cellStyle name="Normal" xfId="0" builtinId="0"/>
    <cellStyle name="Standard 2" xfId="5"/>
    <cellStyle name="Total" xfId="4" builtinId="25"/>
  </cellStyles>
  <dxfs count="18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CAPEX in millions</a:t>
            </a:r>
            <a:r>
              <a:rPr lang="de-DE" baseline="0"/>
              <a:t> of Euros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15398361.455944443</c:v>
                </c:pt>
                <c:pt idx="1">
                  <c:v>10825342.396166665</c:v>
                </c:pt>
                <c:pt idx="2">
                  <c:v>7252293.4393333327</c:v>
                </c:pt>
                <c:pt idx="3">
                  <c:v>10904606.772666667</c:v>
                </c:pt>
                <c:pt idx="4">
                  <c:v>14412479.062833335</c:v>
                </c:pt>
                <c:pt idx="5">
                  <c:v>17393490.344833333</c:v>
                </c:pt>
                <c:pt idx="6">
                  <c:v>11057964.062833332</c:v>
                </c:pt>
                <c:pt idx="7">
                  <c:v>7658151.7726666676</c:v>
                </c:pt>
                <c:pt idx="8">
                  <c:v>10751699.7115</c:v>
                </c:pt>
                <c:pt idx="9">
                  <c:v>8939460.5834999997</c:v>
                </c:pt>
                <c:pt idx="10">
                  <c:v>14909104.363500001</c:v>
                </c:pt>
                <c:pt idx="11">
                  <c:v>12392249.7115</c:v>
                </c:pt>
                <c:pt idx="12">
                  <c:v>9833460.5834999997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8-4602-901D-E5BA6EC24506}"/>
            </c:ext>
          </c:extLst>
        </c:ser>
        <c:ser>
          <c:idx val="3"/>
          <c:order val="1"/>
          <c:tx>
            <c:strRef>
              <c:f>CAPEX_Euros_Phillipson!$J$1</c:f>
              <c:strCache>
                <c:ptCount val="1"/>
                <c:pt idx="0">
                  <c:v>Total Cost in Euros(Phillipson)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CAPEX_Euros_Phillipson!$J$2:$J$14</c:f>
              <c:numCache>
                <c:formatCode>General</c:formatCode>
                <c:ptCount val="13"/>
                <c:pt idx="0">
                  <c:v>18861337.618583925</c:v>
                </c:pt>
                <c:pt idx="1">
                  <c:v>8263453.0440472765</c:v>
                </c:pt>
                <c:pt idx="2">
                  <c:v>6744373.1499947971</c:v>
                </c:pt>
                <c:pt idx="3">
                  <c:v>13500873.149994796</c:v>
                </c:pt>
                <c:pt idx="4">
                  <c:v>15224353.044047277</c:v>
                </c:pt>
                <c:pt idx="5">
                  <c:v>8322337.6185839223</c:v>
                </c:pt>
                <c:pt idx="6">
                  <c:v>8475703.0440472774</c:v>
                </c:pt>
                <c:pt idx="7">
                  <c:v>8174373.1499947971</c:v>
                </c:pt>
                <c:pt idx="8">
                  <c:v>11790741.677680973</c:v>
                </c:pt>
                <c:pt idx="9">
                  <c:v>8451696.3853536919</c:v>
                </c:pt>
                <c:pt idx="10">
                  <c:v>14912330.38535369</c:v>
                </c:pt>
                <c:pt idx="11">
                  <c:v>12548241.677680973</c:v>
                </c:pt>
                <c:pt idx="12">
                  <c:v>7969196.3853536919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9-4DD5-A120-89BC345C596F}"/>
            </c:ext>
          </c:extLst>
        </c:ser>
        <c:ser>
          <c:idx val="2"/>
          <c:order val="2"/>
          <c:tx>
            <c:strRef>
              <c:f>CAPEX_Euros_BSG!$J$1</c:f>
              <c:strCache>
                <c:ptCount val="1"/>
                <c:pt idx="0">
                  <c:v>Total Cost in Euros(BSG)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CAPEX_Euros_BSG!$J$2:$J$14</c:f>
              <c:numCache>
                <c:formatCode>General</c:formatCode>
                <c:ptCount val="13"/>
                <c:pt idx="0">
                  <c:v>39154337.007425129</c:v>
                </c:pt>
                <c:pt idx="1">
                  <c:v>24445057.803101256</c:v>
                </c:pt>
                <c:pt idx="2">
                  <c:v>21659918.969783098</c:v>
                </c:pt>
                <c:pt idx="3">
                  <c:v>22522618.969783098</c:v>
                </c:pt>
                <c:pt idx="4">
                  <c:v>32640037.803101253</c:v>
                </c:pt>
                <c:pt idx="5">
                  <c:v>44120457.007425137</c:v>
                </c:pt>
                <c:pt idx="6">
                  <c:v>25097617.803101256</c:v>
                </c:pt>
                <c:pt idx="7">
                  <c:v>22472418.969783098</c:v>
                </c:pt>
                <c:pt idx="8">
                  <c:v>27100080.481793776</c:v>
                </c:pt>
                <c:pt idx="9">
                  <c:v>22927963.137474932</c:v>
                </c:pt>
                <c:pt idx="10">
                  <c:v>31064688.937474929</c:v>
                </c:pt>
                <c:pt idx="11">
                  <c:v>29651580.481793776</c:v>
                </c:pt>
                <c:pt idx="12">
                  <c:v>24127963.137474932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8-4602-901D-E5BA6EC24506}"/>
            </c:ext>
          </c:extLst>
        </c:ser>
        <c:ser>
          <c:idx val="0"/>
          <c:order val="3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24888699.883375917</c:v>
                </c:pt>
                <c:pt idx="1">
                  <c:v>9882499.8833759166</c:v>
                </c:pt>
                <c:pt idx="2">
                  <c:v>7907692.4290527506</c:v>
                </c:pt>
                <c:pt idx="3">
                  <c:v>15633092.42905275</c:v>
                </c:pt>
                <c:pt idx="4">
                  <c:v>16205899.883375917</c:v>
                </c:pt>
                <c:pt idx="5">
                  <c:v>25777299.883375917</c:v>
                </c:pt>
                <c:pt idx="6">
                  <c:v>10205599.883375917</c:v>
                </c:pt>
                <c:pt idx="7">
                  <c:v>8557692.4290527496</c:v>
                </c:pt>
                <c:pt idx="8">
                  <c:v>23928162.54905314</c:v>
                </c:pt>
                <c:pt idx="9">
                  <c:v>9319523.9473406393</c:v>
                </c:pt>
                <c:pt idx="10">
                  <c:v>16871123.947340641</c:v>
                </c:pt>
                <c:pt idx="11">
                  <c:v>16690462.549053138</c:v>
                </c:pt>
                <c:pt idx="12">
                  <c:v>10121123.947340639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8-4602-901D-E5BA6EC2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33248"/>
        <c:axId val="215217792"/>
      </c:barChart>
      <c:catAx>
        <c:axId val="21093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217792"/>
        <c:crosses val="autoZero"/>
        <c:auto val="1"/>
        <c:lblAlgn val="ctr"/>
        <c:lblOffset val="100"/>
        <c:noMultiLvlLbl val="0"/>
      </c:catAx>
      <c:valAx>
        <c:axId val="215217792"/>
        <c:scaling>
          <c:logBase val="10"/>
          <c:orientation val="minMax"/>
          <c:min val="1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de-DE" sz="1600"/>
                  <a:t>€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33248"/>
        <c:crosses val="autoZero"/>
        <c:crossBetween val="between"/>
        <c:majorUnit val="10"/>
        <c:minorUnit val="10"/>
        <c:dispUnits>
          <c:builtInUnit val="millions"/>
          <c:dispUnitsLbl>
            <c:layout>
              <c:manualLayout>
                <c:xMode val="edge"/>
                <c:yMode val="edge"/>
                <c:x val="7.0901583662798209E-2"/>
                <c:y val="4.2969286060449023E-2"/>
              </c:manualLayout>
            </c:layout>
          </c:dispUnitsLbl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CAPEX_Euros_Rokkas!$D$1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CAPEX_Euros_Rokkas!$D$2:$D$14</c:f>
              <c:numCache>
                <c:formatCode>General</c:formatCode>
                <c:ptCount val="13"/>
                <c:pt idx="0">
                  <c:v>108181.99766751831</c:v>
                </c:pt>
                <c:pt idx="1">
                  <c:v>108181.99766751831</c:v>
                </c:pt>
                <c:pt idx="2">
                  <c:v>66893.848581055019</c:v>
                </c:pt>
                <c:pt idx="3">
                  <c:v>66893.848581055019</c:v>
                </c:pt>
                <c:pt idx="4">
                  <c:v>108181.99766751831</c:v>
                </c:pt>
                <c:pt idx="5">
                  <c:v>108181.99766751831</c:v>
                </c:pt>
                <c:pt idx="6">
                  <c:v>108181.99766751831</c:v>
                </c:pt>
                <c:pt idx="7">
                  <c:v>66893.848581055019</c:v>
                </c:pt>
                <c:pt idx="8">
                  <c:v>88649.250981062796</c:v>
                </c:pt>
                <c:pt idx="9">
                  <c:v>89276.478946812786</c:v>
                </c:pt>
                <c:pt idx="10">
                  <c:v>89276.478946812786</c:v>
                </c:pt>
                <c:pt idx="11">
                  <c:v>88649.250981062796</c:v>
                </c:pt>
                <c:pt idx="12">
                  <c:v>89276.478946812786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7-4F2C-B3FB-155963218EC0}"/>
            </c:ext>
          </c:extLst>
        </c:ser>
        <c:ser>
          <c:idx val="1"/>
          <c:order val="1"/>
          <c:tx>
            <c:strRef>
              <c:f>CAPEX_Euros_Rokkas!$E$1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CAPEX_Euros_Rokkas!$E$2:$E$14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7-4F2C-B3FB-155963218EC0}"/>
            </c:ext>
          </c:extLst>
        </c:ser>
        <c:ser>
          <c:idx val="2"/>
          <c:order val="2"/>
          <c:tx>
            <c:strRef>
              <c:f>CAPEX_Euros_Rokkas!$F$1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CAPEX_Euros_Rokkas!$F$2:$F$14</c:f>
              <c:numCache>
                <c:formatCode>General</c:formatCode>
                <c:ptCount val="13"/>
                <c:pt idx="0">
                  <c:v>7048</c:v>
                </c:pt>
                <c:pt idx="1">
                  <c:v>11184</c:v>
                </c:pt>
                <c:pt idx="2">
                  <c:v>16000</c:v>
                </c:pt>
                <c:pt idx="3">
                  <c:v>16000</c:v>
                </c:pt>
                <c:pt idx="4">
                  <c:v>19368</c:v>
                </c:pt>
                <c:pt idx="5">
                  <c:v>7404</c:v>
                </c:pt>
                <c:pt idx="6">
                  <c:v>19368</c:v>
                </c:pt>
                <c:pt idx="7">
                  <c:v>29000</c:v>
                </c:pt>
                <c:pt idx="8">
                  <c:v>8632</c:v>
                </c:pt>
                <c:pt idx="9">
                  <c:v>19032</c:v>
                </c:pt>
                <c:pt idx="10">
                  <c:v>35064</c:v>
                </c:pt>
                <c:pt idx="11">
                  <c:v>25528</c:v>
                </c:pt>
                <c:pt idx="12">
                  <c:v>35064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37-4F2C-B3FB-155963218EC0}"/>
            </c:ext>
          </c:extLst>
        </c:ser>
        <c:ser>
          <c:idx val="3"/>
          <c:order val="3"/>
          <c:tx>
            <c:strRef>
              <c:f>CAPEX_Euros_Rokkas!$G$1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CAPEX_Euros_Rokkas!$G$2:$G$14</c:f>
              <c:numCache>
                <c:formatCode>General</c:formatCode>
                <c:ptCount val="13"/>
                <c:pt idx="0">
                  <c:v>382544</c:v>
                </c:pt>
                <c:pt idx="1">
                  <c:v>8284</c:v>
                </c:pt>
                <c:pt idx="2">
                  <c:v>260</c:v>
                </c:pt>
                <c:pt idx="3">
                  <c:v>260</c:v>
                </c:pt>
                <c:pt idx="4">
                  <c:v>16568</c:v>
                </c:pt>
                <c:pt idx="5">
                  <c:v>399960</c:v>
                </c:pt>
                <c:pt idx="6">
                  <c:v>8284</c:v>
                </c:pt>
                <c:pt idx="7">
                  <c:v>260</c:v>
                </c:pt>
                <c:pt idx="8">
                  <c:v>381282</c:v>
                </c:pt>
                <c:pt idx="9">
                  <c:v>3082</c:v>
                </c:pt>
                <c:pt idx="10">
                  <c:v>3082</c:v>
                </c:pt>
                <c:pt idx="11">
                  <c:v>219632</c:v>
                </c:pt>
                <c:pt idx="12">
                  <c:v>3082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37-4F2C-B3FB-155963218EC0}"/>
            </c:ext>
          </c:extLst>
        </c:ser>
        <c:ser>
          <c:idx val="4"/>
          <c:order val="4"/>
          <c:tx>
            <c:strRef>
              <c:f>CAPEX_Euros_Rokkas!$H$1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CAPEX_Euros_Rokkas!$H$2:$H$14</c:f>
              <c:numCache>
                <c:formatCode>General</c:formatCode>
                <c:ptCount val="13"/>
                <c:pt idx="0">
                  <c:v>0</c:v>
                </c:pt>
                <c:pt idx="1">
                  <c:v>70000</c:v>
                </c:pt>
                <c:pt idx="2">
                  <c:v>75000</c:v>
                </c:pt>
                <c:pt idx="3">
                  <c:v>229508</c:v>
                </c:pt>
                <c:pt idx="4">
                  <c:v>180000</c:v>
                </c:pt>
                <c:pt idx="5">
                  <c:v>0</c:v>
                </c:pt>
                <c:pt idx="6">
                  <c:v>68278</c:v>
                </c:pt>
                <c:pt idx="7">
                  <c:v>75000</c:v>
                </c:pt>
                <c:pt idx="8">
                  <c:v>0</c:v>
                </c:pt>
                <c:pt idx="9">
                  <c:v>75000</c:v>
                </c:pt>
                <c:pt idx="10">
                  <c:v>210000</c:v>
                </c:pt>
                <c:pt idx="11">
                  <c:v>0</c:v>
                </c:pt>
                <c:pt idx="12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37-4F2C-B3FB-155963218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9379584"/>
        <c:axId val="191418304"/>
        <c:axId val="0"/>
      </c:bar3DChart>
      <c:catAx>
        <c:axId val="189379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418304"/>
        <c:crosses val="autoZero"/>
        <c:auto val="1"/>
        <c:lblAlgn val="ctr"/>
        <c:lblOffset val="100"/>
        <c:noMultiLvlLbl val="0"/>
      </c:catAx>
      <c:valAx>
        <c:axId val="19141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379584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Total CAPEX</a:t>
            </a:r>
            <a:r>
              <a:rPr lang="de-DE" baseline="0"/>
              <a:t> in millions of Euros</a:t>
            </a:r>
            <a:endParaRPr lang="de-DE"/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24888699.883375917</c:v>
                </c:pt>
                <c:pt idx="1">
                  <c:v>9882499.8833759166</c:v>
                </c:pt>
                <c:pt idx="2">
                  <c:v>7907692.4290527506</c:v>
                </c:pt>
                <c:pt idx="3">
                  <c:v>15633092.42905275</c:v>
                </c:pt>
                <c:pt idx="4">
                  <c:v>16205899.883375917</c:v>
                </c:pt>
                <c:pt idx="5">
                  <c:v>25777299.883375917</c:v>
                </c:pt>
                <c:pt idx="6">
                  <c:v>10205599.883375917</c:v>
                </c:pt>
                <c:pt idx="7">
                  <c:v>8557692.4290527496</c:v>
                </c:pt>
                <c:pt idx="8">
                  <c:v>23928162.54905314</c:v>
                </c:pt>
                <c:pt idx="9">
                  <c:v>9319523.9473406393</c:v>
                </c:pt>
                <c:pt idx="10">
                  <c:v>16871123.947340641</c:v>
                </c:pt>
                <c:pt idx="11">
                  <c:v>16690462.549053138</c:v>
                </c:pt>
                <c:pt idx="12">
                  <c:v>10121123.947340639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0-48EB-B477-A25076BE2822}"/>
            </c:ext>
          </c:extLst>
        </c:ser>
        <c:ser>
          <c:idx val="1"/>
          <c:order val="1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15398361.455944443</c:v>
                </c:pt>
                <c:pt idx="1">
                  <c:v>10825342.396166665</c:v>
                </c:pt>
                <c:pt idx="2">
                  <c:v>7252293.4393333327</c:v>
                </c:pt>
                <c:pt idx="3">
                  <c:v>10904606.772666667</c:v>
                </c:pt>
                <c:pt idx="4">
                  <c:v>14412479.062833335</c:v>
                </c:pt>
                <c:pt idx="5">
                  <c:v>17393490.344833333</c:v>
                </c:pt>
                <c:pt idx="6">
                  <c:v>11057964.062833332</c:v>
                </c:pt>
                <c:pt idx="7">
                  <c:v>7658151.7726666676</c:v>
                </c:pt>
                <c:pt idx="8">
                  <c:v>10751699.7115</c:v>
                </c:pt>
                <c:pt idx="9">
                  <c:v>8939460.5834999997</c:v>
                </c:pt>
                <c:pt idx="10">
                  <c:v>14909104.363500001</c:v>
                </c:pt>
                <c:pt idx="11">
                  <c:v>12392249.7115</c:v>
                </c:pt>
                <c:pt idx="12">
                  <c:v>9833460.5834999997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30-48EB-B477-A25076BE2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380608"/>
        <c:axId val="191420608"/>
      </c:barChart>
      <c:catAx>
        <c:axId val="189380608"/>
        <c:scaling>
          <c:orientation val="minMax"/>
        </c:scaling>
        <c:delete val="0"/>
        <c:axPos val="b"/>
        <c:title>
          <c:overlay val="0"/>
        </c:title>
        <c:numFmt formatCode="General" sourceLinked="0"/>
        <c:majorTickMark val="out"/>
        <c:minorTickMark val="none"/>
        <c:tickLblPos val="nextTo"/>
        <c:crossAx val="191420608"/>
        <c:crosses val="autoZero"/>
        <c:auto val="1"/>
        <c:lblAlgn val="ctr"/>
        <c:lblOffset val="100"/>
        <c:noMultiLvlLbl val="0"/>
      </c:catAx>
      <c:valAx>
        <c:axId val="191420608"/>
        <c:scaling>
          <c:logBase val="10"/>
          <c:orientation val="minMax"/>
          <c:min val="1000000"/>
        </c:scaling>
        <c:delete val="0"/>
        <c:axPos val="l"/>
        <c:majorGridlines/>
        <c:title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89380608"/>
        <c:crosses val="autoZero"/>
        <c:crossBetween val="between"/>
        <c:majorUnit val="10"/>
        <c:minorUnit val="10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Cost per home passed in thousands of euros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CAPEX_Euros_Rokkas!$L$1</c:f>
              <c:strCache>
                <c:ptCount val="1"/>
                <c:pt idx="0">
                  <c:v>Cost per Home passed(Rokkas)</c:v>
                </c:pt>
              </c:strCache>
            </c:strRef>
          </c:tx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850.54678023976203</c:v>
                </c:pt>
                <c:pt idx="1">
                  <c:v>337.72469015706093</c:v>
                </c:pt>
                <c:pt idx="2">
                  <c:v>270.23759240833675</c:v>
                </c:pt>
                <c:pt idx="3">
                  <c:v>534.24552077960323</c:v>
                </c:pt>
                <c:pt idx="4">
                  <c:v>553.82065078859671</c:v>
                </c:pt>
                <c:pt idx="5">
                  <c:v>880.91380915097795</c:v>
                </c:pt>
                <c:pt idx="6">
                  <c:v>348.76631410620996</c:v>
                </c:pt>
                <c:pt idx="7">
                  <c:v>292.4507015601377</c:v>
                </c:pt>
                <c:pt idx="8">
                  <c:v>817.72136385254396</c:v>
                </c:pt>
                <c:pt idx="9">
                  <c:v>318.48554259246254</c:v>
                </c:pt>
                <c:pt idx="10">
                  <c:v>576.55402731667834</c:v>
                </c:pt>
                <c:pt idx="11">
                  <c:v>570.38010214794406</c:v>
                </c:pt>
                <c:pt idx="12">
                  <c:v>345.87943227874513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F3B-4392-AF6C-AC9EEE9F44F5}"/>
            </c:ext>
          </c:extLst>
        </c:ser>
        <c:ser>
          <c:idx val="1"/>
          <c:order val="1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526.22382119965971</c:v>
                </c:pt>
                <c:pt idx="1">
                  <c:v>369.94540346410588</c:v>
                </c:pt>
                <c:pt idx="2">
                  <c:v>247.8399781058483</c:v>
                </c:pt>
                <c:pt idx="3">
                  <c:v>372.65418538263503</c:v>
                </c:pt>
                <c:pt idx="4">
                  <c:v>492.53226241655852</c:v>
                </c:pt>
                <c:pt idx="5">
                  <c:v>594.40538393935253</c:v>
                </c:pt>
                <c:pt idx="6">
                  <c:v>377.89501957601436</c:v>
                </c:pt>
                <c:pt idx="7">
                  <c:v>261.70978650354272</c:v>
                </c:pt>
                <c:pt idx="8">
                  <c:v>367.42873732144079</c:v>
                </c:pt>
                <c:pt idx="9">
                  <c:v>305.49725184539676</c:v>
                </c:pt>
                <c:pt idx="10">
                  <c:v>509.50394243387331</c:v>
                </c:pt>
                <c:pt idx="11">
                  <c:v>423.49291611988247</c:v>
                </c:pt>
                <c:pt idx="12">
                  <c:v>336.04882043264303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F3B-4392-AF6C-AC9EEE9F4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89382144"/>
        <c:axId val="194437120"/>
      </c:lineChart>
      <c:catAx>
        <c:axId val="18938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Technology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4437120"/>
        <c:crosses val="autoZero"/>
        <c:auto val="1"/>
        <c:lblAlgn val="ctr"/>
        <c:lblOffset val="100"/>
        <c:noMultiLvlLbl val="1"/>
      </c:catAx>
      <c:valAx>
        <c:axId val="194437120"/>
        <c:scaling>
          <c:logBase val="10"/>
          <c:orientation val="minMax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Cost per household passed in Euros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382144"/>
        <c:crosses val="autoZero"/>
        <c:crossBetween val="between"/>
        <c:dispUnits>
          <c:builtInUnit val="thousand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24888699.883375917</c:v>
                </c:pt>
                <c:pt idx="1">
                  <c:v>9882499.8833759166</c:v>
                </c:pt>
                <c:pt idx="2">
                  <c:v>7907692.4290527506</c:v>
                </c:pt>
                <c:pt idx="3">
                  <c:v>15633092.42905275</c:v>
                </c:pt>
                <c:pt idx="4">
                  <c:v>16205899.883375917</c:v>
                </c:pt>
                <c:pt idx="5">
                  <c:v>25777299.883375917</c:v>
                </c:pt>
                <c:pt idx="6">
                  <c:v>10205599.883375917</c:v>
                </c:pt>
                <c:pt idx="7">
                  <c:v>8557692.4290527496</c:v>
                </c:pt>
                <c:pt idx="8">
                  <c:v>23928162.54905314</c:v>
                </c:pt>
                <c:pt idx="9">
                  <c:v>9319523.9473406393</c:v>
                </c:pt>
                <c:pt idx="10">
                  <c:v>16871123.947340641</c:v>
                </c:pt>
                <c:pt idx="11">
                  <c:v>16690462.549053138</c:v>
                </c:pt>
                <c:pt idx="12">
                  <c:v>10121123.947340639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8-4602-901D-E5BA6EC24506}"/>
            </c:ext>
          </c:extLst>
        </c:ser>
        <c:ser>
          <c:idx val="1"/>
          <c:order val="1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15398361.455944443</c:v>
                </c:pt>
                <c:pt idx="1">
                  <c:v>10825342.396166665</c:v>
                </c:pt>
                <c:pt idx="2">
                  <c:v>7252293.4393333327</c:v>
                </c:pt>
                <c:pt idx="3">
                  <c:v>10904606.772666667</c:v>
                </c:pt>
                <c:pt idx="4">
                  <c:v>14412479.062833335</c:v>
                </c:pt>
                <c:pt idx="5">
                  <c:v>17393490.344833333</c:v>
                </c:pt>
                <c:pt idx="6">
                  <c:v>11057964.062833332</c:v>
                </c:pt>
                <c:pt idx="7">
                  <c:v>7658151.7726666676</c:v>
                </c:pt>
                <c:pt idx="8">
                  <c:v>10751699.7115</c:v>
                </c:pt>
                <c:pt idx="9">
                  <c:v>8939460.5834999997</c:v>
                </c:pt>
                <c:pt idx="10">
                  <c:v>14909104.363500001</c:v>
                </c:pt>
                <c:pt idx="11">
                  <c:v>12392249.7115</c:v>
                </c:pt>
                <c:pt idx="12">
                  <c:v>9833460.5834999997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8-4602-901D-E5BA6EC24506}"/>
            </c:ext>
          </c:extLst>
        </c:ser>
        <c:ser>
          <c:idx val="2"/>
          <c:order val="2"/>
          <c:tx>
            <c:strRef>
              <c:f>CAPEX_Euros_BSG!$J$1</c:f>
              <c:strCache>
                <c:ptCount val="1"/>
                <c:pt idx="0">
                  <c:v>Total Cost in Euros(BSG)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CAPEX_Euros_BSG!$J$2:$J$14</c:f>
              <c:numCache>
                <c:formatCode>General</c:formatCode>
                <c:ptCount val="13"/>
                <c:pt idx="0">
                  <c:v>39154337.007425129</c:v>
                </c:pt>
                <c:pt idx="1">
                  <c:v>24445057.803101256</c:v>
                </c:pt>
                <c:pt idx="2">
                  <c:v>21659918.969783098</c:v>
                </c:pt>
                <c:pt idx="3">
                  <c:v>22522618.969783098</c:v>
                </c:pt>
                <c:pt idx="4">
                  <c:v>32640037.803101253</c:v>
                </c:pt>
                <c:pt idx="5">
                  <c:v>44120457.007425137</c:v>
                </c:pt>
                <c:pt idx="6">
                  <c:v>25097617.803101256</c:v>
                </c:pt>
                <c:pt idx="7">
                  <c:v>22472418.969783098</c:v>
                </c:pt>
                <c:pt idx="8">
                  <c:v>27100080.481793776</c:v>
                </c:pt>
                <c:pt idx="9">
                  <c:v>22927963.137474932</c:v>
                </c:pt>
                <c:pt idx="10">
                  <c:v>31064688.937474929</c:v>
                </c:pt>
                <c:pt idx="11">
                  <c:v>29651580.481793776</c:v>
                </c:pt>
                <c:pt idx="12">
                  <c:v>24127963.137474932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8-4602-901D-E5BA6EC2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975680"/>
        <c:axId val="194439424"/>
      </c:barChart>
      <c:catAx>
        <c:axId val="19597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439424"/>
        <c:crosses val="autoZero"/>
        <c:auto val="1"/>
        <c:lblAlgn val="ctr"/>
        <c:lblOffset val="100"/>
        <c:noMultiLvlLbl val="0"/>
      </c:catAx>
      <c:valAx>
        <c:axId val="194439424"/>
        <c:scaling>
          <c:logBase val="10"/>
          <c:orientation val="minMax"/>
          <c:min val="1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975680"/>
        <c:crosses val="autoZero"/>
        <c:crossBetween val="between"/>
        <c:majorUnit val="10"/>
        <c:minorUnit val="10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CAPEX_Euros_BSG!$D$1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CAPEX_Euros_BSG!$D$2:$D$14</c:f>
              <c:numCache>
                <c:formatCode>General</c:formatCode>
                <c:ptCount val="13"/>
                <c:pt idx="0">
                  <c:v>220258.5472510673</c:v>
                </c:pt>
                <c:pt idx="1">
                  <c:v>220258.5472510673</c:v>
                </c:pt>
                <c:pt idx="2">
                  <c:v>136195.87571102803</c:v>
                </c:pt>
                <c:pt idx="3">
                  <c:v>136195.87571102803</c:v>
                </c:pt>
                <c:pt idx="4">
                  <c:v>220258.5472510673</c:v>
                </c:pt>
                <c:pt idx="5">
                  <c:v>220258.5472510673</c:v>
                </c:pt>
                <c:pt idx="6">
                  <c:v>220258.5472510673</c:v>
                </c:pt>
                <c:pt idx="7">
                  <c:v>136195.87571102803</c:v>
                </c:pt>
                <c:pt idx="8">
                  <c:v>180489.8749974439</c:v>
                </c:pt>
                <c:pt idx="9">
                  <c:v>181766.91113571086</c:v>
                </c:pt>
                <c:pt idx="10">
                  <c:v>181766.91113571086</c:v>
                </c:pt>
                <c:pt idx="11">
                  <c:v>180489.8749974439</c:v>
                </c:pt>
                <c:pt idx="12">
                  <c:v>181766.91113571086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CAPEX_Euros_BSG!$E$1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CAPEX_Euros_BSG!$E$2:$E$14</c:f>
              <c:numCache>
                <c:formatCode>General</c:formatCode>
                <c:ptCount val="13"/>
                <c:pt idx="0">
                  <c:v>181054.59289743542</c:v>
                </c:pt>
                <c:pt idx="1">
                  <c:v>123148.20881095782</c:v>
                </c:pt>
                <c:pt idx="2">
                  <c:v>140422.50368463391</c:v>
                </c:pt>
                <c:pt idx="3">
                  <c:v>140422.50368463391</c:v>
                </c:pt>
                <c:pt idx="4">
                  <c:v>123148.20881095782</c:v>
                </c:pt>
                <c:pt idx="5">
                  <c:v>181054.59289743542</c:v>
                </c:pt>
                <c:pt idx="6">
                  <c:v>123148.20881095782</c:v>
                </c:pt>
                <c:pt idx="7">
                  <c:v>140422.50368463391</c:v>
                </c:pt>
                <c:pt idx="8">
                  <c:v>121030.53463843174</c:v>
                </c:pt>
                <c:pt idx="9">
                  <c:v>117354.15161378775</c:v>
                </c:pt>
                <c:pt idx="10">
                  <c:v>241088.66761378772</c:v>
                </c:pt>
                <c:pt idx="11">
                  <c:v>121030.53463843174</c:v>
                </c:pt>
                <c:pt idx="12">
                  <c:v>117354.15161378775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CAPEX_Euros_BSG!$F$1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CAPEX_Euros_BSG!$F$2:$F$14</c:f>
              <c:numCache>
                <c:formatCode>General</c:formatCode>
                <c:ptCount val="13"/>
                <c:pt idx="0">
                  <c:v>11620</c:v>
                </c:pt>
                <c:pt idx="1">
                  <c:v>16300</c:v>
                </c:pt>
                <c:pt idx="2">
                  <c:v>22950</c:v>
                </c:pt>
                <c:pt idx="3">
                  <c:v>22950</c:v>
                </c:pt>
                <c:pt idx="4">
                  <c:v>93800</c:v>
                </c:pt>
                <c:pt idx="5">
                  <c:v>15652</c:v>
                </c:pt>
                <c:pt idx="6">
                  <c:v>32500</c:v>
                </c:pt>
                <c:pt idx="7">
                  <c:v>39200</c:v>
                </c:pt>
                <c:pt idx="8">
                  <c:v>11720</c:v>
                </c:pt>
                <c:pt idx="9">
                  <c:v>24000</c:v>
                </c:pt>
                <c:pt idx="10">
                  <c:v>48000</c:v>
                </c:pt>
                <c:pt idx="11">
                  <c:v>46280</c:v>
                </c:pt>
                <c:pt idx="12">
                  <c:v>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CAPEX_Euros_BSG!$G$1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CAPEX_Euros_BSG!$G$2:$G$14</c:f>
              <c:numCache>
                <c:formatCode>General</c:formatCode>
                <c:ptCount val="13"/>
                <c:pt idx="0">
                  <c:v>370153.6</c:v>
                </c:pt>
                <c:pt idx="1">
                  <c:v>1194.4000000000001</c:v>
                </c:pt>
                <c:pt idx="2">
                  <c:v>130</c:v>
                </c:pt>
                <c:pt idx="3">
                  <c:v>130</c:v>
                </c:pt>
                <c:pt idx="4">
                  <c:v>64840</c:v>
                </c:pt>
                <c:pt idx="5">
                  <c:v>465444</c:v>
                </c:pt>
                <c:pt idx="6">
                  <c:v>1194.4000000000001</c:v>
                </c:pt>
                <c:pt idx="7">
                  <c:v>130</c:v>
                </c:pt>
                <c:pt idx="8">
                  <c:v>228761.2</c:v>
                </c:pt>
                <c:pt idx="9">
                  <c:v>438.2</c:v>
                </c:pt>
                <c:pt idx="10">
                  <c:v>438.2</c:v>
                </c:pt>
                <c:pt idx="11">
                  <c:v>245231.2</c:v>
                </c:pt>
                <c:pt idx="12">
                  <c:v>438.2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CAPEX_Euros_BSG!$H$1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CAPEX_Euros_BSG!$H$2:$H$14</c:f>
              <c:numCache>
                <c:formatCode>General</c:formatCode>
                <c:ptCount val="13"/>
                <c:pt idx="0">
                  <c:v>0</c:v>
                </c:pt>
                <c:pt idx="1">
                  <c:v>128000</c:v>
                </c:pt>
                <c:pt idx="2">
                  <c:v>133500</c:v>
                </c:pt>
                <c:pt idx="3">
                  <c:v>150754</c:v>
                </c:pt>
                <c:pt idx="4">
                  <c:v>150754</c:v>
                </c:pt>
                <c:pt idx="5">
                  <c:v>0</c:v>
                </c:pt>
                <c:pt idx="6">
                  <c:v>124851.2</c:v>
                </c:pt>
                <c:pt idx="7">
                  <c:v>133500</c:v>
                </c:pt>
                <c:pt idx="8">
                  <c:v>0</c:v>
                </c:pt>
                <c:pt idx="9">
                  <c:v>135000</c:v>
                </c:pt>
                <c:pt idx="10">
                  <c:v>150000</c:v>
                </c:pt>
                <c:pt idx="11">
                  <c:v>0</c:v>
                </c:pt>
                <c:pt idx="12">
                  <c:v>135000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535424"/>
        <c:axId val="194441728"/>
        <c:axId val="0"/>
      </c:bar3DChart>
      <c:catAx>
        <c:axId val="194535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441728"/>
        <c:crosses val="autoZero"/>
        <c:auto val="1"/>
        <c:lblAlgn val="ctr"/>
        <c:lblOffset val="100"/>
        <c:noMultiLvlLbl val="0"/>
      </c:catAx>
      <c:valAx>
        <c:axId val="19444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535424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CAPEX_Euros_Rokkas!$L$1</c:f>
              <c:strCache>
                <c:ptCount val="1"/>
                <c:pt idx="0">
                  <c:v>Cost per Home passed(Rokkas)</c:v>
                </c:pt>
              </c:strCache>
            </c:strRef>
          </c:tx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850.54678023976203</c:v>
                </c:pt>
                <c:pt idx="1">
                  <c:v>337.72469015706093</c:v>
                </c:pt>
                <c:pt idx="2">
                  <c:v>270.23759240833675</c:v>
                </c:pt>
                <c:pt idx="3">
                  <c:v>534.24552077960323</c:v>
                </c:pt>
                <c:pt idx="4">
                  <c:v>553.82065078859671</c:v>
                </c:pt>
                <c:pt idx="5">
                  <c:v>880.91380915097795</c:v>
                </c:pt>
                <c:pt idx="6">
                  <c:v>348.76631410620996</c:v>
                </c:pt>
                <c:pt idx="7">
                  <c:v>292.4507015601377</c:v>
                </c:pt>
                <c:pt idx="8">
                  <c:v>817.72136385254396</c:v>
                </c:pt>
                <c:pt idx="9">
                  <c:v>318.48554259246254</c:v>
                </c:pt>
                <c:pt idx="10">
                  <c:v>576.55402731667834</c:v>
                </c:pt>
                <c:pt idx="11">
                  <c:v>570.38010214794406</c:v>
                </c:pt>
                <c:pt idx="12">
                  <c:v>345.87943227874513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44D-4702-8FC1-2740B63097ED}"/>
            </c:ext>
          </c:extLst>
        </c:ser>
        <c:ser>
          <c:idx val="1"/>
          <c:order val="1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526.22382119965971</c:v>
                </c:pt>
                <c:pt idx="1">
                  <c:v>369.94540346410588</c:v>
                </c:pt>
                <c:pt idx="2">
                  <c:v>247.8399781058483</c:v>
                </c:pt>
                <c:pt idx="3">
                  <c:v>372.65418538263503</c:v>
                </c:pt>
                <c:pt idx="4">
                  <c:v>492.53226241655852</c:v>
                </c:pt>
                <c:pt idx="5">
                  <c:v>594.40538393935253</c:v>
                </c:pt>
                <c:pt idx="6">
                  <c:v>377.89501957601436</c:v>
                </c:pt>
                <c:pt idx="7">
                  <c:v>261.70978650354272</c:v>
                </c:pt>
                <c:pt idx="8">
                  <c:v>367.42873732144079</c:v>
                </c:pt>
                <c:pt idx="9">
                  <c:v>305.49725184539676</c:v>
                </c:pt>
                <c:pt idx="10">
                  <c:v>509.50394243387331</c:v>
                </c:pt>
                <c:pt idx="11">
                  <c:v>423.49291611988247</c:v>
                </c:pt>
                <c:pt idx="12">
                  <c:v>336.04882043264303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44D-4702-8FC1-2740B63097ED}"/>
            </c:ext>
          </c:extLst>
        </c:ser>
        <c:ser>
          <c:idx val="2"/>
          <c:order val="2"/>
          <c:tx>
            <c:strRef>
              <c:f>CAPEX_Euros_BSG!$L$1</c:f>
              <c:strCache>
                <c:ptCount val="1"/>
                <c:pt idx="0">
                  <c:v>Cost per Home passed(BSG)</c:v>
                </c:pt>
              </c:strCache>
            </c:strRef>
          </c:tx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CAPEX_Euros_BSG!$L$2:$L$14</c:f>
              <c:numCache>
                <c:formatCode>General</c:formatCode>
                <c:ptCount val="13"/>
                <c:pt idx="0">
                  <c:v>1338.0608641728224</c:v>
                </c:pt>
                <c:pt idx="1">
                  <c:v>835.38574954211117</c:v>
                </c:pt>
                <c:pt idx="2">
                  <c:v>740.20637583839437</c:v>
                </c:pt>
                <c:pt idx="3">
                  <c:v>769.68829778494626</c:v>
                </c:pt>
                <c:pt idx="4">
                  <c:v>1115.4411114449201</c:v>
                </c:pt>
                <c:pt idx="5">
                  <c:v>1507.7731189742717</c:v>
                </c:pt>
                <c:pt idx="6">
                  <c:v>857.6863441699561</c:v>
                </c:pt>
                <c:pt idx="7">
                  <c:v>767.97276227814564</c:v>
                </c:pt>
                <c:pt idx="8">
                  <c:v>926.11853194565572</c:v>
                </c:pt>
                <c:pt idx="9">
                  <c:v>783.54053507876881</c:v>
                </c:pt>
                <c:pt idx="10">
                  <c:v>1061.6051171305764</c:v>
                </c:pt>
                <c:pt idx="11">
                  <c:v>1013.3135288699945</c:v>
                </c:pt>
                <c:pt idx="12">
                  <c:v>824.54935197440136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D-4702-8FC1-2740B6309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94536960"/>
        <c:axId val="194444032"/>
      </c:lineChart>
      <c:catAx>
        <c:axId val="194536960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194444032"/>
        <c:crosses val="autoZero"/>
        <c:auto val="1"/>
        <c:lblAlgn val="ctr"/>
        <c:lblOffset val="100"/>
        <c:noMultiLvlLbl val="0"/>
      </c:catAx>
      <c:valAx>
        <c:axId val="194444032"/>
        <c:scaling>
          <c:logBase val="10"/>
          <c:orientation val="minMax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HH passed in Euros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536960"/>
        <c:crosses val="autoZero"/>
        <c:crossBetween val="between"/>
        <c:dispUnits>
          <c:builtInUnit val="thousand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CAPEX in millions</a:t>
            </a:r>
            <a:r>
              <a:rPr lang="de-DE" baseline="0"/>
              <a:t> of Euros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15398361.455944443</c:v>
                </c:pt>
                <c:pt idx="1">
                  <c:v>10825342.396166665</c:v>
                </c:pt>
                <c:pt idx="2">
                  <c:v>7252293.4393333327</c:v>
                </c:pt>
                <c:pt idx="3">
                  <c:v>10904606.772666667</c:v>
                </c:pt>
                <c:pt idx="4">
                  <c:v>14412479.062833335</c:v>
                </c:pt>
                <c:pt idx="5">
                  <c:v>17393490.344833333</c:v>
                </c:pt>
                <c:pt idx="6">
                  <c:v>11057964.062833332</c:v>
                </c:pt>
                <c:pt idx="7">
                  <c:v>7658151.7726666676</c:v>
                </c:pt>
                <c:pt idx="8">
                  <c:v>10751699.7115</c:v>
                </c:pt>
                <c:pt idx="9">
                  <c:v>8939460.5834999997</c:v>
                </c:pt>
                <c:pt idx="10">
                  <c:v>14909104.363500001</c:v>
                </c:pt>
                <c:pt idx="11">
                  <c:v>12392249.7115</c:v>
                </c:pt>
                <c:pt idx="12">
                  <c:v>9833460.5834999997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8-4602-901D-E5BA6EC24506}"/>
            </c:ext>
          </c:extLst>
        </c:ser>
        <c:ser>
          <c:idx val="3"/>
          <c:order val="1"/>
          <c:tx>
            <c:strRef>
              <c:f>CAPEX_Euros_Phillipson!$J$1</c:f>
              <c:strCache>
                <c:ptCount val="1"/>
                <c:pt idx="0">
                  <c:v>Total Cost in Euros(Phillipson)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CAPEX_Euros_Phillipson!$J$2:$J$14</c:f>
              <c:numCache>
                <c:formatCode>General</c:formatCode>
                <c:ptCount val="13"/>
                <c:pt idx="0">
                  <c:v>18861337.618583925</c:v>
                </c:pt>
                <c:pt idx="1">
                  <c:v>8263453.0440472765</c:v>
                </c:pt>
                <c:pt idx="2">
                  <c:v>6744373.1499947971</c:v>
                </c:pt>
                <c:pt idx="3">
                  <c:v>13500873.149994796</c:v>
                </c:pt>
                <c:pt idx="4">
                  <c:v>15224353.044047277</c:v>
                </c:pt>
                <c:pt idx="5">
                  <c:v>8322337.6185839223</c:v>
                </c:pt>
                <c:pt idx="6">
                  <c:v>8475703.0440472774</c:v>
                </c:pt>
                <c:pt idx="7">
                  <c:v>8174373.1499947971</c:v>
                </c:pt>
                <c:pt idx="8">
                  <c:v>11790741.677680973</c:v>
                </c:pt>
                <c:pt idx="9">
                  <c:v>8451696.3853536919</c:v>
                </c:pt>
                <c:pt idx="10">
                  <c:v>14912330.38535369</c:v>
                </c:pt>
                <c:pt idx="11">
                  <c:v>12548241.677680973</c:v>
                </c:pt>
                <c:pt idx="12">
                  <c:v>7969196.3853536919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A-40A5-B657-50F1A006A948}"/>
            </c:ext>
          </c:extLst>
        </c:ser>
        <c:ser>
          <c:idx val="2"/>
          <c:order val="2"/>
          <c:tx>
            <c:strRef>
              <c:f>CAPEX_Euros_BSG!$J$1</c:f>
              <c:strCache>
                <c:ptCount val="1"/>
                <c:pt idx="0">
                  <c:v>Total Cost in Euros(BSG)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CAPEX_Euros_BSG!$J$2:$J$14</c:f>
              <c:numCache>
                <c:formatCode>General</c:formatCode>
                <c:ptCount val="13"/>
                <c:pt idx="0">
                  <c:v>39154337.007425129</c:v>
                </c:pt>
                <c:pt idx="1">
                  <c:v>24445057.803101256</c:v>
                </c:pt>
                <c:pt idx="2">
                  <c:v>21659918.969783098</c:v>
                </c:pt>
                <c:pt idx="3">
                  <c:v>22522618.969783098</c:v>
                </c:pt>
                <c:pt idx="4">
                  <c:v>32640037.803101253</c:v>
                </c:pt>
                <c:pt idx="5">
                  <c:v>44120457.007425137</c:v>
                </c:pt>
                <c:pt idx="6">
                  <c:v>25097617.803101256</c:v>
                </c:pt>
                <c:pt idx="7">
                  <c:v>22472418.969783098</c:v>
                </c:pt>
                <c:pt idx="8">
                  <c:v>27100080.481793776</c:v>
                </c:pt>
                <c:pt idx="9">
                  <c:v>22927963.137474932</c:v>
                </c:pt>
                <c:pt idx="10">
                  <c:v>31064688.937474929</c:v>
                </c:pt>
                <c:pt idx="11">
                  <c:v>29651580.481793776</c:v>
                </c:pt>
                <c:pt idx="12">
                  <c:v>24127963.137474932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8-4602-901D-E5BA6EC24506}"/>
            </c:ext>
          </c:extLst>
        </c:ser>
        <c:ser>
          <c:idx val="0"/>
          <c:order val="3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24888699.883375917</c:v>
                </c:pt>
                <c:pt idx="1">
                  <c:v>9882499.8833759166</c:v>
                </c:pt>
                <c:pt idx="2">
                  <c:v>7907692.4290527506</c:v>
                </c:pt>
                <c:pt idx="3">
                  <c:v>15633092.42905275</c:v>
                </c:pt>
                <c:pt idx="4">
                  <c:v>16205899.883375917</c:v>
                </c:pt>
                <c:pt idx="5">
                  <c:v>25777299.883375917</c:v>
                </c:pt>
                <c:pt idx="6">
                  <c:v>10205599.883375917</c:v>
                </c:pt>
                <c:pt idx="7">
                  <c:v>8557692.4290527496</c:v>
                </c:pt>
                <c:pt idx="8">
                  <c:v>23928162.54905314</c:v>
                </c:pt>
                <c:pt idx="9">
                  <c:v>9319523.9473406393</c:v>
                </c:pt>
                <c:pt idx="10">
                  <c:v>16871123.947340641</c:v>
                </c:pt>
                <c:pt idx="11">
                  <c:v>16690462.549053138</c:v>
                </c:pt>
                <c:pt idx="12">
                  <c:v>10121123.947340639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8-4602-901D-E5BA6EC2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022464"/>
        <c:axId val="214111296"/>
      </c:barChart>
      <c:catAx>
        <c:axId val="2010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111296"/>
        <c:crosses val="autoZero"/>
        <c:auto val="1"/>
        <c:lblAlgn val="ctr"/>
        <c:lblOffset val="100"/>
        <c:noMultiLvlLbl val="0"/>
      </c:catAx>
      <c:valAx>
        <c:axId val="214111296"/>
        <c:scaling>
          <c:logBase val="10"/>
          <c:orientation val="minMax"/>
          <c:min val="1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de-DE" sz="1600"/>
                  <a:t>€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022464"/>
        <c:crosses val="autoZero"/>
        <c:crossBetween val="between"/>
        <c:majorUnit val="10"/>
        <c:minorUnit val="10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Components Cost</a:t>
            </a:r>
            <a:r>
              <a:rPr lang="de-DE" baseline="0"/>
              <a:t> Phillipson 2013 applied to Munich in millions of Cost Units</a:t>
            </a:r>
            <a:endParaRPr lang="de-DE"/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CAPEX_Euros_Phillipson!$D$1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CAPEX_Euros_Phillipson!$D$2:$D$14</c:f>
              <c:numCache>
                <c:formatCode>General</c:formatCode>
                <c:ptCount val="13"/>
                <c:pt idx="0">
                  <c:v>83454.683914942696</c:v>
                </c:pt>
                <c:pt idx="1">
                  <c:v>83454.683914942696</c:v>
                </c:pt>
                <c:pt idx="2">
                  <c:v>51603.826048242438</c:v>
                </c:pt>
                <c:pt idx="3">
                  <c:v>51603.826048242438</c:v>
                </c:pt>
                <c:pt idx="4">
                  <c:v>83454.683914942696</c:v>
                </c:pt>
                <c:pt idx="5">
                  <c:v>83454.683914942696</c:v>
                </c:pt>
                <c:pt idx="6">
                  <c:v>83454.683914942696</c:v>
                </c:pt>
                <c:pt idx="7">
                  <c:v>51603.826048242438</c:v>
                </c:pt>
                <c:pt idx="8">
                  <c:v>68386.565042534159</c:v>
                </c:pt>
                <c:pt idx="9">
                  <c:v>68870.426616112716</c:v>
                </c:pt>
                <c:pt idx="10">
                  <c:v>68870.426616112716</c:v>
                </c:pt>
                <c:pt idx="11">
                  <c:v>68386.565042534159</c:v>
                </c:pt>
                <c:pt idx="12">
                  <c:v>68870.426616112716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CAPEX_Euros_Phillipson!$E$1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CAPEX_Euros_Phillipson!$E$2:$E$14</c:f>
              <c:numCache>
                <c:formatCode>General</c:formatCode>
                <c:ptCount val="13"/>
                <c:pt idx="0">
                  <c:v>5652.0684567357575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5652.0684567357575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7526.1810909611158</c:v>
                </c:pt>
                <c:pt idx="11">
                  <c:v>3778.2685110852781</c:v>
                </c:pt>
                <c:pt idx="12">
                  <c:v>3663.5010909611156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CAPEX_Euros_Phillipson!$F$1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CAPEX_Euros_Phillipson!$F$2:$F$14</c:f>
              <c:numCache>
                <c:formatCode>General</c:formatCode>
                <c:ptCount val="13"/>
                <c:pt idx="0">
                  <c:v>2000</c:v>
                </c:pt>
                <c:pt idx="1">
                  <c:v>2970</c:v>
                </c:pt>
                <c:pt idx="2">
                  <c:v>3900</c:v>
                </c:pt>
                <c:pt idx="3">
                  <c:v>3900</c:v>
                </c:pt>
                <c:pt idx="4">
                  <c:v>5940</c:v>
                </c:pt>
                <c:pt idx="5">
                  <c:v>2700</c:v>
                </c:pt>
                <c:pt idx="6">
                  <c:v>5940</c:v>
                </c:pt>
                <c:pt idx="7">
                  <c:v>31200</c:v>
                </c:pt>
                <c:pt idx="8">
                  <c:v>2000</c:v>
                </c:pt>
                <c:pt idx="9">
                  <c:v>4400</c:v>
                </c:pt>
                <c:pt idx="10">
                  <c:v>8800</c:v>
                </c:pt>
                <c:pt idx="11">
                  <c:v>8000</c:v>
                </c:pt>
                <c:pt idx="12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CAPEX_Euros_Phillipson!$G$1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CAPEX_Euros_Phillipson!$G$2:$G$14</c:f>
              <c:numCache>
                <c:formatCode>General</c:formatCode>
                <c:ptCount val="13"/>
                <c:pt idx="0">
                  <c:v>286120</c:v>
                </c:pt>
                <c:pt idx="1">
                  <c:v>0</c:v>
                </c:pt>
                <c:pt idx="2">
                  <c:v>0</c:v>
                </c:pt>
                <c:pt idx="3">
                  <c:v>130</c:v>
                </c:pt>
                <c:pt idx="4">
                  <c:v>1248</c:v>
                </c:pt>
                <c:pt idx="5">
                  <c:v>74640</c:v>
                </c:pt>
                <c:pt idx="6">
                  <c:v>3120</c:v>
                </c:pt>
                <c:pt idx="7">
                  <c:v>1300</c:v>
                </c:pt>
                <c:pt idx="8">
                  <c:v>161650</c:v>
                </c:pt>
                <c:pt idx="9">
                  <c:v>67100</c:v>
                </c:pt>
                <c:pt idx="10">
                  <c:v>3050</c:v>
                </c:pt>
                <c:pt idx="11">
                  <c:v>170800</c:v>
                </c:pt>
                <c:pt idx="12">
                  <c:v>3050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CAPEX_Euros_Phillipson!$H$1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CAPEX_Euros_Phillipson!$H$2:$H$14</c:f>
              <c:numCache>
                <c:formatCode>General</c:formatCode>
                <c:ptCount val="13"/>
                <c:pt idx="0">
                  <c:v>0</c:v>
                </c:pt>
                <c:pt idx="1">
                  <c:v>75000</c:v>
                </c:pt>
                <c:pt idx="2">
                  <c:v>75000</c:v>
                </c:pt>
                <c:pt idx="3">
                  <c:v>210000</c:v>
                </c:pt>
                <c:pt idx="4">
                  <c:v>210000</c:v>
                </c:pt>
                <c:pt idx="5">
                  <c:v>0</c:v>
                </c:pt>
                <c:pt idx="6">
                  <c:v>73155</c:v>
                </c:pt>
                <c:pt idx="7">
                  <c:v>75000</c:v>
                </c:pt>
                <c:pt idx="8">
                  <c:v>0</c:v>
                </c:pt>
                <c:pt idx="9">
                  <c:v>25000</c:v>
                </c:pt>
                <c:pt idx="10">
                  <c:v>210000</c:v>
                </c:pt>
                <c:pt idx="11">
                  <c:v>0</c:v>
                </c:pt>
                <c:pt idx="12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019904"/>
        <c:axId val="216058112"/>
      </c:barChart>
      <c:catAx>
        <c:axId val="20101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058112"/>
        <c:crosses val="autoZero"/>
        <c:auto val="1"/>
        <c:lblAlgn val="ctr"/>
        <c:lblOffset val="100"/>
        <c:noMultiLvlLbl val="0"/>
      </c:catAx>
      <c:valAx>
        <c:axId val="216058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019904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Cost</a:t>
            </a:r>
            <a:r>
              <a:rPr lang="de-DE" baseline="0"/>
              <a:t> per HH passed in thousands of Euros</a:t>
            </a:r>
            <a:br>
              <a:rPr lang="de-DE" baseline="0"/>
            </a:br>
            <a:r>
              <a:rPr lang="de-DE" baseline="0"/>
              <a:t>Munich Residential</a:t>
            </a:r>
          </a:p>
          <a:p>
            <a:pPr>
              <a:defRPr/>
            </a:pPr>
            <a:endParaRPr lang="de-DE" baseline="0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CAPEX_Euros_Rokkas!$L$1</c:f>
              <c:strCache>
                <c:ptCount val="1"/>
                <c:pt idx="0">
                  <c:v>Cost per Home passed(Rokkas)</c:v>
                </c:pt>
              </c:strCache>
            </c:strRef>
          </c:tx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850.54678023976203</c:v>
                </c:pt>
                <c:pt idx="1">
                  <c:v>337.72469015706093</c:v>
                </c:pt>
                <c:pt idx="2">
                  <c:v>270.23759240833675</c:v>
                </c:pt>
                <c:pt idx="3">
                  <c:v>534.24552077960323</c:v>
                </c:pt>
                <c:pt idx="4">
                  <c:v>553.82065078859671</c:v>
                </c:pt>
                <c:pt idx="5">
                  <c:v>880.91380915097795</c:v>
                </c:pt>
                <c:pt idx="6">
                  <c:v>348.76631410620996</c:v>
                </c:pt>
                <c:pt idx="7">
                  <c:v>292.4507015601377</c:v>
                </c:pt>
                <c:pt idx="8">
                  <c:v>817.72136385254396</c:v>
                </c:pt>
                <c:pt idx="9">
                  <c:v>318.48554259246254</c:v>
                </c:pt>
                <c:pt idx="10">
                  <c:v>576.55402731667834</c:v>
                </c:pt>
                <c:pt idx="11">
                  <c:v>570.38010214794406</c:v>
                </c:pt>
                <c:pt idx="12">
                  <c:v>345.87943227874513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44D-4702-8FC1-2740B63097ED}"/>
            </c:ext>
          </c:extLst>
        </c:ser>
        <c:ser>
          <c:idx val="1"/>
          <c:order val="1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526.22382119965971</c:v>
                </c:pt>
                <c:pt idx="1">
                  <c:v>369.94540346410588</c:v>
                </c:pt>
                <c:pt idx="2">
                  <c:v>247.8399781058483</c:v>
                </c:pt>
                <c:pt idx="3">
                  <c:v>372.65418538263503</c:v>
                </c:pt>
                <c:pt idx="4">
                  <c:v>492.53226241655852</c:v>
                </c:pt>
                <c:pt idx="5">
                  <c:v>594.40538393935253</c:v>
                </c:pt>
                <c:pt idx="6">
                  <c:v>377.89501957601436</c:v>
                </c:pt>
                <c:pt idx="7">
                  <c:v>261.70978650354272</c:v>
                </c:pt>
                <c:pt idx="8">
                  <c:v>367.42873732144079</c:v>
                </c:pt>
                <c:pt idx="9">
                  <c:v>305.49725184539676</c:v>
                </c:pt>
                <c:pt idx="10">
                  <c:v>509.50394243387331</c:v>
                </c:pt>
                <c:pt idx="11">
                  <c:v>423.49291611988247</c:v>
                </c:pt>
                <c:pt idx="12">
                  <c:v>336.04882043264303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44D-4702-8FC1-2740B63097ED}"/>
            </c:ext>
          </c:extLst>
        </c:ser>
        <c:ser>
          <c:idx val="2"/>
          <c:order val="2"/>
          <c:tx>
            <c:strRef>
              <c:f>CAPEX_Euros_BSG!$L$1</c:f>
              <c:strCache>
                <c:ptCount val="1"/>
                <c:pt idx="0">
                  <c:v>Cost per Home passed(BSG)</c:v>
                </c:pt>
              </c:strCache>
            </c:strRef>
          </c:tx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CAPEX_Euros_BSG!$L$2:$L$14</c:f>
              <c:numCache>
                <c:formatCode>General</c:formatCode>
                <c:ptCount val="13"/>
                <c:pt idx="0">
                  <c:v>1338.0608641728224</c:v>
                </c:pt>
                <c:pt idx="1">
                  <c:v>835.38574954211117</c:v>
                </c:pt>
                <c:pt idx="2">
                  <c:v>740.20637583839437</c:v>
                </c:pt>
                <c:pt idx="3">
                  <c:v>769.68829778494626</c:v>
                </c:pt>
                <c:pt idx="4">
                  <c:v>1115.4411114449201</c:v>
                </c:pt>
                <c:pt idx="5">
                  <c:v>1507.7731189742717</c:v>
                </c:pt>
                <c:pt idx="6">
                  <c:v>857.6863441699561</c:v>
                </c:pt>
                <c:pt idx="7">
                  <c:v>767.97276227814564</c:v>
                </c:pt>
                <c:pt idx="8">
                  <c:v>926.11853194565572</c:v>
                </c:pt>
                <c:pt idx="9">
                  <c:v>783.54053507876881</c:v>
                </c:pt>
                <c:pt idx="10">
                  <c:v>1061.6051171305764</c:v>
                </c:pt>
                <c:pt idx="11">
                  <c:v>1013.3135288699945</c:v>
                </c:pt>
                <c:pt idx="12">
                  <c:v>824.54935197440136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D-4702-8FC1-2740B63097ED}"/>
            </c:ext>
          </c:extLst>
        </c:ser>
        <c:ser>
          <c:idx val="3"/>
          <c:order val="3"/>
          <c:tx>
            <c:strRef>
              <c:f>CAPEX_Euros_Phillipson!$L$1</c:f>
              <c:strCache>
                <c:ptCount val="1"/>
                <c:pt idx="0">
                  <c:v>Cost per Home passed(Phillipson)</c:v>
                </c:pt>
              </c:strCache>
            </c:strRef>
          </c:tx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CAPEX_Euros_Phillipson!$L$2:$L$14</c:f>
              <c:numCache>
                <c:formatCode>General</c:formatCode>
                <c:ptCount val="13"/>
                <c:pt idx="0">
                  <c:v>644.56761733934536</c:v>
                </c:pt>
                <c:pt idx="1">
                  <c:v>282.3953606741602</c:v>
                </c:pt>
                <c:pt idx="2">
                  <c:v>230.48230298663103</c:v>
                </c:pt>
                <c:pt idx="3">
                  <c:v>461.37902911608217</c:v>
                </c:pt>
                <c:pt idx="4">
                  <c:v>520.27725528150086</c:v>
                </c:pt>
                <c:pt idx="5">
                  <c:v>284.40768295345231</c:v>
                </c:pt>
                <c:pt idx="6">
                  <c:v>289.64879516257525</c:v>
                </c:pt>
                <c:pt idx="7">
                  <c:v>279.35114312059318</c:v>
                </c:pt>
                <c:pt idx="8">
                  <c:v>402.93697210310205</c:v>
                </c:pt>
                <c:pt idx="9">
                  <c:v>288.82839127037425</c:v>
                </c:pt>
                <c:pt idx="10">
                  <c:v>509.61418855012266</c:v>
                </c:pt>
                <c:pt idx="11">
                  <c:v>428.82378776847014</c:v>
                </c:pt>
                <c:pt idx="12">
                  <c:v>272.33942947692202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0-40DC-A7E6-49F3B48ED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98646784"/>
        <c:axId val="216060992"/>
      </c:lineChart>
      <c:catAx>
        <c:axId val="198646784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216060992"/>
        <c:crosses val="autoZero"/>
        <c:auto val="1"/>
        <c:lblAlgn val="ctr"/>
        <c:lblOffset val="100"/>
        <c:noMultiLvlLbl val="0"/>
      </c:catAx>
      <c:valAx>
        <c:axId val="216060992"/>
        <c:scaling>
          <c:orientation val="minMax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HH passed in Euros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646784"/>
        <c:crosses val="autoZero"/>
        <c:crossBetween val="between"/>
        <c:dispUnits>
          <c:builtInUnit val="hundred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Components Cost</a:t>
            </a:r>
            <a:r>
              <a:rPr lang="de-DE" baseline="0"/>
              <a:t> Phillipson 2013 applied to Munich in millions of Cost Units</a:t>
            </a:r>
            <a:endParaRPr lang="de-DE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7927580068657701E-2"/>
          <c:y val="3.8067422423260923E-2"/>
          <c:w val="0.78789757515876335"/>
          <c:h val="0.774913348597382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CAPEX_Euros_Phillipson!$D$1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CAPEX_Euros_Phillipson!$D$2:$D$14</c:f>
              <c:numCache>
                <c:formatCode>General</c:formatCode>
                <c:ptCount val="13"/>
                <c:pt idx="0">
                  <c:v>83454.683914942696</c:v>
                </c:pt>
                <c:pt idx="1">
                  <c:v>83454.683914942696</c:v>
                </c:pt>
                <c:pt idx="2">
                  <c:v>51603.826048242438</c:v>
                </c:pt>
                <c:pt idx="3">
                  <c:v>51603.826048242438</c:v>
                </c:pt>
                <c:pt idx="4">
                  <c:v>83454.683914942696</c:v>
                </c:pt>
                <c:pt idx="5">
                  <c:v>83454.683914942696</c:v>
                </c:pt>
                <c:pt idx="6">
                  <c:v>83454.683914942696</c:v>
                </c:pt>
                <c:pt idx="7">
                  <c:v>51603.826048242438</c:v>
                </c:pt>
                <c:pt idx="8">
                  <c:v>68386.565042534159</c:v>
                </c:pt>
                <c:pt idx="9">
                  <c:v>68870.426616112716</c:v>
                </c:pt>
                <c:pt idx="10">
                  <c:v>68870.426616112716</c:v>
                </c:pt>
                <c:pt idx="11">
                  <c:v>68386.565042534159</c:v>
                </c:pt>
                <c:pt idx="12">
                  <c:v>68870.426616112716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CAPEX_Euros_Phillipson!$E$1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CAPEX_Euros_Phillipson!$E$2:$E$14</c:f>
              <c:numCache>
                <c:formatCode>General</c:formatCode>
                <c:ptCount val="13"/>
                <c:pt idx="0">
                  <c:v>5652.0684567357575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5652.0684567357575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7526.1810909611158</c:v>
                </c:pt>
                <c:pt idx="11">
                  <c:v>3778.2685110852781</c:v>
                </c:pt>
                <c:pt idx="12">
                  <c:v>3663.5010909611156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CAPEX_Euros_Phillipson!$F$1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CAPEX_Euros_Phillipson!$F$2:$F$14</c:f>
              <c:numCache>
                <c:formatCode>General</c:formatCode>
                <c:ptCount val="13"/>
                <c:pt idx="0">
                  <c:v>2000</c:v>
                </c:pt>
                <c:pt idx="1">
                  <c:v>2970</c:v>
                </c:pt>
                <c:pt idx="2">
                  <c:v>3900</c:v>
                </c:pt>
                <c:pt idx="3">
                  <c:v>3900</c:v>
                </c:pt>
                <c:pt idx="4">
                  <c:v>5940</c:v>
                </c:pt>
                <c:pt idx="5">
                  <c:v>2700</c:v>
                </c:pt>
                <c:pt idx="6">
                  <c:v>5940</c:v>
                </c:pt>
                <c:pt idx="7">
                  <c:v>31200</c:v>
                </c:pt>
                <c:pt idx="8">
                  <c:v>2000</c:v>
                </c:pt>
                <c:pt idx="9">
                  <c:v>4400</c:v>
                </c:pt>
                <c:pt idx="10">
                  <c:v>8800</c:v>
                </c:pt>
                <c:pt idx="11">
                  <c:v>8000</c:v>
                </c:pt>
                <c:pt idx="12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CAPEX_Euros_Phillipson!$G$1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CAPEX_Euros_Phillipson!$G$2:$G$14</c:f>
              <c:numCache>
                <c:formatCode>General</c:formatCode>
                <c:ptCount val="13"/>
                <c:pt idx="0">
                  <c:v>286120</c:v>
                </c:pt>
                <c:pt idx="1">
                  <c:v>0</c:v>
                </c:pt>
                <c:pt idx="2">
                  <c:v>0</c:v>
                </c:pt>
                <c:pt idx="3">
                  <c:v>130</c:v>
                </c:pt>
                <c:pt idx="4">
                  <c:v>1248</c:v>
                </c:pt>
                <c:pt idx="5">
                  <c:v>74640</c:v>
                </c:pt>
                <c:pt idx="6">
                  <c:v>3120</c:v>
                </c:pt>
                <c:pt idx="7">
                  <c:v>1300</c:v>
                </c:pt>
                <c:pt idx="8">
                  <c:v>161650</c:v>
                </c:pt>
                <c:pt idx="9">
                  <c:v>67100</c:v>
                </c:pt>
                <c:pt idx="10">
                  <c:v>3050</c:v>
                </c:pt>
                <c:pt idx="11">
                  <c:v>170800</c:v>
                </c:pt>
                <c:pt idx="12">
                  <c:v>3050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CAPEX_Euros_Phillipson!$H$1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CAPEX_Euros_Phillipson!$H$2:$H$14</c:f>
              <c:numCache>
                <c:formatCode>General</c:formatCode>
                <c:ptCount val="13"/>
                <c:pt idx="0">
                  <c:v>0</c:v>
                </c:pt>
                <c:pt idx="1">
                  <c:v>75000</c:v>
                </c:pt>
                <c:pt idx="2">
                  <c:v>75000</c:v>
                </c:pt>
                <c:pt idx="3">
                  <c:v>210000</c:v>
                </c:pt>
                <c:pt idx="4">
                  <c:v>210000</c:v>
                </c:pt>
                <c:pt idx="5">
                  <c:v>0</c:v>
                </c:pt>
                <c:pt idx="6">
                  <c:v>73155</c:v>
                </c:pt>
                <c:pt idx="7">
                  <c:v>75000</c:v>
                </c:pt>
                <c:pt idx="8">
                  <c:v>0</c:v>
                </c:pt>
                <c:pt idx="9">
                  <c:v>25000</c:v>
                </c:pt>
                <c:pt idx="10">
                  <c:v>210000</c:v>
                </c:pt>
                <c:pt idx="11">
                  <c:v>0</c:v>
                </c:pt>
                <c:pt idx="12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776640"/>
        <c:axId val="216056960"/>
      </c:barChart>
      <c:catAx>
        <c:axId val="201776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056960"/>
        <c:crosses val="autoZero"/>
        <c:auto val="1"/>
        <c:lblAlgn val="ctr"/>
        <c:lblOffset val="100"/>
        <c:noMultiLvlLbl val="0"/>
      </c:catAx>
      <c:valAx>
        <c:axId val="216056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776640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Cost</a:t>
            </a:r>
            <a:r>
              <a:rPr lang="de-DE" baseline="0"/>
              <a:t> per HH passed in thousands of Euros</a:t>
            </a:r>
            <a:br>
              <a:rPr lang="de-DE" baseline="0"/>
            </a:br>
            <a:r>
              <a:rPr lang="de-DE" baseline="0"/>
              <a:t>Munich Residential</a:t>
            </a:r>
          </a:p>
          <a:p>
            <a:pPr>
              <a:defRPr/>
            </a:pPr>
            <a:endParaRPr lang="de-DE" baseline="0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CAPEX_Euros_Rokkas!$L$1</c:f>
              <c:strCache>
                <c:ptCount val="1"/>
                <c:pt idx="0">
                  <c:v>Cost per Home passed(Rokkas)</c:v>
                </c:pt>
              </c:strCache>
            </c:strRef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850.54678023976203</c:v>
                </c:pt>
                <c:pt idx="1">
                  <c:v>337.72469015706093</c:v>
                </c:pt>
                <c:pt idx="2">
                  <c:v>270.23759240833675</c:v>
                </c:pt>
                <c:pt idx="3">
                  <c:v>534.24552077960323</c:v>
                </c:pt>
                <c:pt idx="4">
                  <c:v>553.82065078859671</c:v>
                </c:pt>
                <c:pt idx="5">
                  <c:v>880.91380915097795</c:v>
                </c:pt>
                <c:pt idx="6">
                  <c:v>348.76631410620996</c:v>
                </c:pt>
                <c:pt idx="7">
                  <c:v>292.4507015601377</c:v>
                </c:pt>
                <c:pt idx="8">
                  <c:v>817.72136385254396</c:v>
                </c:pt>
                <c:pt idx="9">
                  <c:v>318.48554259246254</c:v>
                </c:pt>
                <c:pt idx="10">
                  <c:v>576.55402731667834</c:v>
                </c:pt>
                <c:pt idx="11">
                  <c:v>570.38010214794406</c:v>
                </c:pt>
                <c:pt idx="12">
                  <c:v>345.87943227874513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44D-4702-8FC1-2740B63097ED}"/>
            </c:ext>
          </c:extLst>
        </c:ser>
        <c:ser>
          <c:idx val="1"/>
          <c:order val="1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526.22382119965971</c:v>
                </c:pt>
                <c:pt idx="1">
                  <c:v>369.94540346410588</c:v>
                </c:pt>
                <c:pt idx="2">
                  <c:v>247.8399781058483</c:v>
                </c:pt>
                <c:pt idx="3">
                  <c:v>372.65418538263503</c:v>
                </c:pt>
                <c:pt idx="4">
                  <c:v>492.53226241655852</c:v>
                </c:pt>
                <c:pt idx="5">
                  <c:v>594.40538393935253</c:v>
                </c:pt>
                <c:pt idx="6">
                  <c:v>377.89501957601436</c:v>
                </c:pt>
                <c:pt idx="7">
                  <c:v>261.70978650354272</c:v>
                </c:pt>
                <c:pt idx="8">
                  <c:v>367.42873732144079</c:v>
                </c:pt>
                <c:pt idx="9">
                  <c:v>305.49725184539676</c:v>
                </c:pt>
                <c:pt idx="10">
                  <c:v>509.50394243387331</c:v>
                </c:pt>
                <c:pt idx="11">
                  <c:v>423.49291611988247</c:v>
                </c:pt>
                <c:pt idx="12">
                  <c:v>336.04882043264303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44D-4702-8FC1-2740B63097ED}"/>
            </c:ext>
          </c:extLst>
        </c:ser>
        <c:ser>
          <c:idx val="2"/>
          <c:order val="2"/>
          <c:tx>
            <c:strRef>
              <c:f>CAPEX_Euros_BSG!$L$1</c:f>
              <c:strCache>
                <c:ptCount val="1"/>
                <c:pt idx="0">
                  <c:v>Cost per Home passed(BSG)</c:v>
                </c:pt>
              </c:strCache>
            </c:strRef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CAPEX_Euros_BSG!$L$2:$L$14</c:f>
              <c:numCache>
                <c:formatCode>General</c:formatCode>
                <c:ptCount val="13"/>
                <c:pt idx="0">
                  <c:v>1338.0608641728224</c:v>
                </c:pt>
                <c:pt idx="1">
                  <c:v>835.38574954211117</c:v>
                </c:pt>
                <c:pt idx="2">
                  <c:v>740.20637583839437</c:v>
                </c:pt>
                <c:pt idx="3">
                  <c:v>769.68829778494626</c:v>
                </c:pt>
                <c:pt idx="4">
                  <c:v>1115.4411114449201</c:v>
                </c:pt>
                <c:pt idx="5">
                  <c:v>1507.7731189742717</c:v>
                </c:pt>
                <c:pt idx="6">
                  <c:v>857.6863441699561</c:v>
                </c:pt>
                <c:pt idx="7">
                  <c:v>767.97276227814564</c:v>
                </c:pt>
                <c:pt idx="8">
                  <c:v>926.11853194565572</c:v>
                </c:pt>
                <c:pt idx="9">
                  <c:v>783.54053507876881</c:v>
                </c:pt>
                <c:pt idx="10">
                  <c:v>1061.6051171305764</c:v>
                </c:pt>
                <c:pt idx="11">
                  <c:v>1013.3135288699945</c:v>
                </c:pt>
                <c:pt idx="12">
                  <c:v>824.54935197440136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D-4702-8FC1-2740B63097ED}"/>
            </c:ext>
          </c:extLst>
        </c:ser>
        <c:ser>
          <c:idx val="3"/>
          <c:order val="3"/>
          <c:tx>
            <c:strRef>
              <c:f>CAPEX_Euros_Phillipson!$L$1</c:f>
              <c:strCache>
                <c:ptCount val="1"/>
                <c:pt idx="0">
                  <c:v>Cost per Home passed(Phillipson)</c:v>
                </c:pt>
              </c:strCache>
            </c:strRef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CAPEX_Euros_Phillipson!$L$2:$L$14</c:f>
              <c:numCache>
                <c:formatCode>General</c:formatCode>
                <c:ptCount val="13"/>
                <c:pt idx="0">
                  <c:v>644.56761733934536</c:v>
                </c:pt>
                <c:pt idx="1">
                  <c:v>282.3953606741602</c:v>
                </c:pt>
                <c:pt idx="2">
                  <c:v>230.48230298663103</c:v>
                </c:pt>
                <c:pt idx="3">
                  <c:v>461.37902911608217</c:v>
                </c:pt>
                <c:pt idx="4">
                  <c:v>520.27725528150086</c:v>
                </c:pt>
                <c:pt idx="5">
                  <c:v>284.40768295345231</c:v>
                </c:pt>
                <c:pt idx="6">
                  <c:v>289.64879516257525</c:v>
                </c:pt>
                <c:pt idx="7">
                  <c:v>279.35114312059318</c:v>
                </c:pt>
                <c:pt idx="8">
                  <c:v>402.93697210310205</c:v>
                </c:pt>
                <c:pt idx="9">
                  <c:v>288.82839127037425</c:v>
                </c:pt>
                <c:pt idx="10">
                  <c:v>509.61418855012266</c:v>
                </c:pt>
                <c:pt idx="11">
                  <c:v>428.82378776847014</c:v>
                </c:pt>
                <c:pt idx="12">
                  <c:v>272.33942947692202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9D-43BE-841C-7F46FEAD7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smooth val="0"/>
        <c:axId val="231190528"/>
        <c:axId val="233318080"/>
      </c:lineChart>
      <c:catAx>
        <c:axId val="231190528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233318080"/>
        <c:crosses val="autoZero"/>
        <c:auto val="1"/>
        <c:lblAlgn val="ctr"/>
        <c:lblOffset val="100"/>
        <c:noMultiLvlLbl val="0"/>
      </c:catAx>
      <c:valAx>
        <c:axId val="233318080"/>
        <c:scaling>
          <c:orientation val="minMax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HH passed in Euros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19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baseline="0">
                <a:effectLst/>
              </a:rPr>
              <a:t>Components Cost OASE applied to Munich in millions of Cost Units</a:t>
            </a:r>
            <a:endParaRPr lang="de-DE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7714555145313016E-2"/>
          <c:y val="2.9581469038593596E-2"/>
          <c:w val="0.7366203386107667"/>
          <c:h val="0.767279818194695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CAPEX_Euros_OASE!$B$2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CAPEX_Euros_OASE!$B$3:$B$15</c:f>
              <c:numCache>
                <c:formatCode>General</c:formatCode>
                <c:ptCount val="13"/>
                <c:pt idx="0">
                  <c:v>146337.9</c:v>
                </c:pt>
                <c:pt idx="1">
                  <c:v>146337.9</c:v>
                </c:pt>
                <c:pt idx="2">
                  <c:v>78872.09</c:v>
                </c:pt>
                <c:pt idx="3">
                  <c:v>78872.09</c:v>
                </c:pt>
                <c:pt idx="4">
                  <c:v>146337.9</c:v>
                </c:pt>
                <c:pt idx="5">
                  <c:v>146337.9</c:v>
                </c:pt>
                <c:pt idx="6">
                  <c:v>146337.9</c:v>
                </c:pt>
                <c:pt idx="7">
                  <c:v>78872.09</c:v>
                </c:pt>
                <c:pt idx="8">
                  <c:v>114876.4</c:v>
                </c:pt>
                <c:pt idx="9">
                  <c:v>115530.5</c:v>
                </c:pt>
                <c:pt idx="10">
                  <c:v>115530.5</c:v>
                </c:pt>
                <c:pt idx="11">
                  <c:v>114876.4</c:v>
                </c:pt>
                <c:pt idx="12">
                  <c:v>115530.5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7-40B4-A155-A243BB9F39F7}"/>
            </c:ext>
          </c:extLst>
        </c:ser>
        <c:ser>
          <c:idx val="1"/>
          <c:order val="1"/>
          <c:tx>
            <c:strRef>
              <c:f>CAPEX_Euros_OASE!$C$2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CAPEX_Euros_OASE!$C$3:$C$15</c:f>
              <c:numCache>
                <c:formatCode>General</c:formatCode>
                <c:ptCount val="13"/>
                <c:pt idx="0">
                  <c:v>18.840229999999998</c:v>
                </c:pt>
                <c:pt idx="1">
                  <c:v>12.814590000000001</c:v>
                </c:pt>
                <c:pt idx="2">
                  <c:v>14.612120000000001</c:v>
                </c:pt>
                <c:pt idx="3">
                  <c:v>14.612120000000001</c:v>
                </c:pt>
                <c:pt idx="4">
                  <c:v>12.814590000000001</c:v>
                </c:pt>
                <c:pt idx="5">
                  <c:v>18.840229999999998</c:v>
                </c:pt>
                <c:pt idx="6">
                  <c:v>12.814590000000001</c:v>
                </c:pt>
                <c:pt idx="7">
                  <c:v>14.612120000000001</c:v>
                </c:pt>
                <c:pt idx="8">
                  <c:v>12.59423</c:v>
                </c:pt>
                <c:pt idx="9">
                  <c:v>12.21167</c:v>
                </c:pt>
                <c:pt idx="10">
                  <c:v>25.08727</c:v>
                </c:pt>
                <c:pt idx="11">
                  <c:v>12.59423</c:v>
                </c:pt>
                <c:pt idx="12">
                  <c:v>12.21167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7-40B4-A155-A243BB9F39F7}"/>
            </c:ext>
          </c:extLst>
        </c:ser>
        <c:ser>
          <c:idx val="2"/>
          <c:order val="2"/>
          <c:tx>
            <c:strRef>
              <c:f>CAPEX_Euros_OASE!$D$2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CAPEX_Euros_OASE!$D$3:$D$15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6405.333333333333</c:v>
                </c:pt>
                <c:pt idx="2">
                  <c:v>5299.166666666667</c:v>
                </c:pt>
                <c:pt idx="3">
                  <c:v>5866.833333333333</c:v>
                </c:pt>
                <c:pt idx="4">
                  <c:v>12618.666666666666</c:v>
                </c:pt>
                <c:pt idx="5">
                  <c:v>6426.666666666667</c:v>
                </c:pt>
                <c:pt idx="6">
                  <c:v>12818.666666666666</c:v>
                </c:pt>
                <c:pt idx="7">
                  <c:v>11216.333333333334</c:v>
                </c:pt>
                <c:pt idx="8">
                  <c:v>4000</c:v>
                </c:pt>
                <c:pt idx="9">
                  <c:v>7280</c:v>
                </c:pt>
                <c:pt idx="10">
                  <c:v>14160</c:v>
                </c:pt>
                <c:pt idx="11">
                  <c:v>27600</c:v>
                </c:pt>
                <c:pt idx="12">
                  <c:v>14160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97-40B4-A155-A243BB9F39F7}"/>
            </c:ext>
          </c:extLst>
        </c:ser>
        <c:ser>
          <c:idx val="3"/>
          <c:order val="3"/>
          <c:tx>
            <c:strRef>
              <c:f>CAPEX_Euros_OASE!$E$2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CAPEX_Euros_OASE!$E$3:$E$15</c:f>
              <c:numCache>
                <c:formatCode>General</c:formatCode>
                <c:ptCount val="13"/>
                <c:pt idx="0">
                  <c:v>158553.60000000001</c:v>
                </c:pt>
                <c:pt idx="1">
                  <c:v>3250.8</c:v>
                </c:pt>
                <c:pt idx="2">
                  <c:v>1560</c:v>
                </c:pt>
                <c:pt idx="3">
                  <c:v>1560</c:v>
                </c:pt>
                <c:pt idx="4">
                  <c:v>6501.6</c:v>
                </c:pt>
                <c:pt idx="5">
                  <c:v>195086.4</c:v>
                </c:pt>
                <c:pt idx="6">
                  <c:v>2002.8</c:v>
                </c:pt>
                <c:pt idx="7">
                  <c:v>1560</c:v>
                </c:pt>
                <c:pt idx="8">
                  <c:v>96145</c:v>
                </c:pt>
                <c:pt idx="9">
                  <c:v>466.5</c:v>
                </c:pt>
                <c:pt idx="10">
                  <c:v>466.5</c:v>
                </c:pt>
                <c:pt idx="11">
                  <c:v>105356</c:v>
                </c:pt>
                <c:pt idx="12">
                  <c:v>466.5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97-40B4-A155-A243BB9F39F7}"/>
            </c:ext>
          </c:extLst>
        </c:ser>
        <c:ser>
          <c:idx val="4"/>
          <c:order val="4"/>
          <c:tx>
            <c:strRef>
              <c:f>CAPEX_Euros_OASE!$F$2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CAPEX_Euros_OASE!$F$3:$F$15</c:f>
              <c:numCache>
                <c:formatCode>General</c:formatCode>
                <c:ptCount val="13"/>
                <c:pt idx="0">
                  <c:v>0</c:v>
                </c:pt>
                <c:pt idx="1">
                  <c:v>60500</c:v>
                </c:pt>
                <c:pt idx="2">
                  <c:v>59300</c:v>
                </c:pt>
                <c:pt idx="3">
                  <c:v>131778.59999999998</c:v>
                </c:pt>
                <c:pt idx="4">
                  <c:v>122778.6</c:v>
                </c:pt>
                <c:pt idx="5">
                  <c:v>0</c:v>
                </c:pt>
                <c:pt idx="6">
                  <c:v>59987.1</c:v>
                </c:pt>
                <c:pt idx="7">
                  <c:v>61500</c:v>
                </c:pt>
                <c:pt idx="8">
                  <c:v>0</c:v>
                </c:pt>
                <c:pt idx="9">
                  <c:v>55500</c:v>
                </c:pt>
                <c:pt idx="10">
                  <c:v>168000</c:v>
                </c:pt>
                <c:pt idx="11">
                  <c:v>0</c:v>
                </c:pt>
                <c:pt idx="12">
                  <c:v>66500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97-40B4-A155-A243BB9F3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833344"/>
        <c:axId val="214228992"/>
      </c:barChart>
      <c:catAx>
        <c:axId val="235833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228992"/>
        <c:crosses val="autoZero"/>
        <c:auto val="1"/>
        <c:lblAlgn val="ctr"/>
        <c:lblOffset val="100"/>
        <c:noMultiLvlLbl val="0"/>
      </c:catAx>
      <c:valAx>
        <c:axId val="21422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833344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baseline="0">
                <a:effectLst/>
              </a:rPr>
              <a:t>Components Cost Rokkas applied to Munich in millions of Cost Units</a:t>
            </a:r>
            <a:endParaRPr lang="de-DE">
              <a:effectLst/>
            </a:endParaRP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CAPEX_Euros_Rokkas!$D$1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CAPEX_Euros_Rokkas!$D$2:$D$14</c:f>
              <c:numCache>
                <c:formatCode>General</c:formatCode>
                <c:ptCount val="13"/>
                <c:pt idx="0">
                  <c:v>108181.99766751831</c:v>
                </c:pt>
                <c:pt idx="1">
                  <c:v>108181.99766751831</c:v>
                </c:pt>
                <c:pt idx="2">
                  <c:v>66893.848581055019</c:v>
                </c:pt>
                <c:pt idx="3">
                  <c:v>66893.848581055019</c:v>
                </c:pt>
                <c:pt idx="4">
                  <c:v>108181.99766751831</c:v>
                </c:pt>
                <c:pt idx="5">
                  <c:v>108181.99766751831</c:v>
                </c:pt>
                <c:pt idx="6">
                  <c:v>108181.99766751831</c:v>
                </c:pt>
                <c:pt idx="7">
                  <c:v>66893.848581055019</c:v>
                </c:pt>
                <c:pt idx="8">
                  <c:v>88649.250981062796</c:v>
                </c:pt>
                <c:pt idx="9">
                  <c:v>89276.478946812786</c:v>
                </c:pt>
                <c:pt idx="10">
                  <c:v>89276.478946812786</c:v>
                </c:pt>
                <c:pt idx="11">
                  <c:v>88649.250981062796</c:v>
                </c:pt>
                <c:pt idx="12">
                  <c:v>89276.478946812786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7-4F2C-B3FB-155963218EC0}"/>
            </c:ext>
          </c:extLst>
        </c:ser>
        <c:ser>
          <c:idx val="1"/>
          <c:order val="1"/>
          <c:tx>
            <c:strRef>
              <c:f>CAPEX_Euros_Rokkas!$E$1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CAPEX_Euros_Rokkas!$E$2:$E$14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7-4F2C-B3FB-155963218EC0}"/>
            </c:ext>
          </c:extLst>
        </c:ser>
        <c:ser>
          <c:idx val="2"/>
          <c:order val="2"/>
          <c:tx>
            <c:strRef>
              <c:f>CAPEX_Euros_Rokkas!$F$1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CAPEX_Euros_Rokkas!$F$2:$F$14</c:f>
              <c:numCache>
                <c:formatCode>General</c:formatCode>
                <c:ptCount val="13"/>
                <c:pt idx="0">
                  <c:v>7048</c:v>
                </c:pt>
                <c:pt idx="1">
                  <c:v>11184</c:v>
                </c:pt>
                <c:pt idx="2">
                  <c:v>16000</c:v>
                </c:pt>
                <c:pt idx="3">
                  <c:v>16000</c:v>
                </c:pt>
                <c:pt idx="4">
                  <c:v>19368</c:v>
                </c:pt>
                <c:pt idx="5">
                  <c:v>7404</c:v>
                </c:pt>
                <c:pt idx="6">
                  <c:v>19368</c:v>
                </c:pt>
                <c:pt idx="7">
                  <c:v>29000</c:v>
                </c:pt>
                <c:pt idx="8">
                  <c:v>8632</c:v>
                </c:pt>
                <c:pt idx="9">
                  <c:v>19032</c:v>
                </c:pt>
                <c:pt idx="10">
                  <c:v>35064</c:v>
                </c:pt>
                <c:pt idx="11">
                  <c:v>25528</c:v>
                </c:pt>
                <c:pt idx="12">
                  <c:v>35064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37-4F2C-B3FB-155963218EC0}"/>
            </c:ext>
          </c:extLst>
        </c:ser>
        <c:ser>
          <c:idx val="3"/>
          <c:order val="3"/>
          <c:tx>
            <c:strRef>
              <c:f>CAPEX_Euros_Rokkas!$G$1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CAPEX_Euros_Rokkas!$G$2:$G$14</c:f>
              <c:numCache>
                <c:formatCode>General</c:formatCode>
                <c:ptCount val="13"/>
                <c:pt idx="0">
                  <c:v>382544</c:v>
                </c:pt>
                <c:pt idx="1">
                  <c:v>8284</c:v>
                </c:pt>
                <c:pt idx="2">
                  <c:v>260</c:v>
                </c:pt>
                <c:pt idx="3">
                  <c:v>260</c:v>
                </c:pt>
                <c:pt idx="4">
                  <c:v>16568</c:v>
                </c:pt>
                <c:pt idx="5">
                  <c:v>399960</c:v>
                </c:pt>
                <c:pt idx="6">
                  <c:v>8284</c:v>
                </c:pt>
                <c:pt idx="7">
                  <c:v>260</c:v>
                </c:pt>
                <c:pt idx="8">
                  <c:v>381282</c:v>
                </c:pt>
                <c:pt idx="9">
                  <c:v>3082</c:v>
                </c:pt>
                <c:pt idx="10">
                  <c:v>3082</c:v>
                </c:pt>
                <c:pt idx="11">
                  <c:v>219632</c:v>
                </c:pt>
                <c:pt idx="12">
                  <c:v>3082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37-4F2C-B3FB-155963218EC0}"/>
            </c:ext>
          </c:extLst>
        </c:ser>
        <c:ser>
          <c:idx val="4"/>
          <c:order val="4"/>
          <c:tx>
            <c:strRef>
              <c:f>CAPEX_Euros_Rokkas!$H$1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CAPEX_Euros_Rokkas!$H$2:$H$14</c:f>
              <c:numCache>
                <c:formatCode>General</c:formatCode>
                <c:ptCount val="13"/>
                <c:pt idx="0">
                  <c:v>0</c:v>
                </c:pt>
                <c:pt idx="1">
                  <c:v>70000</c:v>
                </c:pt>
                <c:pt idx="2">
                  <c:v>75000</c:v>
                </c:pt>
                <c:pt idx="3">
                  <c:v>229508</c:v>
                </c:pt>
                <c:pt idx="4">
                  <c:v>180000</c:v>
                </c:pt>
                <c:pt idx="5">
                  <c:v>0</c:v>
                </c:pt>
                <c:pt idx="6">
                  <c:v>68278</c:v>
                </c:pt>
                <c:pt idx="7">
                  <c:v>75000</c:v>
                </c:pt>
                <c:pt idx="8">
                  <c:v>0</c:v>
                </c:pt>
                <c:pt idx="9">
                  <c:v>75000</c:v>
                </c:pt>
                <c:pt idx="10">
                  <c:v>210000</c:v>
                </c:pt>
                <c:pt idx="11">
                  <c:v>0</c:v>
                </c:pt>
                <c:pt idx="12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37-4F2C-B3FB-155963218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831808"/>
        <c:axId val="233319232"/>
      </c:barChart>
      <c:catAx>
        <c:axId val="23583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3319232"/>
        <c:crosses val="autoZero"/>
        <c:auto val="1"/>
        <c:lblAlgn val="ctr"/>
        <c:lblOffset val="100"/>
        <c:noMultiLvlLbl val="0"/>
      </c:catAx>
      <c:valAx>
        <c:axId val="23331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831808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Components Cost BSG applied</a:t>
            </a:r>
            <a:r>
              <a:rPr lang="de-DE" baseline="0"/>
              <a:t> to Munich in millions of Cost Units</a:t>
            </a:r>
            <a:endParaRPr lang="de-DE"/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CAPEX_Euros_BSG!$D$1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CAPEX_Euros_BSG!$D$2:$D$14</c:f>
              <c:numCache>
                <c:formatCode>General</c:formatCode>
                <c:ptCount val="13"/>
                <c:pt idx="0">
                  <c:v>220258.5472510673</c:v>
                </c:pt>
                <c:pt idx="1">
                  <c:v>220258.5472510673</c:v>
                </c:pt>
                <c:pt idx="2">
                  <c:v>136195.87571102803</c:v>
                </c:pt>
                <c:pt idx="3">
                  <c:v>136195.87571102803</c:v>
                </c:pt>
                <c:pt idx="4">
                  <c:v>220258.5472510673</c:v>
                </c:pt>
                <c:pt idx="5">
                  <c:v>220258.5472510673</c:v>
                </c:pt>
                <c:pt idx="6">
                  <c:v>220258.5472510673</c:v>
                </c:pt>
                <c:pt idx="7">
                  <c:v>136195.87571102803</c:v>
                </c:pt>
                <c:pt idx="8">
                  <c:v>180489.8749974439</c:v>
                </c:pt>
                <c:pt idx="9">
                  <c:v>181766.91113571086</c:v>
                </c:pt>
                <c:pt idx="10">
                  <c:v>181766.91113571086</c:v>
                </c:pt>
                <c:pt idx="11">
                  <c:v>180489.8749974439</c:v>
                </c:pt>
                <c:pt idx="12">
                  <c:v>181766.91113571086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CAPEX_Euros_BSG!$E$1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CAPEX_Euros_BSG!$E$2:$E$14</c:f>
              <c:numCache>
                <c:formatCode>General</c:formatCode>
                <c:ptCount val="13"/>
                <c:pt idx="0">
                  <c:v>181054.59289743542</c:v>
                </c:pt>
                <c:pt idx="1">
                  <c:v>123148.20881095782</c:v>
                </c:pt>
                <c:pt idx="2">
                  <c:v>140422.50368463391</c:v>
                </c:pt>
                <c:pt idx="3">
                  <c:v>140422.50368463391</c:v>
                </c:pt>
                <c:pt idx="4">
                  <c:v>123148.20881095782</c:v>
                </c:pt>
                <c:pt idx="5">
                  <c:v>181054.59289743542</c:v>
                </c:pt>
                <c:pt idx="6">
                  <c:v>123148.20881095782</c:v>
                </c:pt>
                <c:pt idx="7">
                  <c:v>140422.50368463391</c:v>
                </c:pt>
                <c:pt idx="8">
                  <c:v>121030.53463843174</c:v>
                </c:pt>
                <c:pt idx="9">
                  <c:v>117354.15161378775</c:v>
                </c:pt>
                <c:pt idx="10">
                  <c:v>241088.66761378772</c:v>
                </c:pt>
                <c:pt idx="11">
                  <c:v>121030.53463843174</c:v>
                </c:pt>
                <c:pt idx="12">
                  <c:v>117354.15161378775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CAPEX_Euros_BSG!$F$1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CAPEX_Euros_BSG!$F$2:$F$14</c:f>
              <c:numCache>
                <c:formatCode>General</c:formatCode>
                <c:ptCount val="13"/>
                <c:pt idx="0">
                  <c:v>11620</c:v>
                </c:pt>
                <c:pt idx="1">
                  <c:v>16300</c:v>
                </c:pt>
                <c:pt idx="2">
                  <c:v>22950</c:v>
                </c:pt>
                <c:pt idx="3">
                  <c:v>22950</c:v>
                </c:pt>
                <c:pt idx="4">
                  <c:v>93800</c:v>
                </c:pt>
                <c:pt idx="5">
                  <c:v>15652</c:v>
                </c:pt>
                <c:pt idx="6">
                  <c:v>32500</c:v>
                </c:pt>
                <c:pt idx="7">
                  <c:v>39200</c:v>
                </c:pt>
                <c:pt idx="8">
                  <c:v>11720</c:v>
                </c:pt>
                <c:pt idx="9">
                  <c:v>24000</c:v>
                </c:pt>
                <c:pt idx="10">
                  <c:v>48000</c:v>
                </c:pt>
                <c:pt idx="11">
                  <c:v>46280</c:v>
                </c:pt>
                <c:pt idx="12">
                  <c:v>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CAPEX_Euros_BSG!$G$1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CAPEX_Euros_BSG!$G$2:$G$14</c:f>
              <c:numCache>
                <c:formatCode>General</c:formatCode>
                <c:ptCount val="13"/>
                <c:pt idx="0">
                  <c:v>370153.6</c:v>
                </c:pt>
                <c:pt idx="1">
                  <c:v>1194.4000000000001</c:v>
                </c:pt>
                <c:pt idx="2">
                  <c:v>130</c:v>
                </c:pt>
                <c:pt idx="3">
                  <c:v>130</c:v>
                </c:pt>
                <c:pt idx="4">
                  <c:v>64840</c:v>
                </c:pt>
                <c:pt idx="5">
                  <c:v>465444</c:v>
                </c:pt>
                <c:pt idx="6">
                  <c:v>1194.4000000000001</c:v>
                </c:pt>
                <c:pt idx="7">
                  <c:v>130</c:v>
                </c:pt>
                <c:pt idx="8">
                  <c:v>228761.2</c:v>
                </c:pt>
                <c:pt idx="9">
                  <c:v>438.2</c:v>
                </c:pt>
                <c:pt idx="10">
                  <c:v>438.2</c:v>
                </c:pt>
                <c:pt idx="11">
                  <c:v>245231.2</c:v>
                </c:pt>
                <c:pt idx="12">
                  <c:v>438.2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CAPEX_Euros_BSG!$H$1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CAPEX_Euros_BSG!$H$2:$H$14</c:f>
              <c:numCache>
                <c:formatCode>General</c:formatCode>
                <c:ptCount val="13"/>
                <c:pt idx="0">
                  <c:v>0</c:v>
                </c:pt>
                <c:pt idx="1">
                  <c:v>128000</c:v>
                </c:pt>
                <c:pt idx="2">
                  <c:v>133500</c:v>
                </c:pt>
                <c:pt idx="3">
                  <c:v>150754</c:v>
                </c:pt>
                <c:pt idx="4">
                  <c:v>150754</c:v>
                </c:pt>
                <c:pt idx="5">
                  <c:v>0</c:v>
                </c:pt>
                <c:pt idx="6">
                  <c:v>124851.2</c:v>
                </c:pt>
                <c:pt idx="7">
                  <c:v>133500</c:v>
                </c:pt>
                <c:pt idx="8">
                  <c:v>0</c:v>
                </c:pt>
                <c:pt idx="9">
                  <c:v>135000</c:v>
                </c:pt>
                <c:pt idx="10">
                  <c:v>150000</c:v>
                </c:pt>
                <c:pt idx="11">
                  <c:v>0</c:v>
                </c:pt>
                <c:pt idx="12">
                  <c:v>135000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191552"/>
        <c:axId val="287875648"/>
      </c:barChart>
      <c:catAx>
        <c:axId val="23119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87875648"/>
        <c:crosses val="autoZero"/>
        <c:auto val="1"/>
        <c:lblAlgn val="ctr"/>
        <c:lblOffset val="100"/>
        <c:noMultiLvlLbl val="0"/>
      </c:catAx>
      <c:valAx>
        <c:axId val="28787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191552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363904"/>
        <c:axId val="502360296"/>
      </c:barChart>
      <c:catAx>
        <c:axId val="50236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60296"/>
        <c:crosses val="autoZero"/>
        <c:auto val="1"/>
        <c:lblAlgn val="ctr"/>
        <c:lblOffset val="100"/>
        <c:noMultiLvlLbl val="0"/>
      </c:catAx>
      <c:valAx>
        <c:axId val="50236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6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714555145313016E-2"/>
          <c:y val="2.9581469038593596E-2"/>
          <c:w val="0.7366203386107667"/>
          <c:h val="0.767279818194695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CAPEX_Euros_OASE!$B$2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CAPEX_Euros_OASE!$B$3:$B$15</c:f>
              <c:numCache>
                <c:formatCode>General</c:formatCode>
                <c:ptCount val="13"/>
                <c:pt idx="0">
                  <c:v>146337.9</c:v>
                </c:pt>
                <c:pt idx="1">
                  <c:v>146337.9</c:v>
                </c:pt>
                <c:pt idx="2">
                  <c:v>78872.09</c:v>
                </c:pt>
                <c:pt idx="3">
                  <c:v>78872.09</c:v>
                </c:pt>
                <c:pt idx="4">
                  <c:v>146337.9</c:v>
                </c:pt>
                <c:pt idx="5">
                  <c:v>146337.9</c:v>
                </c:pt>
                <c:pt idx="6">
                  <c:v>146337.9</c:v>
                </c:pt>
                <c:pt idx="7">
                  <c:v>78872.09</c:v>
                </c:pt>
                <c:pt idx="8">
                  <c:v>114876.4</c:v>
                </c:pt>
                <c:pt idx="9">
                  <c:v>115530.5</c:v>
                </c:pt>
                <c:pt idx="10">
                  <c:v>115530.5</c:v>
                </c:pt>
                <c:pt idx="11">
                  <c:v>114876.4</c:v>
                </c:pt>
                <c:pt idx="12">
                  <c:v>115530.5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7-40B4-A155-A243BB9F39F7}"/>
            </c:ext>
          </c:extLst>
        </c:ser>
        <c:ser>
          <c:idx val="1"/>
          <c:order val="1"/>
          <c:tx>
            <c:strRef>
              <c:f>CAPEX_Euros_OASE!$C$2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CAPEX_Euros_OASE!$C$3:$C$15</c:f>
              <c:numCache>
                <c:formatCode>General</c:formatCode>
                <c:ptCount val="13"/>
                <c:pt idx="0">
                  <c:v>18.840229999999998</c:v>
                </c:pt>
                <c:pt idx="1">
                  <c:v>12.814590000000001</c:v>
                </c:pt>
                <c:pt idx="2">
                  <c:v>14.612120000000001</c:v>
                </c:pt>
                <c:pt idx="3">
                  <c:v>14.612120000000001</c:v>
                </c:pt>
                <c:pt idx="4">
                  <c:v>12.814590000000001</c:v>
                </c:pt>
                <c:pt idx="5">
                  <c:v>18.840229999999998</c:v>
                </c:pt>
                <c:pt idx="6">
                  <c:v>12.814590000000001</c:v>
                </c:pt>
                <c:pt idx="7">
                  <c:v>14.612120000000001</c:v>
                </c:pt>
                <c:pt idx="8">
                  <c:v>12.59423</c:v>
                </c:pt>
                <c:pt idx="9">
                  <c:v>12.21167</c:v>
                </c:pt>
                <c:pt idx="10">
                  <c:v>25.08727</c:v>
                </c:pt>
                <c:pt idx="11">
                  <c:v>12.59423</c:v>
                </c:pt>
                <c:pt idx="12">
                  <c:v>12.21167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7-40B4-A155-A243BB9F39F7}"/>
            </c:ext>
          </c:extLst>
        </c:ser>
        <c:ser>
          <c:idx val="2"/>
          <c:order val="2"/>
          <c:tx>
            <c:strRef>
              <c:f>CAPEX_Euros_OASE!$D$2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CAPEX_Euros_OASE!$D$3:$D$15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6405.333333333333</c:v>
                </c:pt>
                <c:pt idx="2">
                  <c:v>5299.166666666667</c:v>
                </c:pt>
                <c:pt idx="3">
                  <c:v>5866.833333333333</c:v>
                </c:pt>
                <c:pt idx="4">
                  <c:v>12618.666666666666</c:v>
                </c:pt>
                <c:pt idx="5">
                  <c:v>6426.666666666667</c:v>
                </c:pt>
                <c:pt idx="6">
                  <c:v>12818.666666666666</c:v>
                </c:pt>
                <c:pt idx="7">
                  <c:v>11216.333333333334</c:v>
                </c:pt>
                <c:pt idx="8">
                  <c:v>4000</c:v>
                </c:pt>
                <c:pt idx="9">
                  <c:v>7280</c:v>
                </c:pt>
                <c:pt idx="10">
                  <c:v>14160</c:v>
                </c:pt>
                <c:pt idx="11">
                  <c:v>27600</c:v>
                </c:pt>
                <c:pt idx="12">
                  <c:v>14160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97-40B4-A155-A243BB9F39F7}"/>
            </c:ext>
          </c:extLst>
        </c:ser>
        <c:ser>
          <c:idx val="3"/>
          <c:order val="3"/>
          <c:tx>
            <c:strRef>
              <c:f>CAPEX_Euros_OASE!$E$2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CAPEX_Euros_OASE!$E$3:$E$15</c:f>
              <c:numCache>
                <c:formatCode>General</c:formatCode>
                <c:ptCount val="13"/>
                <c:pt idx="0">
                  <c:v>158553.60000000001</c:v>
                </c:pt>
                <c:pt idx="1">
                  <c:v>3250.8</c:v>
                </c:pt>
                <c:pt idx="2">
                  <c:v>1560</c:v>
                </c:pt>
                <c:pt idx="3">
                  <c:v>1560</c:v>
                </c:pt>
                <c:pt idx="4">
                  <c:v>6501.6</c:v>
                </c:pt>
                <c:pt idx="5">
                  <c:v>195086.4</c:v>
                </c:pt>
                <c:pt idx="6">
                  <c:v>2002.8</c:v>
                </c:pt>
                <c:pt idx="7">
                  <c:v>1560</c:v>
                </c:pt>
                <c:pt idx="8">
                  <c:v>96145</c:v>
                </c:pt>
                <c:pt idx="9">
                  <c:v>466.5</c:v>
                </c:pt>
                <c:pt idx="10">
                  <c:v>466.5</c:v>
                </c:pt>
                <c:pt idx="11">
                  <c:v>105356</c:v>
                </c:pt>
                <c:pt idx="12">
                  <c:v>466.5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97-40B4-A155-A243BB9F39F7}"/>
            </c:ext>
          </c:extLst>
        </c:ser>
        <c:ser>
          <c:idx val="4"/>
          <c:order val="4"/>
          <c:tx>
            <c:strRef>
              <c:f>CAPEX_Euros_OASE!$F$2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CAPEX_Euros_OASE!$F$3:$F$15</c:f>
              <c:numCache>
                <c:formatCode>General</c:formatCode>
                <c:ptCount val="13"/>
                <c:pt idx="0">
                  <c:v>0</c:v>
                </c:pt>
                <c:pt idx="1">
                  <c:v>60500</c:v>
                </c:pt>
                <c:pt idx="2">
                  <c:v>59300</c:v>
                </c:pt>
                <c:pt idx="3">
                  <c:v>131778.59999999998</c:v>
                </c:pt>
                <c:pt idx="4">
                  <c:v>122778.6</c:v>
                </c:pt>
                <c:pt idx="5">
                  <c:v>0</c:v>
                </c:pt>
                <c:pt idx="6">
                  <c:v>59987.1</c:v>
                </c:pt>
                <c:pt idx="7">
                  <c:v>61500</c:v>
                </c:pt>
                <c:pt idx="8">
                  <c:v>0</c:v>
                </c:pt>
                <c:pt idx="9">
                  <c:v>55500</c:v>
                </c:pt>
                <c:pt idx="10">
                  <c:v>168000</c:v>
                </c:pt>
                <c:pt idx="11">
                  <c:v>0</c:v>
                </c:pt>
                <c:pt idx="12">
                  <c:v>66500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97-40B4-A155-A243BB9F3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987200"/>
        <c:axId val="191370304"/>
      </c:barChart>
      <c:catAx>
        <c:axId val="19198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370304"/>
        <c:crosses val="autoZero"/>
        <c:auto val="1"/>
        <c:lblAlgn val="ctr"/>
        <c:lblOffset val="100"/>
        <c:noMultiLvlLbl val="0"/>
      </c:catAx>
      <c:valAx>
        <c:axId val="19137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987200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xVal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xVal>
          <c:yVal>
            <c:numRef>
              <c:f>CAPEX_Euros_OASE!$J$3:$J$15</c:f>
              <c:numCache>
                <c:formatCode>General</c:formatCode>
                <c:ptCount val="13"/>
                <c:pt idx="0">
                  <c:v>526.22382119965971</c:v>
                </c:pt>
                <c:pt idx="1">
                  <c:v>369.94540346410588</c:v>
                </c:pt>
                <c:pt idx="2">
                  <c:v>247.8399781058483</c:v>
                </c:pt>
                <c:pt idx="3">
                  <c:v>372.65418538263503</c:v>
                </c:pt>
                <c:pt idx="4">
                  <c:v>492.53226241655852</c:v>
                </c:pt>
                <c:pt idx="5">
                  <c:v>594.40538393935253</c:v>
                </c:pt>
                <c:pt idx="6">
                  <c:v>377.89501957601436</c:v>
                </c:pt>
                <c:pt idx="7">
                  <c:v>261.70978650354272</c:v>
                </c:pt>
                <c:pt idx="8">
                  <c:v>367.42873732144079</c:v>
                </c:pt>
                <c:pt idx="9">
                  <c:v>305.49725184539676</c:v>
                </c:pt>
                <c:pt idx="10">
                  <c:v>509.50394243387331</c:v>
                </c:pt>
                <c:pt idx="11">
                  <c:v>423.49291611988247</c:v>
                </c:pt>
                <c:pt idx="12">
                  <c:v>336.04882043264303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E4-40AC-8BD3-6DC3AD95A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72608"/>
        <c:axId val="191414272"/>
      </c:scatterChart>
      <c:valAx>
        <c:axId val="19137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414272"/>
        <c:crosses val="autoZero"/>
        <c:crossBetween val="midCat"/>
      </c:valAx>
      <c:valAx>
        <c:axId val="19141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372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20</xdr:col>
      <xdr:colOff>142874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172</xdr:row>
      <xdr:rowOff>133350</xdr:rowOff>
    </xdr:from>
    <xdr:to>
      <xdr:col>20</xdr:col>
      <xdr:colOff>190500</xdr:colOff>
      <xdr:row>209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99060</xdr:rowOff>
    </xdr:from>
    <xdr:to>
      <xdr:col>20</xdr:col>
      <xdr:colOff>161924</xdr:colOff>
      <xdr:row>69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69</xdr:row>
      <xdr:rowOff>19049</xdr:rowOff>
    </xdr:from>
    <xdr:to>
      <xdr:col>20</xdr:col>
      <xdr:colOff>200024</xdr:colOff>
      <xdr:row>100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100</xdr:row>
      <xdr:rowOff>114299</xdr:rowOff>
    </xdr:from>
    <xdr:to>
      <xdr:col>20</xdr:col>
      <xdr:colOff>247650</xdr:colOff>
      <xdr:row>140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140</xdr:row>
      <xdr:rowOff>28574</xdr:rowOff>
    </xdr:from>
    <xdr:to>
      <xdr:col>20</xdr:col>
      <xdr:colOff>228600</xdr:colOff>
      <xdr:row>172</xdr:row>
      <xdr:rowOff>57149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32657</xdr:colOff>
      <xdr:row>53</xdr:row>
      <xdr:rowOff>76200</xdr:rowOff>
    </xdr:from>
    <xdr:to>
      <xdr:col>29</xdr:col>
      <xdr:colOff>337457</xdr:colOff>
      <xdr:row>68</xdr:row>
      <xdr:rowOff>43543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AA7E32-E03E-48BC-8AEC-B0697D1A0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1278731</xdr:colOff>
      <xdr:row>20</xdr:row>
      <xdr:rowOff>190499</xdr:rowOff>
    </xdr:from>
    <xdr:to>
      <xdr:col>4</xdr:col>
      <xdr:colOff>552450</xdr:colOff>
      <xdr:row>48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1619250</xdr:colOff>
      <xdr:row>20</xdr:row>
      <xdr:rowOff>100011</xdr:rowOff>
    </xdr:from>
    <xdr:to>
      <xdr:col>12</xdr:col>
      <xdr:colOff>483392</xdr:colOff>
      <xdr:row>50</xdr:row>
      <xdr:rowOff>59531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3</xdr:col>
      <xdr:colOff>2933700</xdr:colOff>
      <xdr:row>53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428624</xdr:colOff>
      <xdr:row>17</xdr:row>
      <xdr:rowOff>28575</xdr:rowOff>
    </xdr:from>
    <xdr:to>
      <xdr:col>9</xdr:col>
      <xdr:colOff>342899</xdr:colOff>
      <xdr:row>45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514350</xdr:colOff>
      <xdr:row>16</xdr:row>
      <xdr:rowOff>95250</xdr:rowOff>
    </xdr:from>
    <xdr:to>
      <xdr:col>18</xdr:col>
      <xdr:colOff>276224</xdr:colOff>
      <xdr:row>50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1165860</xdr:colOff>
      <xdr:row>15</xdr:row>
      <xdr:rowOff>76200</xdr:rowOff>
    </xdr:from>
    <xdr:to>
      <xdr:col>8</xdr:col>
      <xdr:colOff>266700</xdr:colOff>
      <xdr:row>37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594360</xdr:colOff>
      <xdr:row>15</xdr:row>
      <xdr:rowOff>76200</xdr:rowOff>
    </xdr:from>
    <xdr:to>
      <xdr:col>4</xdr:col>
      <xdr:colOff>1074420</xdr:colOff>
      <xdr:row>37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754380</xdr:colOff>
      <xdr:row>15</xdr:row>
      <xdr:rowOff>99061</xdr:rowOff>
    </xdr:from>
    <xdr:to>
      <xdr:col>19</xdr:col>
      <xdr:colOff>426720</xdr:colOff>
      <xdr:row>43</xdr:row>
      <xdr:rowOff>106681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385233</xdr:colOff>
      <xdr:row>20</xdr:row>
      <xdr:rowOff>9525</xdr:rowOff>
    </xdr:from>
    <xdr:to>
      <xdr:col>11</xdr:col>
      <xdr:colOff>445982</xdr:colOff>
      <xdr:row>41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9525</xdr:rowOff>
    </xdr:from>
    <xdr:to>
      <xdr:col>4</xdr:col>
      <xdr:colOff>293793</xdr:colOff>
      <xdr:row>42</xdr:row>
      <xdr:rowOff>40005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518160</xdr:colOff>
      <xdr:row>16</xdr:row>
      <xdr:rowOff>15240</xdr:rowOff>
    </xdr:from>
    <xdr:to>
      <xdr:col>26</xdr:col>
      <xdr:colOff>87418</xdr:colOff>
      <xdr:row>48</xdr:row>
      <xdr:rowOff>40006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K10" totalsRowShown="0" headerRowDxfId="185" dataDxfId="184" tableBorderDxfId="183">
  <autoFilter ref="A1:K10"/>
  <tableColumns count="11">
    <tableColumn id="1" name="Position of component" dataDxfId="182"/>
    <tableColumn id="2" name="Component Name" dataDxfId="181"/>
    <tableColumn id="3" name="Cost per Unit (OASE)" dataDxfId="180"/>
    <tableColumn id="6" name="Cost per Unit (Rokkas)" dataDxfId="179">
      <calculatedColumnFormula>10000/50</calculatedColumnFormula>
    </tableColumn>
    <tableColumn id="8" name="Cost per Unit (BSG)" dataDxfId="178"/>
    <tableColumn id="10" name="Cost per Unit(Philipson)" dataDxfId="177"/>
    <tableColumn id="4" name="Quantity" dataDxfId="176"/>
    <tableColumn id="5" name="Component Cost(OASE)" dataDxfId="175">
      <calculatedColumnFormula>Table2[[#This Row],[Cost per Unit (OASE)]]*Table2[[#This Row],[Quantity]]</calculatedColumnFormula>
    </tableColumn>
    <tableColumn id="7" name="Component Cost(Rokkas)" dataDxfId="174">
      <calculatedColumnFormula>Table2[[#This Row],[Cost per Unit (Rokkas)]]*Table2[[#This Row],[Quantity]]</calculatedColumnFormula>
    </tableColumn>
    <tableColumn id="9" name="Component Cost(BSG)" dataDxfId="173">
      <calculatedColumnFormula>Table2[[#This Row],[Cost per Unit (BSG)]]*Table2[[#This Row],[Quantity]]</calculatedColumnFormula>
    </tableColumn>
    <tableColumn id="11" name="Component Cost(Phillipson)" dataDxfId="172">
      <calculatedColumnFormula>Table2[[#This Row],[Cost per Unit(Philipson)]]*Table2[[#This Row],[Quantity]]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Table21213" displayName="Table21213" ref="A1:K9" totalsRowShown="0" headerRowDxfId="59" dataDxfId="58" tableBorderDxfId="57">
  <autoFilter ref="A1:K9"/>
  <tableColumns count="11">
    <tableColumn id="1" name="Position of component" dataDxfId="56"/>
    <tableColumn id="2" name="Component Name" dataDxfId="55"/>
    <tableColumn id="3" name="Cost per Unit (OASE)" dataDxfId="54"/>
    <tableColumn id="6" name="Cost per Unit (Rokkas)" dataDxfId="53"/>
    <tableColumn id="8" name="Cost per Unit(BSG)" dataDxfId="52"/>
    <tableColumn id="11" name="Cost per uNit(Phillipson)" dataDxfId="51"/>
    <tableColumn id="4" name="Quantity" dataDxfId="50"/>
    <tableColumn id="5" name="Component Cost" dataDxfId="49">
      <calculatedColumnFormula>Table21213[[#This Row],[Cost per Unit (OASE)]]*Table21213[[#This Row],[Quantity]]</calculatedColumnFormula>
    </tableColumn>
    <tableColumn id="7" name="Component Cost(Rokkas)" dataDxfId="48">
      <calculatedColumnFormula>Table21213[[#This Row],[Cost per Unit (Rokkas)]]*Table21213[[#This Row],[Quantity]]</calculatedColumnFormula>
    </tableColumn>
    <tableColumn id="9" name="Component Cost(BSG)" dataDxfId="47">
      <calculatedColumnFormula>Table21213[[#This Row],[Cost per Unit(BSG)]]*Table21213[[#This Row],[Quantity]]</calculatedColumnFormula>
    </tableColumn>
    <tableColumn id="10" name="Component Cost(Phillipson)" dataDxfId="46">
      <calculatedColumnFormula>Table21213[[#This Row],[Cost per uNit(Phillipson)]]*Table21213[[#This Row],[Quantity]]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Table2121314" displayName="Table2121314" ref="A1:K9" totalsRowShown="0" headerRowDxfId="45" dataDxfId="44" tableBorderDxfId="43">
  <autoFilter ref="A1:K9"/>
  <tableColumns count="11">
    <tableColumn id="1" name="Position of component" dataDxfId="42"/>
    <tableColumn id="2" name="Component Name" dataDxfId="41"/>
    <tableColumn id="3" name="Cost per Unit (OASE)" dataDxfId="40"/>
    <tableColumn id="6" name="Cost per Unit (Rokkas)" dataDxfId="39"/>
    <tableColumn id="8" name="Cost per Unit(BSG)" dataDxfId="38"/>
    <tableColumn id="10" name="Cost per Unit(Phillipson)" dataDxfId="37"/>
    <tableColumn id="4" name="Quantity" dataDxfId="36"/>
    <tableColumn id="5" name="Component Cost" dataDxfId="35">
      <calculatedColumnFormula>Table2121314[[#This Row],[Cost per Unit (OASE)]]*Table2121314[[#This Row],[Quantity]]</calculatedColumnFormula>
    </tableColumn>
    <tableColumn id="7" name="Component Cost(Rokkas)" dataDxfId="34">
      <calculatedColumnFormula>Table2121314[[#This Row],[Cost per Unit (Rokkas)]]*Table2121314[[#This Row],[Quantity]]</calculatedColumnFormula>
    </tableColumn>
    <tableColumn id="9" name="Component Cost(BSG)" dataDxfId="33">
      <calculatedColumnFormula>Table2121314[[#This Row],[Cost per Unit(BSG)]]*Table2121314[[#This Row],[Quantity]]</calculatedColumnFormula>
    </tableColumn>
    <tableColumn id="11" name="Component Cost(Phillipson)" dataDxfId="32">
      <calculatedColumnFormula>Table2121314[[#This Row],[Cost per Unit(Phillipson)]]*Table2121314[[#This Row],[Quantity]]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4" name="Table21215" displayName="Table21215" ref="A1:K10" totalsRowShown="0" headerRowDxfId="31" dataDxfId="30" tableBorderDxfId="29">
  <autoFilter ref="A1:K10"/>
  <tableColumns count="11">
    <tableColumn id="1" name="Position of component" dataDxfId="28"/>
    <tableColumn id="2" name="Component Name" dataDxfId="27"/>
    <tableColumn id="3" name="Cost per Unit (OASE)" dataDxfId="26"/>
    <tableColumn id="6" name="Cost per Unit (Rokkas)" dataDxfId="25"/>
    <tableColumn id="8" name="Cost per Unit (BSG)" dataDxfId="24"/>
    <tableColumn id="10" name="Cost per Unit(Phillipson)" dataDxfId="23"/>
    <tableColumn id="4" name="Quantity" dataDxfId="22"/>
    <tableColumn id="5" name="Component Cost" dataDxfId="21">
      <calculatedColumnFormula>Table21215[[#This Row],[Cost per Unit (OASE)]]*Table21215[[#This Row],[Quantity]]</calculatedColumnFormula>
    </tableColumn>
    <tableColumn id="7" name="Component Cost(Rokkas)" dataDxfId="20">
      <calculatedColumnFormula>Table21215[[#This Row],[Cost per Unit (Rokkas)]]*Table21215[[#This Row],[Quantity]]</calculatedColumnFormula>
    </tableColumn>
    <tableColumn id="9" name="Component Cost(BSG)" dataDxfId="19">
      <calculatedColumnFormula>Table21215[[#This Row],[Cost per Unit (BSG)]]*Table21215[[#This Row],[Quantity]]</calculatedColumnFormula>
    </tableColumn>
    <tableColumn id="11" name="Component Cost(Phillipson)" dataDxfId="18">
      <calculatedColumnFormula>Table21215[[#This Row],[Cost per Unit(Phillipson)]]*Table21215[[#This Row],[Quantity]]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5" name="Table2121316" displayName="Table2121316" ref="A1:K9" totalsRowShown="0" headerRowDxfId="17" dataDxfId="16" tableBorderDxfId="15">
  <autoFilter ref="A1:K9"/>
  <tableColumns count="11">
    <tableColumn id="1" name="Position of component" dataDxfId="14"/>
    <tableColumn id="2" name="Component Name" dataDxfId="13"/>
    <tableColumn id="3" name="Cost per Unit (OASE)" dataDxfId="12"/>
    <tableColumn id="6" name="Cost per Unit (Rokkas)" dataDxfId="11"/>
    <tableColumn id="8" name="Cost per Unit(BSG)" dataDxfId="10"/>
    <tableColumn id="10" name="Cost per Unit(Phillipson)" dataDxfId="9"/>
    <tableColumn id="4" name="Quantity" dataDxfId="8"/>
    <tableColumn id="5" name="Component Cost" dataDxfId="7">
      <calculatedColumnFormula>Table2121316[[#This Row],[Cost per Unit (OASE)]]*Table2121316[[#This Row],[Quantity]]</calculatedColumnFormula>
    </tableColumn>
    <tableColumn id="7" name="Component Cost(Rokkas)" dataDxfId="6">
      <calculatedColumnFormula>D2*G2</calculatedColumnFormula>
    </tableColumn>
    <tableColumn id="9" name="Component Cost(BSG)" dataDxfId="5">
      <calculatedColumnFormula>Table2121316[[#This Row],[Cost per Unit(BSG)]]*Table2121316[[#This Row],[Quantity]]</calculatedColumnFormula>
    </tableColumn>
    <tableColumn id="11" name="Component Cost(Phillipson)" dataDxfId="4">
      <calculatedColumnFormula>Table2121316[[#This Row],[Cost per Unit(Phillipson)]]*Table2121316[[#This Row],[Quantity]]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7" name="Table7" displayName="Table7" ref="A2:K15" totalsRowShown="0">
  <autoFilter ref="A2:K15"/>
  <tableColumns count="11">
    <tableColumn id="1" name="Technology"/>
    <tableColumn id="2" name="Duct Cost"/>
    <tableColumn id="3" name="Fiber Cost"/>
    <tableColumn id="4" name="Central Office E&amp;I Costs"/>
    <tableColumn id="5" name="Remote Node E&amp;I Costs"/>
    <tableColumn id="6" name="Building E&amp;I Costs"/>
    <tableColumn id="7" name="Total Cost in Cost Units">
      <calculatedColumnFormula>SUM(B3:F3)</calculatedColumnFormula>
    </tableColumn>
    <tableColumn id="8" name="Total Cost in Euros" dataDxfId="3">
      <calculatedColumnFormula>G3*50</calculatedColumnFormula>
    </tableColumn>
    <tableColumn id="9" name="No. Of HH"/>
    <tableColumn id="10" name="Cost per Home passed(OASE)">
      <calculatedColumnFormula>H3/I3</calculatedColumnFormula>
    </tableColumn>
    <tableColumn id="11" name="Data rat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6" name="Table717" displayName="Table717" ref="A1:M14" totalsRowShown="0">
  <autoFilter ref="A1:M14"/>
  <tableColumns count="13">
    <tableColumn id="1" name="Technology"/>
    <tableColumn id="13" name="Duct Length" dataCellStyle="Heading 4"/>
    <tableColumn id="12" name="Fiber Length" dataCellStyle="Heading 4"/>
    <tableColumn id="2" name="Duct Cost">
      <calculatedColumnFormula>35*Table717[[#This Row],[Duct Length]]/50</calculatedColumnFormula>
    </tableColumn>
    <tableColumn id="3" name="Fiber Cost">
      <calculatedColumnFormula>E28*0.3/50</calculatedColumnFormula>
    </tableColumn>
    <tableColumn id="4" name="Central Office E&amp;I Costs"/>
    <tableColumn id="5" name="Remote Node E&amp;I Costs"/>
    <tableColumn id="6" name="Building E&amp;I Costs"/>
    <tableColumn id="7" name="Total Cost in Cost Units">
      <calculatedColumnFormula>SUM(Table717[[#This Row],[Duct Cost]:[Building E&amp;I Costs]])</calculatedColumnFormula>
    </tableColumn>
    <tableColumn id="8" name="Total Cost in Euros(Rokkas)" dataDxfId="2">
      <calculatedColumnFormula>I2*50</calculatedColumnFormula>
    </tableColumn>
    <tableColumn id="9" name="No. Of HH"/>
    <tableColumn id="10" name="Cost per Home passed(Rokkas)">
      <calculatedColumnFormula>J2/K2</calculatedColumnFormula>
    </tableColumn>
    <tableColumn id="11" name="Data rat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Table7172" displayName="Table7172" ref="A1:M14" totalsRowShown="0">
  <autoFilter ref="A1:M14"/>
  <tableColumns count="13">
    <tableColumn id="1" name="Technology"/>
    <tableColumn id="13" name="Duct Length" dataCellStyle="Heading 4"/>
    <tableColumn id="12" name="Fiber Length" dataCellStyle="Heading 4"/>
    <tableColumn id="2" name="Duct Cost">
      <calculatedColumnFormula>71.26*Table7172[[#This Row],[Duct Length]]/50</calculatedColumnFormula>
    </tableColumn>
    <tableColumn id="3" name="Fiber Cost">
      <calculatedColumnFormula>9.61*Table7172[[#This Row],[Fiber Length]]/50</calculatedColumnFormula>
    </tableColumn>
    <tableColumn id="4" name="Central Office E&amp;I Costs"/>
    <tableColumn id="5" name="Remote Node E&amp;I Costs"/>
    <tableColumn id="6" name="Building E&amp;I Costs"/>
    <tableColumn id="7" name="Total Cost in Cost Units">
      <calculatedColumnFormula>SUM(Table7172[[#This Row],[Duct Cost]:[Building E&amp;I Costs]])</calculatedColumnFormula>
    </tableColumn>
    <tableColumn id="8" name="Total Cost in Euros(BSG)" dataDxfId="1">
      <calculatedColumnFormula>I2*50</calculatedColumnFormula>
    </tableColumn>
    <tableColumn id="9" name="No. Of HH"/>
    <tableColumn id="10" name="Cost per Home passed(BSG)">
      <calculatedColumnFormula>J2/K2</calculatedColumnFormula>
    </tableColumn>
    <tableColumn id="11" name="Data rat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717218" displayName="Table717218" ref="A1:M14" totalsRowShown="0">
  <autoFilter ref="A1:M14"/>
  <tableColumns count="13">
    <tableColumn id="1" name="Technology"/>
    <tableColumn id="13" name="Duct Length" dataCellStyle="Heading 4"/>
    <tableColumn id="12" name="Fiber Length" dataCellStyle="Heading 4"/>
    <tableColumn id="2" name="Duct Cost">
      <calculatedColumnFormula>27*Table717218[[#This Row],[Duct Length]]/50</calculatedColumnFormula>
    </tableColumn>
    <tableColumn id="3" name="Fiber Cost">
      <calculatedColumnFormula>0.3*Table717218[[#This Row],[Fiber Length]]/50</calculatedColumnFormula>
    </tableColumn>
    <tableColumn id="4" name="Central Office E&amp;I Costs"/>
    <tableColumn id="5" name="Remote Node E&amp;I Costs"/>
    <tableColumn id="6" name="Building E&amp;I Costs"/>
    <tableColumn id="7" name="Total Cost in Cost Units">
      <calculatedColumnFormula>SUM(Table717218[[#This Row],[Duct Cost]:[Building E&amp;I Costs]])</calculatedColumnFormula>
    </tableColumn>
    <tableColumn id="8" name="Total Cost in Euros(Phillipson)" dataDxfId="0">
      <calculatedColumnFormula>I2*50</calculatedColumnFormula>
    </tableColumn>
    <tableColumn id="9" name="No. Of HH"/>
    <tableColumn id="10" name="Cost per Home passed(Phillipson)">
      <calculatedColumnFormula>J2/K2</calculatedColumnFormula>
    </tableColumn>
    <tableColumn id="11" name="Data 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:K10" totalsRowShown="0" headerRowDxfId="171" dataDxfId="170" tableBorderDxfId="169">
  <autoFilter ref="A1:K10"/>
  <tableColumns count="11">
    <tableColumn id="1" name="Position of component" dataDxfId="168"/>
    <tableColumn id="2" name="Component Name" dataDxfId="167"/>
    <tableColumn id="3" name="Cost per Unit (OASE)" dataDxfId="166"/>
    <tableColumn id="7" name="Cost per Unit (Rokkas)" dataDxfId="165"/>
    <tableColumn id="6" name="Cost per Unit(BSG)" dataDxfId="164"/>
    <tableColumn id="10" name="Cost per Unit(Phillipson)" dataDxfId="163"/>
    <tableColumn id="4" name="Quantity" dataDxfId="162"/>
    <tableColumn id="5" name="Component Cost" dataDxfId="161">
      <calculatedColumnFormula>Table24[[#This Row],[Cost per Unit (OASE)]]*Table24[[#This Row],[Quantity]]</calculatedColumnFormula>
    </tableColumn>
    <tableColumn id="8" name="Component Cost(Rokkas)" dataDxfId="160">
      <calculatedColumnFormula>Table24[[#This Row],[Cost per Unit (Rokkas)]]*Table24[[#This Row],[Quantity]]</calculatedColumnFormula>
    </tableColumn>
    <tableColumn id="9" name="Component Cost(BSG)" dataDxfId="159">
      <calculatedColumnFormula>Table24[[#This Row],[Cost per Unit(BSG)]]*Table24[[#This Row],[Quantity]]</calculatedColumnFormula>
    </tableColumn>
    <tableColumn id="11" name="Component Cost(Phillipson)" dataDxfId="158">
      <calculatedColumnFormula>Table24[[#This Row],[Cost per Unit(Phillipson)]]*Table24[[#This Row],[Quantity]]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245" displayName="Table245" ref="A1:K10" totalsRowShown="0" headerRowDxfId="157" dataDxfId="156" tableBorderDxfId="155">
  <autoFilter ref="A1:K10"/>
  <tableColumns count="11">
    <tableColumn id="1" name="Position of component" dataDxfId="154"/>
    <tableColumn id="2" name="Component Name" dataDxfId="153"/>
    <tableColumn id="3" name="Cost per Unit (OASE)" dataDxfId="152"/>
    <tableColumn id="6" name="Cost per Unit(Rokkas)" dataDxfId="151"/>
    <tableColumn id="8" name="Cost per Unit(BSG)" dataDxfId="150"/>
    <tableColumn id="10" name="Cost per Unit(Phillipson)" dataDxfId="149"/>
    <tableColumn id="4" name="Quantity" dataDxfId="148"/>
    <tableColumn id="5" name="Component Cost(OASE)" dataDxfId="147">
      <calculatedColumnFormula>Table245[[#This Row],[Cost per Unit (OASE)]]*Table245[[#This Row],[Quantity]]</calculatedColumnFormula>
    </tableColumn>
    <tableColumn id="7" name="Component Cost(Rokkas)" dataDxfId="146"/>
    <tableColumn id="9" name="Component Cost(BSG)" dataDxfId="145">
      <calculatedColumnFormula>Table245[[#This Row],[Cost per Unit(BSG)]]*Table245[[#This Row],[Quantity]]</calculatedColumnFormula>
    </tableColumn>
    <tableColumn id="11" name="Component Cost(Phillipson)" dataDxfId="144">
      <calculatedColumnFormula>Table245[[#This Row],[Cost per Unit(Phillipson)]]*Table245[[#This Row],[Quantity]]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2456" displayName="Table2456" ref="A1:K10" totalsRowShown="0" headerRowDxfId="143" dataDxfId="142" tableBorderDxfId="141">
  <autoFilter ref="A1:K10"/>
  <tableColumns count="11">
    <tableColumn id="1" name="Position of component" dataDxfId="140"/>
    <tableColumn id="2" name="Component Name" dataDxfId="139"/>
    <tableColumn id="3" name="Cost per Unit (OASE)" dataDxfId="138"/>
    <tableColumn id="6" name="Cost per Unit(Rokkas)" dataDxfId="137"/>
    <tableColumn id="8" name="Cost per Unit (BSG)" dataDxfId="136"/>
    <tableColumn id="10" name="Cost per Unit(Phillipson)" dataDxfId="135"/>
    <tableColumn id="4" name="Quantity" dataDxfId="134"/>
    <tableColumn id="5" name="Component Cost" dataDxfId="133">
      <calculatedColumnFormula>Table2456[[#This Row],[Cost per Unit (OASE)]]*Table2456[[#This Row],[Quantity]]</calculatedColumnFormula>
    </tableColumn>
    <tableColumn id="7" name="Component Cost(Rokkas)" dataDxfId="132">
      <calculatedColumnFormula>Table2456[[#This Row],[Cost per Unit(Rokkas)]]*Table2456[[#This Row],[Quantity]]</calculatedColumnFormula>
    </tableColumn>
    <tableColumn id="9" name="Component Cost(BSG)" dataDxfId="131">
      <calculatedColumnFormula>Table2456[[#This Row],[Cost per Unit (BSG)]]*Table2456[[#This Row],[Quantity]]</calculatedColumnFormula>
    </tableColumn>
    <tableColumn id="11" name="Component Cost(Phillipson)" dataDxfId="130">
      <calculatedColumnFormula>Table2456[[#This Row],[Cost per Unit(Phillipson)]]*Table2456[[#This Row],[Quantity]]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247" displayName="Table247" ref="A1:K10" totalsRowShown="0" headerRowDxfId="129" dataDxfId="128" tableBorderDxfId="127">
  <autoFilter ref="A1:K10"/>
  <tableColumns count="11">
    <tableColumn id="1" name="Position of component" dataDxfId="126"/>
    <tableColumn id="2" name="Component Name" dataDxfId="125"/>
    <tableColumn id="3" name="Cost per Unit (OASE)" dataDxfId="124"/>
    <tableColumn id="6" name="Cost per Unit (Rokkas)" dataDxfId="123"/>
    <tableColumn id="8" name="Cost per Unit (BSG)" dataDxfId="122"/>
    <tableColumn id="10" name="Cost per Unit(Phillipson)" dataDxfId="121"/>
    <tableColumn id="4" name="Quantity" dataDxfId="120"/>
    <tableColumn id="5" name="Component Cost" dataDxfId="119">
      <calculatedColumnFormula>Table247[[#This Row],[Cost per Unit (OASE)]]*Table247[[#This Row],[Quantity]]</calculatedColumnFormula>
    </tableColumn>
    <tableColumn id="7" name="Component Cost(Rokkas)" dataDxfId="118">
      <calculatedColumnFormula>Table247[[#This Row],[Cost per Unit (Rokkas)]]*Table247[[#This Row],[Quantity]]</calculatedColumnFormula>
    </tableColumn>
    <tableColumn id="9" name="Component Cost(BSG)" dataDxfId="117">
      <calculatedColumnFormula>Table247[[#This Row],[Cost per Unit (BSG)]]*Table247[[#This Row],[Quantity]]</calculatedColumnFormula>
    </tableColumn>
    <tableColumn id="11" name="Component Cost(Phillipson)" dataDxfId="116">
      <calculatedColumnFormula>Table247[[#This Row],[Cost per Unit(Phillipson)]]*Table247[[#This Row],[Quantity]]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29" displayName="Table29" ref="A1:K11" totalsRowShown="0" headerRowDxfId="115" dataDxfId="114" tableBorderDxfId="113">
  <autoFilter ref="A1:K11"/>
  <tableColumns count="11">
    <tableColumn id="1" name="Position of component" dataDxfId="112"/>
    <tableColumn id="2" name="Component Name" dataDxfId="111"/>
    <tableColumn id="3" name="Cost per Unit (OASE)" dataDxfId="110"/>
    <tableColumn id="6" name="Cost per Unit (Rokkas)" dataDxfId="109"/>
    <tableColumn id="8" name="Cost per Unit(BSG)" dataDxfId="108"/>
    <tableColumn id="10" name="Cost per Unit (Phillipson)" dataDxfId="107"/>
    <tableColumn id="4" name="Quantity" dataDxfId="106"/>
    <tableColumn id="5" name="Component Cost" dataDxfId="105">
      <calculatedColumnFormula>Table29[[#This Row],[Cost per Unit (OASE)]]*Table29[[#This Row],[Quantity]]</calculatedColumnFormula>
    </tableColumn>
    <tableColumn id="7" name="Component Cost(Rokkas)" dataDxfId="104">
      <calculatedColumnFormula>D2*G2</calculatedColumnFormula>
    </tableColumn>
    <tableColumn id="9" name="Component Cost(BSG)" dataDxfId="103">
      <calculatedColumnFormula>Table29[[#This Row],[Cost per Unit(BSG)]]*Table29[[#This Row],[Quantity]]</calculatedColumnFormula>
    </tableColumn>
    <tableColumn id="11" name="Component Cost(Phillipson)" dataDxfId="102">
      <calculatedColumnFormula>Table29[[#This Row],[Cost per Unit (Phillipson)]]*Table29[[#This Row],[Quantity]]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e2410" displayName="Table2410" ref="A1:K10" totalsRowShown="0" headerRowDxfId="101" dataDxfId="100" tableBorderDxfId="99">
  <autoFilter ref="A1:K10"/>
  <tableColumns count="11">
    <tableColumn id="1" name="Position of component" dataDxfId="98"/>
    <tableColumn id="2" name="Component Name" dataDxfId="97"/>
    <tableColumn id="3" name="Cost per Unit (OASE)" dataDxfId="96"/>
    <tableColumn id="6" name="Cost per Unit (Rokkas)" dataDxfId="95"/>
    <tableColumn id="8" name="Cost per Unit(BSG)" dataDxfId="94"/>
    <tableColumn id="10" name="Cost per Unit(Phillipson)" dataDxfId="93"/>
    <tableColumn id="4" name="Quantity" dataDxfId="92"/>
    <tableColumn id="5" name="Component Cost" dataDxfId="91">
      <calculatedColumnFormula>Table2410[[#This Row],[Cost per Unit (OASE)]]*Table2410[[#This Row],[Quantity]]</calculatedColumnFormula>
    </tableColumn>
    <tableColumn id="7" name="Component Cost(Rokkas)" dataDxfId="90">
      <calculatedColumnFormula>Table2410[[#This Row],[Cost per Unit (Rokkas)]]*Table2410[[#This Row],[Quantity]]</calculatedColumnFormula>
    </tableColumn>
    <tableColumn id="9" name="Component Cost(BSG)" dataDxfId="89">
      <calculatedColumnFormula>Table2410[[#This Row],[Cost per Unit(BSG)]]*Table2410[[#This Row],[Quantity]]</calculatedColumnFormula>
    </tableColumn>
    <tableColumn id="11" name="Component Cost(Phillipson)" dataDxfId="88">
      <calculatedColumnFormula>Table2410[[#This Row],[Cost per Unit(Phillipson)]]*Table2410[[#This Row],[Quantity]]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le24511" displayName="Table24511" ref="A1:K10" totalsRowShown="0" headerRowDxfId="87" dataDxfId="86" tableBorderDxfId="85">
  <autoFilter ref="A1:K10"/>
  <tableColumns count="11">
    <tableColumn id="1" name="Position of component" dataDxfId="84"/>
    <tableColumn id="2" name="Component Name" dataDxfId="83"/>
    <tableColumn id="3" name="Cost per Unit (OASE)" dataDxfId="82"/>
    <tableColumn id="6" name="Cost per Unit(Rokkas)" dataDxfId="81"/>
    <tableColumn id="8" name="Cost per Unit(BSG)" dataDxfId="80"/>
    <tableColumn id="10" name="Cost per Unit(Phillipson)" dataDxfId="79"/>
    <tableColumn id="4" name="Quantity" dataDxfId="78"/>
    <tableColumn id="5" name="Component Cost" dataDxfId="77">
      <calculatedColumnFormula>Table24511[[#This Row],[Cost per Unit (OASE)]]*Table24511[[#This Row],[Quantity]]</calculatedColumnFormula>
    </tableColumn>
    <tableColumn id="7" name="Component Cost(Rokkas)" dataDxfId="76">
      <calculatedColumnFormula>Table24511[[#This Row],[Cost per Unit(Rokkas)]]*Table24511[[#This Row],[Quantity]]</calculatedColumnFormula>
    </tableColumn>
    <tableColumn id="9" name="Component Cost(BSG)" dataDxfId="75">
      <calculatedColumnFormula>Table24511[[#This Row],[Cost per Unit(BSG)]]*Table24511[[#This Row],[Quantity]]</calculatedColumnFormula>
    </tableColumn>
    <tableColumn id="11" name="Component Cost(Phillipson)" dataDxfId="74">
      <calculatedColumnFormula>Table24511[[#This Row],[Cost per Unit(Phillipson)]]*Table24511[[#This Row],[Quantity]]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le212" displayName="Table212" ref="A1:K10" totalsRowShown="0" headerRowDxfId="73" dataDxfId="72" tableBorderDxfId="71">
  <autoFilter ref="A1:K10"/>
  <tableColumns count="11">
    <tableColumn id="1" name="Position of component" dataDxfId="70"/>
    <tableColumn id="2" name="Component Name" dataDxfId="69"/>
    <tableColumn id="3" name="Cost per Unit (OASE)" dataDxfId="68"/>
    <tableColumn id="6" name="Cost per Unit (Rokkas)" dataDxfId="67"/>
    <tableColumn id="8" name="Cost per Unit (BSG)" dataDxfId="66"/>
    <tableColumn id="10" name="Cost per Unit(Phillipson)" dataDxfId="65"/>
    <tableColumn id="4" name="Quantity" dataDxfId="64"/>
    <tableColumn id="5" name="Component Cost" dataDxfId="63">
      <calculatedColumnFormula>Table212[[#This Row],[Cost per Unit (OASE)]]*Table212[[#This Row],[Quantity]]</calculatedColumnFormula>
    </tableColumn>
    <tableColumn id="7" name="Component Cost(Rokkas)" dataDxfId="62">
      <calculatedColumnFormula>Table212[[#This Row],[Cost per Unit (Rokkas)]]*Table212[[#This Row],[Quantity]]</calculatedColumnFormula>
    </tableColumn>
    <tableColumn id="9" name="Component Cost(BSG)" dataDxfId="61">
      <calculatedColumnFormula>Table212[[#This Row],[Cost per Unit (BSG)]]*Table212[[#This Row],[Quantity]]</calculatedColumnFormula>
    </tableColumn>
    <tableColumn id="11" name="Component Cost(Phillipson)" dataDxfId="60">
      <calculatedColumnFormula>Table212[[#This Row],[Cost per Unit(Phillipson)]]*Table212[[#This Row],[Quantity]]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ieeexplore.ieee.org/xpl/mostRecentIssue.jsp?punumber=7347193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"/>
  <sheetViews>
    <sheetView topLeftCell="A10" workbookViewId="0">
      <selection activeCell="B20" sqref="B20"/>
    </sheetView>
  </sheetViews>
  <sheetFormatPr defaultRowHeight="14.4" x14ac:dyDescent="0.3"/>
  <cols>
    <col min="1" max="1" width="35.6640625" customWidth="1"/>
    <col min="2" max="2" width="79" customWidth="1"/>
    <col min="3" max="3" width="36.88671875" customWidth="1"/>
    <col min="4" max="4" width="36.109375" customWidth="1"/>
    <col min="5" max="5" width="40.88671875" customWidth="1"/>
    <col min="6" max="6" width="18" customWidth="1"/>
    <col min="7" max="7" width="19" customWidth="1"/>
    <col min="8" max="8" width="25.44140625" customWidth="1"/>
  </cols>
  <sheetData>
    <row r="1" spans="1:8" x14ac:dyDescent="0.3">
      <c r="A1" t="s">
        <v>0</v>
      </c>
      <c r="B1" t="s">
        <v>9</v>
      </c>
      <c r="C1" t="s">
        <v>4</v>
      </c>
      <c r="D1" t="s">
        <v>5</v>
      </c>
      <c r="E1" t="s">
        <v>10</v>
      </c>
      <c r="F1" t="s">
        <v>7</v>
      </c>
      <c r="G1" t="s">
        <v>8</v>
      </c>
      <c r="H1" t="s">
        <v>14</v>
      </c>
    </row>
    <row r="2" spans="1:8" x14ac:dyDescent="0.3">
      <c r="A2" t="s">
        <v>6</v>
      </c>
      <c r="B2" t="s">
        <v>12</v>
      </c>
      <c r="C2" s="1">
        <v>27</v>
      </c>
      <c r="D2" s="2">
        <v>0.3</v>
      </c>
      <c r="E2" t="s">
        <v>11</v>
      </c>
      <c r="F2">
        <v>11000</v>
      </c>
      <c r="G2">
        <v>2500</v>
      </c>
      <c r="H2">
        <v>250</v>
      </c>
    </row>
    <row r="3" spans="1:8" x14ac:dyDescent="0.3">
      <c r="A3" t="s">
        <v>15</v>
      </c>
      <c r="B3" t="s">
        <v>13</v>
      </c>
      <c r="C3" s="2">
        <v>19.5</v>
      </c>
      <c r="D3" s="2">
        <v>0.3</v>
      </c>
      <c r="E3" t="s">
        <v>11</v>
      </c>
      <c r="F3">
        <v>11000</v>
      </c>
      <c r="G3">
        <v>2500</v>
      </c>
      <c r="H3">
        <v>250</v>
      </c>
    </row>
    <row r="4" spans="1:8" ht="28.8" x14ac:dyDescent="0.3">
      <c r="A4" s="3" t="s">
        <v>17</v>
      </c>
      <c r="B4" t="s">
        <v>16</v>
      </c>
      <c r="C4" t="s">
        <v>11</v>
      </c>
      <c r="D4" t="s">
        <v>11</v>
      </c>
      <c r="E4">
        <f>(15)*1000</f>
        <v>15000</v>
      </c>
      <c r="F4">
        <v>250</v>
      </c>
      <c r="G4">
        <v>0</v>
      </c>
      <c r="H4">
        <f>(15)*1000</f>
        <v>15000</v>
      </c>
    </row>
    <row r="8" spans="1:8" x14ac:dyDescent="0.3">
      <c r="A8" t="s">
        <v>94</v>
      </c>
    </row>
    <row r="10" spans="1:8" x14ac:dyDescent="0.3">
      <c r="A10" t="s">
        <v>95</v>
      </c>
      <c r="B10" t="s">
        <v>98</v>
      </c>
      <c r="C10" t="s">
        <v>97</v>
      </c>
      <c r="D10" t="s">
        <v>96</v>
      </c>
      <c r="E10" t="s">
        <v>102</v>
      </c>
    </row>
    <row r="11" spans="1:8" ht="177.6" x14ac:dyDescent="0.3">
      <c r="A11" s="25" t="s">
        <v>100</v>
      </c>
      <c r="B11" t="s">
        <v>99</v>
      </c>
      <c r="C11" t="s">
        <v>103</v>
      </c>
      <c r="D11" s="32">
        <v>42348</v>
      </c>
      <c r="E11" s="26" t="s">
        <v>101</v>
      </c>
    </row>
    <row r="12" spans="1:8" ht="88.8" x14ac:dyDescent="0.3">
      <c r="A12" s="25" t="s">
        <v>104</v>
      </c>
      <c r="B12" t="s">
        <v>105</v>
      </c>
      <c r="C12" t="s">
        <v>106</v>
      </c>
      <c r="D12" s="27">
        <v>41161</v>
      </c>
      <c r="E12" t="s">
        <v>107</v>
      </c>
    </row>
    <row r="13" spans="1:8" ht="111" x14ac:dyDescent="0.3">
      <c r="A13" s="25" t="s">
        <v>117</v>
      </c>
      <c r="B13" t="s">
        <v>120</v>
      </c>
      <c r="C13" t="s">
        <v>119</v>
      </c>
      <c r="D13" s="27">
        <v>41589</v>
      </c>
      <c r="E13" t="s">
        <v>118</v>
      </c>
    </row>
  </sheetData>
  <hyperlinks>
    <hyperlink ref="E11" r:id="rId1" display="https://ieeexplore.ieee.org/xpl/mostRecentIssue.jsp?punumber=7347193"/>
  </hyperlinks>
  <pageMargins left="0.7" right="0.7" top="0.75" bottom="0.75" header="0.3" footer="0.3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F3" sqref="F3"/>
    </sheetView>
  </sheetViews>
  <sheetFormatPr defaultColWidth="9.109375" defaultRowHeight="14.4" x14ac:dyDescent="0.3"/>
  <cols>
    <col min="1" max="1" width="29.33203125" style="13" customWidth="1"/>
    <col min="2" max="2" width="38" style="13" customWidth="1"/>
    <col min="3" max="3" width="21.33203125" style="13" customWidth="1"/>
    <col min="4" max="4" width="18" style="13" customWidth="1"/>
    <col min="5" max="5" width="17.88671875" style="13" customWidth="1"/>
    <col min="6" max="6" width="23.88671875" style="24" customWidth="1"/>
    <col min="7" max="7" width="16.5546875" style="13" customWidth="1"/>
    <col min="8" max="16384" width="9.109375" style="13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87</v>
      </c>
      <c r="E1" s="7" t="s">
        <v>111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41</v>
      </c>
      <c r="C2" s="4">
        <v>16</v>
      </c>
      <c r="D2" s="4">
        <v>0</v>
      </c>
      <c r="E2" s="4">
        <v>0</v>
      </c>
      <c r="F2" s="4">
        <v>0</v>
      </c>
      <c r="G2" s="4">
        <v>3</v>
      </c>
      <c r="H2" s="4">
        <f>Table24511[[#This Row],[Cost per Unit (OASE)]]*Table24511[[#This Row],[Quantity]]</f>
        <v>48</v>
      </c>
      <c r="I2" s="12">
        <f>Table24511[[#This Row],[Cost per Unit(Rokkas)]]*Table24511[[#This Row],[Quantity]]</f>
        <v>0</v>
      </c>
      <c r="J2" s="12">
        <f>Table24511[[#This Row],[Cost per Unit(BSG)]]*Table24511[[#This Row],[Quantity]]</f>
        <v>0</v>
      </c>
      <c r="K2" s="35">
        <f>Table24511[[#This Row],[Cost per Unit(Phillipson)]]*Table24511[[#This Row],[Quantity]]</f>
        <v>0</v>
      </c>
    </row>
    <row r="3" spans="1:11" x14ac:dyDescent="0.3">
      <c r="A3" s="6" t="s">
        <v>27</v>
      </c>
      <c r="B3" s="6" t="s">
        <v>42</v>
      </c>
      <c r="C3" s="4">
        <v>17</v>
      </c>
      <c r="D3" s="4">
        <f>10000/50</f>
        <v>200</v>
      </c>
      <c r="E3" s="4">
        <v>300</v>
      </c>
      <c r="F3" s="4">
        <v>240</v>
      </c>
      <c r="G3" s="4">
        <f>65*2</f>
        <v>130</v>
      </c>
      <c r="H3" s="4">
        <f>Table24511[[#This Row],[Cost per Unit (OASE)]]*Table24511[[#This Row],[Quantity]]</f>
        <v>2210</v>
      </c>
      <c r="I3" s="12">
        <f>Table24511[[#This Row],[Cost per Unit(Rokkas)]]*Table24511[[#This Row],[Quantity]]</f>
        <v>26000</v>
      </c>
      <c r="J3" s="12">
        <f>Table24511[[#This Row],[Cost per Unit(BSG)]]*Table24511[[#This Row],[Quantity]]</f>
        <v>39000</v>
      </c>
      <c r="K3" s="35">
        <f>Table24511[[#This Row],[Cost per Unit(Phillipson)]]*Table24511[[#This Row],[Quantity]]</f>
        <v>31200</v>
      </c>
    </row>
    <row r="4" spans="1:11" x14ac:dyDescent="0.3">
      <c r="A4" s="6" t="s">
        <v>27</v>
      </c>
      <c r="B4" s="6" t="s">
        <v>43</v>
      </c>
      <c r="C4" s="4">
        <v>63</v>
      </c>
      <c r="D4" s="4">
        <v>0</v>
      </c>
      <c r="E4" s="4">
        <v>0</v>
      </c>
      <c r="F4" s="4">
        <v>0</v>
      </c>
      <c r="G4" s="4">
        <f t="shared" ref="G4:G5" si="0">65*2</f>
        <v>130</v>
      </c>
      <c r="H4" s="4">
        <f>Table24511[[#This Row],[Cost per Unit (OASE)]]*Table24511[[#This Row],[Quantity]]</f>
        <v>8190</v>
      </c>
      <c r="I4" s="12">
        <f>Table24511[[#This Row],[Cost per Unit(Rokkas)]]*Table24511[[#This Row],[Quantity]]</f>
        <v>0</v>
      </c>
      <c r="J4" s="12">
        <f>Table24511[[#This Row],[Cost per Unit(BSG)]]*Table24511[[#This Row],[Quantity]]</f>
        <v>0</v>
      </c>
      <c r="K4" s="35">
        <f>Table24511[[#This Row],[Cost per Unit(Phillipson)]]*Table24511[[#This Row],[Quantity]]</f>
        <v>0</v>
      </c>
    </row>
    <row r="5" spans="1:11" x14ac:dyDescent="0.3">
      <c r="A5" s="6" t="s">
        <v>27</v>
      </c>
      <c r="B5" s="6" t="s">
        <v>44</v>
      </c>
      <c r="C5" s="4">
        <v>2.2999999999999998</v>
      </c>
      <c r="D5" s="4">
        <v>0</v>
      </c>
      <c r="E5" s="4">
        <v>0</v>
      </c>
      <c r="F5" s="4">
        <v>0</v>
      </c>
      <c r="G5" s="4">
        <f t="shared" si="0"/>
        <v>130</v>
      </c>
      <c r="H5" s="4">
        <f>Table24511[[#This Row],[Cost per Unit (OASE)]]*Table24511[[#This Row],[Quantity]]</f>
        <v>299</v>
      </c>
      <c r="I5" s="12">
        <f>Table24511[[#This Row],[Cost per Unit(Rokkas)]]*Table24511[[#This Row],[Quantity]]</f>
        <v>0</v>
      </c>
      <c r="J5" s="12">
        <f>Table24511[[#This Row],[Cost per Unit(BSG)]]*Table24511[[#This Row],[Quantity]]</f>
        <v>0</v>
      </c>
      <c r="K5" s="35">
        <f>Table24511[[#This Row],[Cost per Unit(Phillipson)]]*Table24511[[#This Row],[Quantity]]</f>
        <v>0</v>
      </c>
    </row>
    <row r="6" spans="1:11" x14ac:dyDescent="0.3">
      <c r="A6" s="6" t="s">
        <v>27</v>
      </c>
      <c r="B6" s="6" t="s">
        <v>45</v>
      </c>
      <c r="C6" s="4">
        <f>0.1/4.5</f>
        <v>2.2222222222222223E-2</v>
      </c>
      <c r="D6" s="4">
        <v>0</v>
      </c>
      <c r="E6" s="4">
        <v>0</v>
      </c>
      <c r="F6" s="4">
        <v>0</v>
      </c>
      <c r="G6" s="4">
        <v>3120</v>
      </c>
      <c r="H6" s="4">
        <f>Table24511[[#This Row],[Cost per Unit (OASE)]]*Table24511[[#This Row],[Quantity]]</f>
        <v>69.333333333333343</v>
      </c>
      <c r="I6" s="12">
        <f>Table24511[[#This Row],[Cost per Unit(Rokkas)]]*Table24511[[#This Row],[Quantity]]</f>
        <v>0</v>
      </c>
      <c r="J6" s="12">
        <f>Table24511[[#This Row],[Cost per Unit(BSG)]]*Table24511[[#This Row],[Quantity]]</f>
        <v>0</v>
      </c>
      <c r="K6" s="35">
        <f>Table24511[[#This Row],[Cost per Unit(Phillipson)]]*Table24511[[#This Row],[Quantity]]</f>
        <v>0</v>
      </c>
    </row>
    <row r="7" spans="1:11" x14ac:dyDescent="0.3">
      <c r="A7" s="6" t="s">
        <v>27</v>
      </c>
      <c r="B7" s="6" t="s">
        <v>46</v>
      </c>
      <c r="C7" s="4">
        <v>400</v>
      </c>
      <c r="D7" s="4">
        <v>3000</v>
      </c>
      <c r="E7" s="4">
        <v>200</v>
      </c>
      <c r="F7" s="4">
        <v>0</v>
      </c>
      <c r="G7" s="4">
        <v>1</v>
      </c>
      <c r="H7" s="4">
        <f>Table24511[[#This Row],[Cost per Unit (OASE)]]*Table24511[[#This Row],[Quantity]]</f>
        <v>400</v>
      </c>
      <c r="I7" s="12">
        <f>Table24511[[#This Row],[Cost per Unit(Rokkas)]]*Table24511[[#This Row],[Quantity]]</f>
        <v>3000</v>
      </c>
      <c r="J7" s="12">
        <f>Table24511[[#This Row],[Cost per Unit(BSG)]]*Table24511[[#This Row],[Quantity]]</f>
        <v>200</v>
      </c>
      <c r="K7" s="35">
        <f>Table24511[[#This Row],[Cost per Unit(Phillipson)]]*Table24511[[#This Row],[Quantity]]</f>
        <v>0</v>
      </c>
    </row>
    <row r="8" spans="1:11" x14ac:dyDescent="0.3">
      <c r="A8" s="6" t="s">
        <v>28</v>
      </c>
      <c r="B8" s="6" t="s">
        <v>47</v>
      </c>
      <c r="C8" s="4">
        <f>80*0.3</f>
        <v>24</v>
      </c>
      <c r="D8" s="4">
        <f>200/50</f>
        <v>4</v>
      </c>
      <c r="E8" s="4">
        <v>2</v>
      </c>
      <c r="F8" s="4">
        <v>20</v>
      </c>
      <c r="G8" s="4">
        <v>65</v>
      </c>
      <c r="H8" s="4">
        <f>Table24511[[#This Row],[Cost per Unit (OASE)]]*Table24511[[#This Row],[Quantity]]</f>
        <v>1560</v>
      </c>
      <c r="I8" s="12">
        <f>Table24511[[#This Row],[Cost per Unit(Rokkas)]]*Table24511[[#This Row],[Quantity]]</f>
        <v>260</v>
      </c>
      <c r="J8" s="12">
        <f>Table24511[[#This Row],[Cost per Unit(BSG)]]*Table24511[[#This Row],[Quantity]]</f>
        <v>130</v>
      </c>
      <c r="K8" s="35">
        <f>Table24511[[#This Row],[Cost per Unit(Phillipson)]]*Table24511[[#This Row],[Quantity]]</f>
        <v>1300</v>
      </c>
    </row>
    <row r="9" spans="1:11" x14ac:dyDescent="0.3">
      <c r="A9" s="6" t="s">
        <v>32</v>
      </c>
      <c r="B9" s="6" t="s">
        <v>65</v>
      </c>
      <c r="C9" s="4">
        <v>10</v>
      </c>
      <c r="D9" s="4">
        <v>10</v>
      </c>
      <c r="E9" s="4">
        <v>24</v>
      </c>
      <c r="F9" s="4">
        <v>10</v>
      </c>
      <c r="G9" s="4">
        <v>5000</v>
      </c>
      <c r="H9" s="4">
        <f>Table24511[[#This Row],[Cost per Unit (OASE)]]*Table24511[[#This Row],[Quantity]]</f>
        <v>50000</v>
      </c>
      <c r="I9" s="12">
        <f>Table24511[[#This Row],[Cost per Unit(Rokkas)]]*Table24511[[#This Row],[Quantity]]</f>
        <v>50000</v>
      </c>
      <c r="J9" s="12">
        <f>Table24511[[#This Row],[Cost per Unit(BSG)]]*Table24511[[#This Row],[Quantity]]</f>
        <v>120000</v>
      </c>
      <c r="K9" s="35">
        <f>Table24511[[#This Row],[Cost per Unit(Phillipson)]]*Table24511[[#This Row],[Quantity]]</f>
        <v>50000</v>
      </c>
    </row>
    <row r="10" spans="1:11" x14ac:dyDescent="0.3">
      <c r="A10" s="6" t="s">
        <v>32</v>
      </c>
      <c r="B10" s="6" t="s">
        <v>40</v>
      </c>
      <c r="C10" s="4">
        <v>2.2999999999999998</v>
      </c>
      <c r="D10" s="4">
        <f>250/50</f>
        <v>5</v>
      </c>
      <c r="E10" s="4">
        <f>135/50</f>
        <v>2.7</v>
      </c>
      <c r="F10" s="4">
        <v>5</v>
      </c>
      <c r="G10" s="4">
        <v>5000</v>
      </c>
      <c r="H10" s="4">
        <f>Table24511[[#This Row],[Cost per Unit (OASE)]]*Table24511[[#This Row],[Quantity]]</f>
        <v>11500</v>
      </c>
      <c r="I10" s="12">
        <f>Table24511[[#This Row],[Cost per Unit(Rokkas)]]*Table24511[[#This Row],[Quantity]]</f>
        <v>25000</v>
      </c>
      <c r="J10" s="12">
        <f>Table24511[[#This Row],[Cost per Unit(BSG)]]*Table24511[[#This Row],[Quantity]]</f>
        <v>13500</v>
      </c>
      <c r="K10" s="35">
        <f>Table24511[[#This Row],[Cost per Unit(Phillipson)]]*Table24511[[#This Row],[Quantity]]</f>
        <v>25000</v>
      </c>
    </row>
    <row r="13" spans="1:11" x14ac:dyDescent="0.3">
      <c r="A13" s="13" t="s">
        <v>84</v>
      </c>
      <c r="B13" s="13" t="s">
        <v>35</v>
      </c>
      <c r="C13" s="13" t="s">
        <v>36</v>
      </c>
      <c r="D13" s="13" t="s">
        <v>37</v>
      </c>
      <c r="E13" s="13" t="s">
        <v>34</v>
      </c>
    </row>
    <row r="14" spans="1:11" ht="15" thickBot="1" x14ac:dyDescent="0.35">
      <c r="A14" s="13" t="s">
        <v>85</v>
      </c>
      <c r="B14" s="14">
        <f>SUM(H2:H7)</f>
        <v>11216.333333333334</v>
      </c>
      <c r="C14" s="14">
        <f>SUM(H8:H8)</f>
        <v>1560</v>
      </c>
      <c r="D14" s="10">
        <f>SUM(H9:H10)</f>
        <v>61500</v>
      </c>
      <c r="E14" s="5">
        <f>SUM(B14:D14)</f>
        <v>74276.333333333328</v>
      </c>
      <c r="F14" s="5"/>
    </row>
    <row r="15" spans="1:11" ht="15.6" thickTop="1" thickBot="1" x14ac:dyDescent="0.35">
      <c r="A15" s="13" t="s">
        <v>86</v>
      </c>
      <c r="B15" s="13">
        <f>SUM(I2:I7)</f>
        <v>29000</v>
      </c>
      <c r="C15" s="13">
        <f>SUM(I8)</f>
        <v>260</v>
      </c>
      <c r="D15" s="13">
        <f>SUM(I9:I10)</f>
        <v>75000</v>
      </c>
      <c r="E15" s="5">
        <f>SUM(B15:D15)</f>
        <v>104260</v>
      </c>
      <c r="F15" s="5"/>
    </row>
    <row r="16" spans="1:11" ht="15.6" thickTop="1" thickBot="1" x14ac:dyDescent="0.35">
      <c r="A16" s="13" t="s">
        <v>110</v>
      </c>
      <c r="B16" s="13">
        <f>SUM(J2:J7)</f>
        <v>39200</v>
      </c>
      <c r="C16" s="13">
        <f>SUM(J8)</f>
        <v>130</v>
      </c>
      <c r="D16" s="13">
        <f>SUM(J9:J10)</f>
        <v>133500</v>
      </c>
      <c r="E16" s="5">
        <f>SUM(B16:D16)</f>
        <v>172830</v>
      </c>
      <c r="F16" s="5"/>
    </row>
    <row r="17" spans="1:5" ht="15.6" thickTop="1" thickBot="1" x14ac:dyDescent="0.35">
      <c r="A17" s="13" t="s">
        <v>6</v>
      </c>
      <c r="B17" s="24">
        <f>SUM(K2:K7)</f>
        <v>31200</v>
      </c>
      <c r="C17" s="24">
        <f>SUM(K8)</f>
        <v>1300</v>
      </c>
      <c r="D17" s="24">
        <f>SUM(K9:K10)</f>
        <v>75000</v>
      </c>
      <c r="E17" s="5">
        <f>SUM(B17:D17)</f>
        <v>107500</v>
      </c>
    </row>
    <row r="18" spans="1:5" ht="15" thickTop="1" x14ac:dyDescent="0.3"/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12" sqref="F12"/>
    </sheetView>
  </sheetViews>
  <sheetFormatPr defaultColWidth="9.109375" defaultRowHeight="14.4" x14ac:dyDescent="0.3"/>
  <cols>
    <col min="1" max="1" width="29.33203125" style="19" customWidth="1"/>
    <col min="2" max="2" width="38" style="19" customWidth="1"/>
    <col min="3" max="3" width="21.33203125" style="19" customWidth="1"/>
    <col min="4" max="4" width="21.33203125" style="21" customWidth="1"/>
    <col min="5" max="6" width="21.33203125" style="24" customWidth="1"/>
    <col min="7" max="7" width="18" style="19" customWidth="1"/>
    <col min="8" max="8" width="17.88671875" style="19" customWidth="1"/>
    <col min="9" max="16384" width="9.109375" style="19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108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23</v>
      </c>
      <c r="C2" s="4">
        <v>80</v>
      </c>
      <c r="D2" s="4">
        <v>140</v>
      </c>
      <c r="E2" s="4">
        <v>288</v>
      </c>
      <c r="F2" s="4">
        <v>50</v>
      </c>
      <c r="G2" s="4">
        <v>40</v>
      </c>
      <c r="H2" s="4">
        <f>Table212[[#This Row],[Cost per Unit (OASE)]]*Table212[[#This Row],[Quantity]]</f>
        <v>3200</v>
      </c>
      <c r="I2" s="12">
        <f>Table212[[#This Row],[Cost per Unit (Rokkas)]]*Table212[[#This Row],[Quantity]]</f>
        <v>5600</v>
      </c>
      <c r="J2" s="12">
        <f>Table212[[#This Row],[Cost per Unit (BSG)]]*Table212[[#This Row],[Quantity]]</f>
        <v>11520</v>
      </c>
      <c r="K2" s="35">
        <f>Table212[[#This Row],[Cost per Unit(Phillipson)]]*Table212[[#This Row],[Quantity]]</f>
        <v>2000</v>
      </c>
    </row>
    <row r="3" spans="1:11" x14ac:dyDescent="0.3">
      <c r="A3" s="6" t="s">
        <v>27</v>
      </c>
      <c r="B3" s="6" t="s">
        <v>78</v>
      </c>
      <c r="C3" s="4">
        <v>40</v>
      </c>
      <c r="D3" s="4">
        <f>200/50</f>
        <v>4</v>
      </c>
      <c r="E3" s="4">
        <v>0</v>
      </c>
      <c r="F3" s="4">
        <v>0</v>
      </c>
      <c r="G3" s="4">
        <v>8</v>
      </c>
      <c r="H3" s="4">
        <f>Table212[[#This Row],[Cost per Unit (OASE)]]*Table212[[#This Row],[Quantity]]</f>
        <v>320</v>
      </c>
      <c r="I3" s="12">
        <f>Table212[[#This Row],[Cost per Unit (Rokkas)]]*Table212[[#This Row],[Quantity]]</f>
        <v>32</v>
      </c>
      <c r="J3" s="12">
        <f>Table212[[#This Row],[Cost per Unit (BSG)]]*Table212[[#This Row],[Quantity]]</f>
        <v>0</v>
      </c>
      <c r="K3" s="35">
        <f>Table212[[#This Row],[Cost per Unit(Phillipson)]]*Table212[[#This Row],[Quantity]]</f>
        <v>0</v>
      </c>
    </row>
    <row r="4" spans="1:11" x14ac:dyDescent="0.3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800</v>
      </c>
      <c r="H4" s="4">
        <f>Table212[[#This Row],[Cost per Unit (OASE)]]*Table212[[#This Row],[Quantity]]</f>
        <v>80</v>
      </c>
      <c r="I4" s="12">
        <f>Table212[[#This Row],[Cost per Unit (Rokkas)]]*Table212[[#This Row],[Quantity]]</f>
        <v>0</v>
      </c>
      <c r="J4" s="12">
        <f>Table212[[#This Row],[Cost per Unit (BSG)]]*Table212[[#This Row],[Quantity]]</f>
        <v>0</v>
      </c>
      <c r="K4" s="35">
        <f>Table212[[#This Row],[Cost per Unit(Phillipson)]]*Table212[[#This Row],[Quantity]]</f>
        <v>0</v>
      </c>
    </row>
    <row r="5" spans="1:11" x14ac:dyDescent="0.3">
      <c r="A5" s="6" t="s">
        <v>27</v>
      </c>
      <c r="B5" s="6" t="s">
        <v>46</v>
      </c>
      <c r="C5" s="4">
        <v>400</v>
      </c>
      <c r="D5" s="4">
        <v>3000</v>
      </c>
      <c r="E5" s="4">
        <v>200</v>
      </c>
      <c r="F5" s="4">
        <v>0</v>
      </c>
      <c r="G5" s="4">
        <v>1</v>
      </c>
      <c r="H5" s="4">
        <f>Table212[[#This Row],[Cost per Unit (OASE)]]*Table212[[#This Row],[Quantity]]</f>
        <v>400</v>
      </c>
      <c r="I5" s="12">
        <f>Table212[[#This Row],[Cost per Unit (Rokkas)]]*Table212[[#This Row],[Quantity]]</f>
        <v>3000</v>
      </c>
      <c r="J5" s="12">
        <f>Table212[[#This Row],[Cost per Unit (BSG)]]*Table212[[#This Row],[Quantity]]</f>
        <v>200</v>
      </c>
      <c r="K5" s="35">
        <f>Table212[[#This Row],[Cost per Unit(Phillipson)]]*Table212[[#This Row],[Quantity]]</f>
        <v>0</v>
      </c>
    </row>
    <row r="6" spans="1:11" x14ac:dyDescent="0.3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Table212[[#This Row],[Cost per Unit (OASE)]]*Table212[[#This Row],[Quantity]]</f>
        <v>192</v>
      </c>
      <c r="I6" s="12">
        <f>Table212[[#This Row],[Cost per Unit (Rokkas)]]*Table212[[#This Row],[Quantity]]</f>
        <v>32</v>
      </c>
      <c r="J6" s="12">
        <f>Table212[[#This Row],[Cost per Unit (BSG)]]*Table212[[#This Row],[Quantity]]</f>
        <v>11.2</v>
      </c>
      <c r="K6" s="35">
        <f>Table212[[#This Row],[Cost per Unit(Phillipson)]]*Table212[[#This Row],[Quantity]]</f>
        <v>0</v>
      </c>
    </row>
    <row r="7" spans="1:11" x14ac:dyDescent="0.3">
      <c r="A7" s="6" t="s">
        <v>30</v>
      </c>
      <c r="B7" s="6" t="s">
        <v>115</v>
      </c>
      <c r="C7" s="24">
        <v>112</v>
      </c>
      <c r="D7" s="24">
        <f>10+15000/50</f>
        <v>310</v>
      </c>
      <c r="E7" s="24">
        <v>294</v>
      </c>
      <c r="F7" s="24">
        <v>220</v>
      </c>
      <c r="G7" s="4">
        <v>610</v>
      </c>
      <c r="H7" s="4">
        <f>Table212[[#This Row],[Cost per Unit (OASE)]]*Table212[[#This Row],[Quantity]]</f>
        <v>68320</v>
      </c>
      <c r="I7" s="12">
        <f>Table212[[#This Row],[Cost per Unit (Rokkas)]]*Table212[[#This Row],[Quantity]]</f>
        <v>189100</v>
      </c>
      <c r="J7" s="12">
        <f>Table212[[#This Row],[Cost per Unit (BSG)]]*Table212[[#This Row],[Quantity]]</f>
        <v>179340</v>
      </c>
      <c r="K7" s="35">
        <f>Table212[[#This Row],[Cost per Unit(Phillipson)]]*Table212[[#This Row],[Quantity]]</f>
        <v>134200</v>
      </c>
    </row>
    <row r="8" spans="1:11" x14ac:dyDescent="0.3">
      <c r="A8" s="6" t="s">
        <v>30</v>
      </c>
      <c r="B8" s="6" t="s">
        <v>75</v>
      </c>
      <c r="C8" s="4">
        <v>3.1</v>
      </c>
      <c r="D8" s="4">
        <f>250/50</f>
        <v>5</v>
      </c>
      <c r="E8" s="4">
        <f>150/50</f>
        <v>3</v>
      </c>
      <c r="F8" s="4">
        <v>5</v>
      </c>
      <c r="G8" s="4">
        <f>610*3</f>
        <v>1830</v>
      </c>
      <c r="H8" s="4">
        <f>Table212[[#This Row],[Cost per Unit (OASE)]]*Table212[[#This Row],[Quantity]]</f>
        <v>5673</v>
      </c>
      <c r="I8" s="12">
        <f>Table212[[#This Row],[Cost per Unit (Rokkas)]]*Table212[[#This Row],[Quantity]]</f>
        <v>9150</v>
      </c>
      <c r="J8" s="12">
        <f>Table212[[#This Row],[Cost per Unit (BSG)]]*Table212[[#This Row],[Quantity]]</f>
        <v>5490</v>
      </c>
      <c r="K8" s="35">
        <f>Table212[[#This Row],[Cost per Unit(Phillipson)]]*Table212[[#This Row],[Quantity]]</f>
        <v>9150</v>
      </c>
    </row>
    <row r="9" spans="1:11" x14ac:dyDescent="0.3">
      <c r="A9" s="6" t="s">
        <v>30</v>
      </c>
      <c r="B9" s="6" t="s">
        <v>76</v>
      </c>
      <c r="C9" s="4">
        <v>12</v>
      </c>
      <c r="D9" s="4">
        <v>100</v>
      </c>
      <c r="E9" s="4">
        <v>24</v>
      </c>
      <c r="F9" s="4">
        <v>10</v>
      </c>
      <c r="G9" s="4">
        <f>610*3</f>
        <v>1830</v>
      </c>
      <c r="H9" s="4">
        <f>Table212[[#This Row],[Cost per Unit (OASE)]]*Table212[[#This Row],[Quantity]]</f>
        <v>21960</v>
      </c>
      <c r="I9" s="12">
        <f>Table212[[#This Row],[Cost per Unit (Rokkas)]]*Table212[[#This Row],[Quantity]]</f>
        <v>183000</v>
      </c>
      <c r="J9" s="12">
        <f>Table212[[#This Row],[Cost per Unit (BSG)]]*Table212[[#This Row],[Quantity]]</f>
        <v>43920</v>
      </c>
      <c r="K9" s="35">
        <f>Table212[[#This Row],[Cost per Unit(Phillipson)]]*Table212[[#This Row],[Quantity]]</f>
        <v>18300</v>
      </c>
    </row>
    <row r="10" spans="1:11" x14ac:dyDescent="0.3">
      <c r="A10" s="6" t="s">
        <v>77</v>
      </c>
      <c r="B10" s="6" t="s">
        <v>66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f>Table212[[#This Row],[Cost per Unit (OASE)]]*Table212[[#This Row],[Quantity]]</f>
        <v>0</v>
      </c>
      <c r="I10" s="12">
        <f>Table212[[#This Row],[Cost per Unit (Rokkas)]]*Table212[[#This Row],[Quantity]]</f>
        <v>0</v>
      </c>
      <c r="J10" s="12">
        <f>Table212[[#This Row],[Cost per Unit (BSG)]]*Table212[[#This Row],[Quantity]]</f>
        <v>0</v>
      </c>
      <c r="K10" s="35">
        <f>Table212[[#This Row],[Cost per Unit(Phillipson)]]*Table212[[#This Row],[Quantity]]</f>
        <v>0</v>
      </c>
    </row>
    <row r="15" spans="1:11" x14ac:dyDescent="0.3">
      <c r="A15" s="19" t="s">
        <v>84</v>
      </c>
      <c r="B15" s="19" t="s">
        <v>35</v>
      </c>
      <c r="C15" s="19" t="s">
        <v>36</v>
      </c>
      <c r="D15" s="19" t="s">
        <v>37</v>
      </c>
      <c r="E15" s="19" t="s">
        <v>34</v>
      </c>
      <c r="G15" s="21"/>
    </row>
    <row r="16" spans="1:11" ht="15" thickBot="1" x14ac:dyDescent="0.35">
      <c r="A16" s="19" t="s">
        <v>85</v>
      </c>
      <c r="B16" s="20">
        <f>SUM(H2:H5)</f>
        <v>4000</v>
      </c>
      <c r="C16" s="20">
        <f>SUM(H6:H9)</f>
        <v>96145</v>
      </c>
      <c r="D16" s="10">
        <f>SUM(H10)</f>
        <v>0</v>
      </c>
      <c r="E16" s="5">
        <f>SUM(B16:D16)</f>
        <v>100145</v>
      </c>
      <c r="F16" s="5"/>
      <c r="G16" s="10"/>
    </row>
    <row r="17" spans="1:6" ht="15.6" thickTop="1" thickBot="1" x14ac:dyDescent="0.35">
      <c r="A17" s="19" t="s">
        <v>86</v>
      </c>
      <c r="B17" s="19">
        <f>SUM(I2:I5)</f>
        <v>8632</v>
      </c>
      <c r="C17" s="19">
        <f>SUM(I6:I9)</f>
        <v>381282</v>
      </c>
      <c r="D17" s="21">
        <v>0</v>
      </c>
      <c r="E17" s="5">
        <f>SUM(B17:D17)</f>
        <v>389914</v>
      </c>
      <c r="F17" s="5"/>
    </row>
    <row r="18" spans="1:6" ht="15.6" thickTop="1" thickBot="1" x14ac:dyDescent="0.35">
      <c r="A18" s="19" t="s">
        <v>110</v>
      </c>
      <c r="B18" s="19">
        <f>SUM(J2:J5)</f>
        <v>11720</v>
      </c>
      <c r="C18" s="19">
        <f>SUM(J6:J9)</f>
        <v>228761.2</v>
      </c>
      <c r="D18" s="21">
        <v>0</v>
      </c>
      <c r="E18" s="5">
        <f>SUM(B18:D18)</f>
        <v>240481.2</v>
      </c>
      <c r="F18" s="5"/>
    </row>
    <row r="19" spans="1:6" ht="15.6" thickTop="1" thickBot="1" x14ac:dyDescent="0.35">
      <c r="A19" s="19" t="s">
        <v>6</v>
      </c>
      <c r="B19" s="24">
        <f>SUM(K2:K5)</f>
        <v>2000</v>
      </c>
      <c r="C19" s="24">
        <f>SUM(K6:K9)</f>
        <v>161650</v>
      </c>
      <c r="D19" s="24">
        <v>0</v>
      </c>
      <c r="E19" s="5">
        <f>SUM(B19:D19)</f>
        <v>163650</v>
      </c>
    </row>
    <row r="20" spans="1:6" ht="15" thickTop="1" x14ac:dyDescent="0.3"/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F3" sqref="F3"/>
    </sheetView>
  </sheetViews>
  <sheetFormatPr defaultColWidth="9.109375" defaultRowHeight="14.4" x14ac:dyDescent="0.3"/>
  <cols>
    <col min="1" max="1" width="29.33203125" style="19" customWidth="1"/>
    <col min="2" max="2" width="38" style="19" customWidth="1"/>
    <col min="3" max="3" width="21.33203125" style="19" customWidth="1"/>
    <col min="4" max="4" width="21.33203125" style="21" customWidth="1"/>
    <col min="5" max="6" width="21.33203125" style="24" customWidth="1"/>
    <col min="7" max="7" width="18" style="19" customWidth="1"/>
    <col min="8" max="8" width="17.88671875" style="19" customWidth="1"/>
    <col min="9" max="16384" width="9.109375" style="19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125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38</v>
      </c>
      <c r="C2" s="4">
        <v>80</v>
      </c>
      <c r="D2" s="4">
        <v>200</v>
      </c>
      <c r="E2" s="4">
        <v>300</v>
      </c>
      <c r="F2" s="4">
        <v>55</v>
      </c>
      <c r="G2" s="4">
        <v>80</v>
      </c>
      <c r="H2" s="4">
        <f>Table21213[[#This Row],[Cost per Unit (OASE)]]*Table21213[[#This Row],[Quantity]]</f>
        <v>6400</v>
      </c>
      <c r="I2" s="12">
        <f>Table21213[[#This Row],[Cost per Unit (Rokkas)]]*Table21213[[#This Row],[Quantity]]</f>
        <v>16000</v>
      </c>
      <c r="J2" s="12">
        <f>Table21213[[#This Row],[Cost per Unit(BSG)]]*Table21213[[#This Row],[Quantity]]</f>
        <v>24000</v>
      </c>
      <c r="K2" s="35">
        <f>Table21213[[#This Row],[Cost per uNit(Phillipson)]]*Table21213[[#This Row],[Quantity]]</f>
        <v>4400</v>
      </c>
    </row>
    <row r="3" spans="1:11" x14ac:dyDescent="0.3">
      <c r="A3" s="6" t="s">
        <v>27</v>
      </c>
      <c r="B3" s="6" t="s">
        <v>78</v>
      </c>
      <c r="C3" s="4">
        <v>40</v>
      </c>
      <c r="D3" s="4">
        <v>4</v>
      </c>
      <c r="E3" s="4">
        <v>0</v>
      </c>
      <c r="F3" s="4">
        <v>0</v>
      </c>
      <c r="G3" s="4">
        <v>8</v>
      </c>
      <c r="H3" s="4">
        <f>Table21213[[#This Row],[Cost per Unit (OASE)]]*Table21213[[#This Row],[Quantity]]</f>
        <v>320</v>
      </c>
      <c r="I3" s="12">
        <f>Table21213[[#This Row],[Cost per Unit (Rokkas)]]*Table21213[[#This Row],[Quantity]]</f>
        <v>32</v>
      </c>
      <c r="J3" s="12">
        <f>Table21213[[#This Row],[Cost per Unit(BSG)]]*Table21213[[#This Row],[Quantity]]</f>
        <v>0</v>
      </c>
      <c r="K3" s="35">
        <f>Table21213[[#This Row],[Cost per uNit(Phillipson)]]*Table21213[[#This Row],[Quantity]]</f>
        <v>0</v>
      </c>
    </row>
    <row r="4" spans="1:11" x14ac:dyDescent="0.3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1600</v>
      </c>
      <c r="H4" s="4">
        <f>Table21213[[#This Row],[Cost per Unit (OASE)]]*Table21213[[#This Row],[Quantity]]</f>
        <v>160</v>
      </c>
      <c r="I4" s="12">
        <f>Table21213[[#This Row],[Cost per Unit (Rokkas)]]*Table21213[[#This Row],[Quantity]]</f>
        <v>0</v>
      </c>
      <c r="J4" s="12">
        <f>Table21213[[#This Row],[Cost per Unit(BSG)]]*Table21213[[#This Row],[Quantity]]</f>
        <v>0</v>
      </c>
      <c r="K4" s="35">
        <f>Table21213[[#This Row],[Cost per uNit(Phillipson)]]*Table21213[[#This Row],[Quantity]]</f>
        <v>0</v>
      </c>
    </row>
    <row r="5" spans="1:11" x14ac:dyDescent="0.3">
      <c r="A5" s="6" t="s">
        <v>27</v>
      </c>
      <c r="B5" s="6" t="s">
        <v>46</v>
      </c>
      <c r="C5" s="4">
        <v>400</v>
      </c>
      <c r="D5" s="4">
        <v>3000</v>
      </c>
      <c r="E5" s="4">
        <v>0</v>
      </c>
      <c r="F5" s="4">
        <v>0</v>
      </c>
      <c r="G5" s="4">
        <v>1</v>
      </c>
      <c r="H5" s="4">
        <f>Table21213[[#This Row],[Cost per Unit (OASE)]]*Table21213[[#This Row],[Quantity]]</f>
        <v>400</v>
      </c>
      <c r="I5" s="12">
        <f>Table21213[[#This Row],[Cost per Unit (Rokkas)]]*Table21213[[#This Row],[Quantity]]</f>
        <v>3000</v>
      </c>
      <c r="J5" s="12">
        <f>Table21213[[#This Row],[Cost per Unit(BSG)]]*Table21213[[#This Row],[Quantity]]</f>
        <v>0</v>
      </c>
      <c r="K5" s="35">
        <f>Table21213[[#This Row],[Cost per uNit(Phillipson)]]*Table21213[[#This Row],[Quantity]]</f>
        <v>0</v>
      </c>
    </row>
    <row r="6" spans="1:11" x14ac:dyDescent="0.3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Table21213[[#This Row],[Cost per Unit (OASE)]]*Table21213[[#This Row],[Quantity]]</f>
        <v>192</v>
      </c>
      <c r="I6" s="12">
        <f>Table21213[[#This Row],[Cost per Unit (Rokkas)]]*Table21213[[#This Row],[Quantity]]</f>
        <v>32</v>
      </c>
      <c r="J6" s="12">
        <f>Table21213[[#This Row],[Cost per Unit(BSG)]]*Table21213[[#This Row],[Quantity]]</f>
        <v>11.2</v>
      </c>
      <c r="K6" s="35">
        <f>Table21213[[#This Row],[Cost per uNit(Phillipson)]]*Table21213[[#This Row],[Quantity]]</f>
        <v>0</v>
      </c>
    </row>
    <row r="7" spans="1:11" x14ac:dyDescent="0.3">
      <c r="A7" s="6" t="s">
        <v>30</v>
      </c>
      <c r="B7" s="6" t="s">
        <v>79</v>
      </c>
      <c r="C7" s="4">
        <v>0.9</v>
      </c>
      <c r="D7" s="4">
        <v>10</v>
      </c>
      <c r="E7" s="4">
        <v>1.4</v>
      </c>
      <c r="F7" s="4">
        <v>220</v>
      </c>
      <c r="G7" s="4">
        <v>305</v>
      </c>
      <c r="H7" s="4">
        <f>Table21213[[#This Row],[Cost per Unit (OASE)]]*Table21213[[#This Row],[Quantity]]</f>
        <v>274.5</v>
      </c>
      <c r="I7" s="12">
        <f>Table21213[[#This Row],[Cost per Unit (Rokkas)]]*Table21213[[#This Row],[Quantity]]</f>
        <v>3050</v>
      </c>
      <c r="J7" s="12">
        <f>Table21213[[#This Row],[Cost per Unit(BSG)]]*Table21213[[#This Row],[Quantity]]</f>
        <v>427</v>
      </c>
      <c r="K7" s="35">
        <f>Table21213[[#This Row],[Cost per uNit(Phillipson)]]*Table21213[[#This Row],[Quantity]]</f>
        <v>67100</v>
      </c>
    </row>
    <row r="8" spans="1:11" x14ac:dyDescent="0.3">
      <c r="A8" s="6" t="s">
        <v>77</v>
      </c>
      <c r="B8" s="6" t="s">
        <v>75</v>
      </c>
      <c r="C8" s="4">
        <v>3.1</v>
      </c>
      <c r="D8" s="4">
        <f>250/50</f>
        <v>5</v>
      </c>
      <c r="E8" s="4">
        <f>150/50</f>
        <v>3</v>
      </c>
      <c r="F8" s="4">
        <v>5</v>
      </c>
      <c r="G8" s="4">
        <v>5000</v>
      </c>
      <c r="H8" s="4">
        <f>Table21213[[#This Row],[Cost per Unit (OASE)]]*Table21213[[#This Row],[Quantity]]</f>
        <v>15500</v>
      </c>
      <c r="I8" s="12">
        <f>Table21213[[#This Row],[Cost per Unit (Rokkas)]]*Table21213[[#This Row],[Quantity]]</f>
        <v>25000</v>
      </c>
      <c r="J8" s="12">
        <f>Table21213[[#This Row],[Cost per Unit(BSG)]]*Table21213[[#This Row],[Quantity]]</f>
        <v>15000</v>
      </c>
      <c r="K8" s="35">
        <f>Table21213[[#This Row],[Cost per uNit(Phillipson)]]*Table21213[[#This Row],[Quantity]]</f>
        <v>25000</v>
      </c>
    </row>
    <row r="9" spans="1:11" x14ac:dyDescent="0.3">
      <c r="A9" s="6" t="s">
        <v>77</v>
      </c>
      <c r="B9" s="6" t="s">
        <v>65</v>
      </c>
      <c r="C9" s="4">
        <v>8</v>
      </c>
      <c r="D9" s="4">
        <v>10</v>
      </c>
      <c r="E9" s="4">
        <v>24</v>
      </c>
      <c r="F9" s="4">
        <v>0</v>
      </c>
      <c r="G9" s="4">
        <v>5000</v>
      </c>
      <c r="H9" s="4">
        <f>Table21213[[#This Row],[Cost per Unit (OASE)]]*Table21213[[#This Row],[Quantity]]</f>
        <v>40000</v>
      </c>
      <c r="I9" s="12">
        <f>Table21213[[#This Row],[Cost per Unit (Rokkas)]]*Table21213[[#This Row],[Quantity]]</f>
        <v>50000</v>
      </c>
      <c r="J9" s="12">
        <f>Table21213[[#This Row],[Cost per Unit(BSG)]]*Table21213[[#This Row],[Quantity]]</f>
        <v>120000</v>
      </c>
      <c r="K9" s="35">
        <f>Table21213[[#This Row],[Cost per uNit(Phillipson)]]*Table21213[[#This Row],[Quantity]]</f>
        <v>0</v>
      </c>
    </row>
    <row r="14" spans="1:11" x14ac:dyDescent="0.3">
      <c r="A14" s="19" t="s">
        <v>84</v>
      </c>
      <c r="B14" s="19" t="s">
        <v>35</v>
      </c>
      <c r="C14" s="19" t="s">
        <v>36</v>
      </c>
      <c r="D14" s="19" t="s">
        <v>37</v>
      </c>
      <c r="E14" s="19" t="s">
        <v>34</v>
      </c>
      <c r="G14" s="21"/>
    </row>
    <row r="15" spans="1:11" ht="15" thickBot="1" x14ac:dyDescent="0.35">
      <c r="A15" s="19" t="s">
        <v>85</v>
      </c>
      <c r="B15" s="20">
        <f>SUM(H2:H5)</f>
        <v>7280</v>
      </c>
      <c r="C15" s="20">
        <f>SUM(H6:H7)</f>
        <v>466.5</v>
      </c>
      <c r="D15" s="10">
        <f>SUM(H8:H9)</f>
        <v>55500</v>
      </c>
      <c r="E15" s="5">
        <f>SUM(B15:D15)</f>
        <v>63246.5</v>
      </c>
      <c r="F15" s="5"/>
      <c r="G15" s="10"/>
    </row>
    <row r="16" spans="1:11" ht="15.6" thickTop="1" thickBot="1" x14ac:dyDescent="0.35">
      <c r="A16" s="19" t="s">
        <v>86</v>
      </c>
      <c r="B16" s="19">
        <f>SUM(I2:I5)</f>
        <v>19032</v>
      </c>
      <c r="C16" s="19">
        <f>SUM(I6:I7)</f>
        <v>3082</v>
      </c>
      <c r="D16" s="21">
        <f>SUM(I8:I9)</f>
        <v>75000</v>
      </c>
      <c r="E16" s="5">
        <f t="shared" ref="E16:E18" si="0">SUM(B16:D16)</f>
        <v>97114</v>
      </c>
      <c r="F16" s="5"/>
    </row>
    <row r="17" spans="1:6" ht="15.6" thickTop="1" thickBot="1" x14ac:dyDescent="0.35">
      <c r="A17" s="19" t="s">
        <v>110</v>
      </c>
      <c r="B17" s="19">
        <f>SUM(J2:J5)</f>
        <v>24000</v>
      </c>
      <c r="C17" s="19">
        <f>SUM(J6:J7)</f>
        <v>438.2</v>
      </c>
      <c r="D17" s="21">
        <f>SUM(J8:J9)</f>
        <v>135000</v>
      </c>
      <c r="E17" s="5">
        <f t="shared" si="0"/>
        <v>159438.20000000001</v>
      </c>
      <c r="F17" s="5"/>
    </row>
    <row r="18" spans="1:6" ht="15.6" thickTop="1" thickBot="1" x14ac:dyDescent="0.35">
      <c r="A18" s="19" t="s">
        <v>6</v>
      </c>
      <c r="B18" s="24">
        <f>SUM(K2:K5)</f>
        <v>4400</v>
      </c>
      <c r="C18" s="24">
        <f>SUM(K6:K7)</f>
        <v>67100</v>
      </c>
      <c r="D18" s="24">
        <f>SUM(K8:K9)</f>
        <v>25000</v>
      </c>
      <c r="E18" s="5">
        <f t="shared" si="0"/>
        <v>96500</v>
      </c>
    </row>
    <row r="19" spans="1:6" ht="15" thickTop="1" x14ac:dyDescent="0.3"/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F2" sqref="F2"/>
    </sheetView>
  </sheetViews>
  <sheetFormatPr defaultColWidth="9.109375" defaultRowHeight="14.4" x14ac:dyDescent="0.3"/>
  <cols>
    <col min="1" max="1" width="29.33203125" style="19" customWidth="1"/>
    <col min="2" max="2" width="38" style="19" customWidth="1"/>
    <col min="3" max="3" width="21.33203125" style="19" customWidth="1"/>
    <col min="4" max="4" width="21.33203125" style="21" customWidth="1"/>
    <col min="5" max="6" width="21.33203125" style="24" customWidth="1"/>
    <col min="7" max="7" width="18" style="19" customWidth="1"/>
    <col min="8" max="8" width="17.88671875" style="19" customWidth="1"/>
    <col min="9" max="16384" width="9.109375" style="19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38</v>
      </c>
      <c r="C2" s="4">
        <v>80</v>
      </c>
      <c r="D2" s="4">
        <v>200</v>
      </c>
      <c r="E2" s="4">
        <v>300</v>
      </c>
      <c r="F2" s="4">
        <v>55</v>
      </c>
      <c r="G2" s="4">
        <v>160</v>
      </c>
      <c r="H2" s="4">
        <f>Table2121314[[#This Row],[Cost per Unit (OASE)]]*Table2121314[[#This Row],[Quantity]]</f>
        <v>12800</v>
      </c>
      <c r="I2" s="12">
        <f>Table2121314[[#This Row],[Cost per Unit (Rokkas)]]*Table2121314[[#This Row],[Quantity]]</f>
        <v>32000</v>
      </c>
      <c r="J2" s="12">
        <f>Table2121314[[#This Row],[Cost per Unit(BSG)]]*Table2121314[[#This Row],[Quantity]]</f>
        <v>48000</v>
      </c>
      <c r="K2" s="35">
        <f>Table2121314[[#This Row],[Cost per Unit(Phillipson)]]*Table2121314[[#This Row],[Quantity]]</f>
        <v>8800</v>
      </c>
    </row>
    <row r="3" spans="1:11" x14ac:dyDescent="0.3">
      <c r="A3" s="6" t="s">
        <v>27</v>
      </c>
      <c r="B3" s="6" t="s">
        <v>78</v>
      </c>
      <c r="C3" s="4">
        <v>40</v>
      </c>
      <c r="D3" s="4">
        <v>4</v>
      </c>
      <c r="E3" s="4">
        <v>0</v>
      </c>
      <c r="F3" s="4">
        <v>0</v>
      </c>
      <c r="G3" s="4">
        <v>16</v>
      </c>
      <c r="H3" s="4">
        <f>Table2121314[[#This Row],[Cost per Unit (OASE)]]*Table2121314[[#This Row],[Quantity]]</f>
        <v>640</v>
      </c>
      <c r="I3" s="12">
        <f>Table2121314[[#This Row],[Cost per Unit (Rokkas)]]*Table2121314[[#This Row],[Quantity]]</f>
        <v>64</v>
      </c>
      <c r="J3" s="12">
        <f>Table2121314[[#This Row],[Cost per Unit(BSG)]]*Table2121314[[#This Row],[Quantity]]</f>
        <v>0</v>
      </c>
      <c r="K3" s="35">
        <f>Table2121314[[#This Row],[Cost per Unit(Phillipson)]]*Table2121314[[#This Row],[Quantity]]</f>
        <v>0</v>
      </c>
    </row>
    <row r="4" spans="1:11" x14ac:dyDescent="0.3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3200</v>
      </c>
      <c r="H4" s="4">
        <f>Table2121314[[#This Row],[Cost per Unit (OASE)]]*Table2121314[[#This Row],[Quantity]]</f>
        <v>320</v>
      </c>
      <c r="I4" s="12">
        <f>Table2121314[[#This Row],[Cost per Unit (Rokkas)]]*Table2121314[[#This Row],[Quantity]]</f>
        <v>0</v>
      </c>
      <c r="J4" s="12">
        <f>Table2121314[[#This Row],[Cost per Unit(BSG)]]*Table2121314[[#This Row],[Quantity]]</f>
        <v>0</v>
      </c>
      <c r="K4" s="35">
        <f>Table2121314[[#This Row],[Cost per Unit(Phillipson)]]*Table2121314[[#This Row],[Quantity]]</f>
        <v>0</v>
      </c>
    </row>
    <row r="5" spans="1:11" x14ac:dyDescent="0.3">
      <c r="A5" s="6" t="s">
        <v>27</v>
      </c>
      <c r="B5" s="6" t="s">
        <v>46</v>
      </c>
      <c r="C5" s="4">
        <v>400</v>
      </c>
      <c r="D5" s="4">
        <v>3000</v>
      </c>
      <c r="E5" s="4">
        <v>0</v>
      </c>
      <c r="F5" s="4">
        <v>0</v>
      </c>
      <c r="G5" s="4">
        <v>1</v>
      </c>
      <c r="H5" s="4">
        <f>Table2121314[[#This Row],[Cost per Unit (OASE)]]*Table2121314[[#This Row],[Quantity]]</f>
        <v>400</v>
      </c>
      <c r="I5" s="12">
        <f>Table2121314[[#This Row],[Cost per Unit (Rokkas)]]*Table2121314[[#This Row],[Quantity]]</f>
        <v>3000</v>
      </c>
      <c r="J5" s="12">
        <f>Table2121314[[#This Row],[Cost per Unit(BSG)]]*Table2121314[[#This Row],[Quantity]]</f>
        <v>0</v>
      </c>
      <c r="K5" s="35">
        <f>Table2121314[[#This Row],[Cost per Unit(Phillipson)]]*Table2121314[[#This Row],[Quantity]]</f>
        <v>0</v>
      </c>
    </row>
    <row r="6" spans="1:11" x14ac:dyDescent="0.3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Table2121314[[#This Row],[Cost per Unit (OASE)]]*Table2121314[[#This Row],[Quantity]]</f>
        <v>192</v>
      </c>
      <c r="I6" s="12">
        <f>Table2121314[[#This Row],[Cost per Unit (Rokkas)]]*Table2121314[[#This Row],[Quantity]]</f>
        <v>32</v>
      </c>
      <c r="J6" s="12">
        <f>Table2121314[[#This Row],[Cost per Unit(BSG)]]*Table2121314[[#This Row],[Quantity]]</f>
        <v>11.2</v>
      </c>
      <c r="K6" s="35">
        <f>Table2121314[[#This Row],[Cost per Unit(Phillipson)]]*Table2121314[[#This Row],[Quantity]]</f>
        <v>0</v>
      </c>
    </row>
    <row r="7" spans="1:11" x14ac:dyDescent="0.3">
      <c r="A7" s="6" t="s">
        <v>30</v>
      </c>
      <c r="B7" s="6" t="s">
        <v>79</v>
      </c>
      <c r="C7" s="4">
        <v>0.9</v>
      </c>
      <c r="D7" s="4">
        <v>10</v>
      </c>
      <c r="E7" s="4">
        <v>1.4</v>
      </c>
      <c r="F7" s="4">
        <v>10</v>
      </c>
      <c r="G7" s="4">
        <v>305</v>
      </c>
      <c r="H7" s="4">
        <f>Table2121314[[#This Row],[Cost per Unit (OASE)]]*Table2121314[[#This Row],[Quantity]]</f>
        <v>274.5</v>
      </c>
      <c r="I7" s="12">
        <f>Table2121314[[#This Row],[Cost per Unit (Rokkas)]]*Table2121314[[#This Row],[Quantity]]</f>
        <v>3050</v>
      </c>
      <c r="J7" s="12">
        <f>Table2121314[[#This Row],[Cost per Unit(BSG)]]*Table2121314[[#This Row],[Quantity]]</f>
        <v>427</v>
      </c>
      <c r="K7" s="35">
        <f>Table2121314[[#This Row],[Cost per Unit(Phillipson)]]*Table2121314[[#This Row],[Quantity]]</f>
        <v>3050</v>
      </c>
    </row>
    <row r="8" spans="1:11" x14ac:dyDescent="0.3">
      <c r="A8" s="6" t="s">
        <v>77</v>
      </c>
      <c r="B8" s="6" t="s">
        <v>75</v>
      </c>
      <c r="C8" s="4">
        <f>3.3+2</f>
        <v>5.3</v>
      </c>
      <c r="D8" s="4">
        <f>5+2</f>
        <v>7</v>
      </c>
      <c r="E8" s="4">
        <f>3+2</f>
        <v>5</v>
      </c>
      <c r="F8" s="4">
        <f>5+2</f>
        <v>7</v>
      </c>
      <c r="G8" s="4">
        <v>30000</v>
      </c>
      <c r="H8" s="4">
        <f>Table2121314[[#This Row],[Cost per Unit (OASE)]]*Table2121314[[#This Row],[Quantity]]</f>
        <v>159000</v>
      </c>
      <c r="I8" s="12">
        <f>Table2121314[[#This Row],[Cost per Unit (Rokkas)]]*Table2121314[[#This Row],[Quantity]]</f>
        <v>210000</v>
      </c>
      <c r="J8" s="12">
        <f>Table2121314[[#This Row],[Cost per Unit(BSG)]]*Table2121314[[#This Row],[Quantity]]</f>
        <v>150000</v>
      </c>
      <c r="K8" s="35">
        <f>Table2121314[[#This Row],[Cost per Unit(Phillipson)]]*Table2121314[[#This Row],[Quantity]]</f>
        <v>210000</v>
      </c>
    </row>
    <row r="9" spans="1:11" x14ac:dyDescent="0.3">
      <c r="A9" s="6" t="s">
        <v>77</v>
      </c>
      <c r="B9" s="6" t="s">
        <v>48</v>
      </c>
      <c r="C9" s="4">
        <v>1.8</v>
      </c>
      <c r="D9" s="4">
        <v>0</v>
      </c>
      <c r="E9" s="4">
        <v>0</v>
      </c>
      <c r="F9" s="4">
        <v>0</v>
      </c>
      <c r="G9" s="4">
        <v>5000</v>
      </c>
      <c r="H9" s="4">
        <f>Table2121314[[#This Row],[Cost per Unit (OASE)]]*Table2121314[[#This Row],[Quantity]]</f>
        <v>9000</v>
      </c>
      <c r="I9" s="12">
        <f>Table2121314[[#This Row],[Cost per Unit (Rokkas)]]*Table2121314[[#This Row],[Quantity]]</f>
        <v>0</v>
      </c>
      <c r="J9" s="12">
        <f>Table2121314[[#This Row],[Cost per Unit(BSG)]]*Table2121314[[#This Row],[Quantity]]</f>
        <v>0</v>
      </c>
      <c r="K9" s="35">
        <f>Table2121314[[#This Row],[Cost per Unit(Phillipson)]]*Table2121314[[#This Row],[Quantity]]</f>
        <v>0</v>
      </c>
    </row>
    <row r="14" spans="1:11" x14ac:dyDescent="0.3">
      <c r="A14" s="19" t="s">
        <v>84</v>
      </c>
      <c r="B14" s="19" t="s">
        <v>35</v>
      </c>
      <c r="C14" s="19" t="s">
        <v>36</v>
      </c>
      <c r="D14" s="19" t="s">
        <v>37</v>
      </c>
      <c r="E14" s="19" t="s">
        <v>34</v>
      </c>
      <c r="G14" s="21"/>
    </row>
    <row r="15" spans="1:11" ht="15" thickBot="1" x14ac:dyDescent="0.35">
      <c r="A15" s="19" t="s">
        <v>85</v>
      </c>
      <c r="B15" s="20">
        <f>SUM(H2:H5)</f>
        <v>14160</v>
      </c>
      <c r="C15" s="20">
        <f>SUM(H6:H7)</f>
        <v>466.5</v>
      </c>
      <c r="D15" s="10">
        <f>SUM(H8:H9)</f>
        <v>168000</v>
      </c>
      <c r="E15" s="5">
        <f>SUM(B15:D15)</f>
        <v>182626.5</v>
      </c>
      <c r="F15" s="5"/>
      <c r="G15" s="10"/>
    </row>
    <row r="16" spans="1:11" ht="15.6" thickTop="1" thickBot="1" x14ac:dyDescent="0.35">
      <c r="A16" s="19" t="s">
        <v>86</v>
      </c>
      <c r="B16" s="19">
        <f>SUM(I2:I5)</f>
        <v>35064</v>
      </c>
      <c r="C16" s="19">
        <f>SUM(I6:I7)</f>
        <v>3082</v>
      </c>
      <c r="D16" s="21">
        <f>SUM(I8:I9)</f>
        <v>210000</v>
      </c>
      <c r="E16" s="5">
        <f>SUM(B16:D16)</f>
        <v>248146</v>
      </c>
      <c r="F16" s="5"/>
    </row>
    <row r="17" spans="1:6" ht="15.6" thickTop="1" thickBot="1" x14ac:dyDescent="0.35">
      <c r="A17" s="19" t="s">
        <v>110</v>
      </c>
      <c r="B17" s="19">
        <f>SUM(J2:J5)</f>
        <v>48000</v>
      </c>
      <c r="C17" s="19">
        <f>SUM(J6:J7)</f>
        <v>438.2</v>
      </c>
      <c r="D17" s="21">
        <f>SUM(J8:J9)</f>
        <v>150000</v>
      </c>
      <c r="E17" s="5">
        <f>SUM(B17:D17)</f>
        <v>198438.2</v>
      </c>
      <c r="F17" s="5"/>
    </row>
    <row r="18" spans="1:6" ht="15.6" thickTop="1" thickBot="1" x14ac:dyDescent="0.35">
      <c r="A18" s="19" t="s">
        <v>6</v>
      </c>
      <c r="B18" s="24">
        <f>SUM(K2:K5)</f>
        <v>8800</v>
      </c>
      <c r="C18" s="24">
        <f>SUM(K6:K7)</f>
        <v>3050</v>
      </c>
      <c r="D18" s="24">
        <f>SUM(K8:K9)</f>
        <v>210000</v>
      </c>
      <c r="E18" s="5">
        <f>SUM(B18:D18)</f>
        <v>221850</v>
      </c>
    </row>
    <row r="19" spans="1:6" ht="15" thickTop="1" x14ac:dyDescent="0.3"/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H13" sqref="H13"/>
    </sheetView>
  </sheetViews>
  <sheetFormatPr defaultColWidth="9.109375" defaultRowHeight="14.4" x14ac:dyDescent="0.3"/>
  <cols>
    <col min="1" max="1" width="29.33203125" style="19" customWidth="1"/>
    <col min="2" max="2" width="38" style="19" customWidth="1"/>
    <col min="3" max="3" width="21.33203125" style="19" customWidth="1"/>
    <col min="4" max="4" width="18" style="19" customWidth="1"/>
    <col min="5" max="5" width="17.88671875" style="19" customWidth="1"/>
    <col min="6" max="6" width="17.88671875" style="24" customWidth="1"/>
    <col min="7" max="9" width="9.109375" style="19"/>
    <col min="10" max="10" width="22.33203125" style="19" customWidth="1"/>
    <col min="11" max="16384" width="9.109375" style="19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108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23</v>
      </c>
      <c r="C2" s="4">
        <v>160</v>
      </c>
      <c r="D2" s="4">
        <v>140</v>
      </c>
      <c r="E2" s="4">
        <v>288</v>
      </c>
      <c r="F2" s="4">
        <v>50</v>
      </c>
      <c r="G2" s="4">
        <v>160</v>
      </c>
      <c r="H2" s="4">
        <f>Table21215[[#This Row],[Cost per Unit (OASE)]]*Table21215[[#This Row],[Quantity]]</f>
        <v>25600</v>
      </c>
      <c r="I2" s="12">
        <f>Table21215[[#This Row],[Cost per Unit (Rokkas)]]*Table21215[[#This Row],[Quantity]]</f>
        <v>22400</v>
      </c>
      <c r="J2" s="12">
        <f>Table21215[[#This Row],[Cost per Unit (BSG)]]*Table21215[[#This Row],[Quantity]]</f>
        <v>46080</v>
      </c>
      <c r="K2" s="35">
        <f>Table21215[[#This Row],[Cost per Unit(Phillipson)]]*Table21215[[#This Row],[Quantity]]</f>
        <v>8000</v>
      </c>
    </row>
    <row r="3" spans="1:11" x14ac:dyDescent="0.3">
      <c r="A3" s="6" t="s">
        <v>27</v>
      </c>
      <c r="B3" s="6" t="s">
        <v>78</v>
      </c>
      <c r="C3" s="4">
        <v>40</v>
      </c>
      <c r="D3" s="4">
        <f>200/50</f>
        <v>4</v>
      </c>
      <c r="E3" s="4">
        <v>0</v>
      </c>
      <c r="F3" s="4">
        <v>0</v>
      </c>
      <c r="G3" s="4">
        <v>32</v>
      </c>
      <c r="H3" s="4">
        <f>Table21215[[#This Row],[Cost per Unit (OASE)]]*Table21215[[#This Row],[Quantity]]</f>
        <v>1280</v>
      </c>
      <c r="I3" s="12">
        <f>Table21215[[#This Row],[Cost per Unit (Rokkas)]]*Table21215[[#This Row],[Quantity]]</f>
        <v>128</v>
      </c>
      <c r="J3" s="12">
        <f>Table21215[[#This Row],[Cost per Unit (BSG)]]*Table21215[[#This Row],[Quantity]]</f>
        <v>0</v>
      </c>
      <c r="K3" s="35">
        <f>Table21215[[#This Row],[Cost per Unit(Phillipson)]]*Table21215[[#This Row],[Quantity]]</f>
        <v>0</v>
      </c>
    </row>
    <row r="4" spans="1:11" x14ac:dyDescent="0.3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3200</v>
      </c>
      <c r="H4" s="4">
        <f>Table21215[[#This Row],[Cost per Unit (OASE)]]*Table21215[[#This Row],[Quantity]]</f>
        <v>320</v>
      </c>
      <c r="I4" s="12">
        <f>Table21215[[#This Row],[Cost per Unit (Rokkas)]]*Table21215[[#This Row],[Quantity]]</f>
        <v>0</v>
      </c>
      <c r="J4" s="12">
        <f>Table21215[[#This Row],[Cost per Unit (BSG)]]*Table21215[[#This Row],[Quantity]]</f>
        <v>0</v>
      </c>
      <c r="K4" s="35">
        <f>Table21215[[#This Row],[Cost per Unit(Phillipson)]]*Table21215[[#This Row],[Quantity]]</f>
        <v>0</v>
      </c>
    </row>
    <row r="5" spans="1:11" x14ac:dyDescent="0.3">
      <c r="A5" s="6" t="s">
        <v>27</v>
      </c>
      <c r="B5" s="6" t="s">
        <v>46</v>
      </c>
      <c r="C5" s="4">
        <v>400</v>
      </c>
      <c r="D5" s="4">
        <v>3000</v>
      </c>
      <c r="E5" s="4">
        <v>200</v>
      </c>
      <c r="F5" s="4">
        <v>0</v>
      </c>
      <c r="G5" s="4">
        <v>1</v>
      </c>
      <c r="H5" s="4">
        <f>Table21215[[#This Row],[Cost per Unit (OASE)]]*Table21215[[#This Row],[Quantity]]</f>
        <v>400</v>
      </c>
      <c r="I5" s="12">
        <f>Table21215[[#This Row],[Cost per Unit (Rokkas)]]*Table21215[[#This Row],[Quantity]]</f>
        <v>3000</v>
      </c>
      <c r="J5" s="12">
        <f>Table21215[[#This Row],[Cost per Unit (BSG)]]*Table21215[[#This Row],[Quantity]]</f>
        <v>200</v>
      </c>
      <c r="K5" s="35">
        <f>Table21215[[#This Row],[Cost per Unit(Phillipson)]]*Table21215[[#This Row],[Quantity]]</f>
        <v>0</v>
      </c>
    </row>
    <row r="6" spans="1:11" x14ac:dyDescent="0.3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Table21215[[#This Row],[Cost per Unit (OASE)]]*Table21215[[#This Row],[Quantity]]</f>
        <v>192</v>
      </c>
      <c r="I6" s="12">
        <f>Table21215[[#This Row],[Cost per Unit (Rokkas)]]*Table21215[[#This Row],[Quantity]]</f>
        <v>32</v>
      </c>
      <c r="J6" s="12">
        <f>Table21215[[#This Row],[Cost per Unit (BSG)]]*Table21215[[#This Row],[Quantity]]</f>
        <v>11.2</v>
      </c>
      <c r="K6" s="35">
        <f>Table21215[[#This Row],[Cost per Unit(Phillipson)]]*Table21215[[#This Row],[Quantity]]</f>
        <v>0</v>
      </c>
    </row>
    <row r="7" spans="1:11" x14ac:dyDescent="0.3">
      <c r="A7" s="6" t="s">
        <v>30</v>
      </c>
      <c r="B7" s="6" t="s">
        <v>115</v>
      </c>
      <c r="C7" s="24">
        <v>112</v>
      </c>
      <c r="D7" s="24">
        <f>15000/50</f>
        <v>300</v>
      </c>
      <c r="E7" s="24">
        <v>294</v>
      </c>
      <c r="F7" s="24">
        <v>220</v>
      </c>
      <c r="G7" s="4">
        <v>610</v>
      </c>
      <c r="H7" s="4">
        <f>Table21215[[#This Row],[Cost per Unit (OASE)]]*Table21215[[#This Row],[Quantity]]</f>
        <v>68320</v>
      </c>
      <c r="I7" s="12">
        <f>Table21215[[#This Row],[Cost per Unit (Rokkas)]]*Table21215[[#This Row],[Quantity]]</f>
        <v>183000</v>
      </c>
      <c r="J7" s="12">
        <f>Table21215[[#This Row],[Cost per Unit (BSG)]]*Table21215[[#This Row],[Quantity]]</f>
        <v>179340</v>
      </c>
      <c r="K7" s="35">
        <f>Table21215[[#This Row],[Cost per Unit(Phillipson)]]*Table21215[[#This Row],[Quantity]]</f>
        <v>134200</v>
      </c>
    </row>
    <row r="8" spans="1:11" x14ac:dyDescent="0.3">
      <c r="A8" s="6" t="s">
        <v>30</v>
      </c>
      <c r="B8" s="6" t="s">
        <v>75</v>
      </c>
      <c r="C8" s="4">
        <v>3.1</v>
      </c>
      <c r="D8" s="4">
        <f>250/50</f>
        <v>5</v>
      </c>
      <c r="E8" s="4">
        <f>150/50</f>
        <v>3</v>
      </c>
      <c r="F8" s="4">
        <v>5</v>
      </c>
      <c r="G8" s="4">
        <f>610*4</f>
        <v>2440</v>
      </c>
      <c r="H8" s="4">
        <f>Table21215[[#This Row],[Cost per Unit (OASE)]]*Table21215[[#This Row],[Quantity]]</f>
        <v>7564</v>
      </c>
      <c r="I8" s="12">
        <f>Table21215[[#This Row],[Cost per Unit (Rokkas)]]*Table21215[[#This Row],[Quantity]]</f>
        <v>12200</v>
      </c>
      <c r="J8" s="12">
        <f>Table21215[[#This Row],[Cost per Unit (BSG)]]*Table21215[[#This Row],[Quantity]]</f>
        <v>7320</v>
      </c>
      <c r="K8" s="35">
        <f>Table21215[[#This Row],[Cost per Unit(Phillipson)]]*Table21215[[#This Row],[Quantity]]</f>
        <v>12200</v>
      </c>
    </row>
    <row r="9" spans="1:11" x14ac:dyDescent="0.3">
      <c r="A9" s="6" t="s">
        <v>30</v>
      </c>
      <c r="B9" s="6" t="s">
        <v>76</v>
      </c>
      <c r="C9" s="4">
        <v>12</v>
      </c>
      <c r="D9" s="4">
        <v>10</v>
      </c>
      <c r="E9" s="4">
        <v>24</v>
      </c>
      <c r="F9" s="4">
        <v>10</v>
      </c>
      <c r="G9" s="4">
        <f>610*4</f>
        <v>2440</v>
      </c>
      <c r="H9" s="4">
        <f>Table21215[[#This Row],[Cost per Unit (OASE)]]*Table21215[[#This Row],[Quantity]]</f>
        <v>29280</v>
      </c>
      <c r="I9" s="12">
        <f>Table21215[[#This Row],[Cost per Unit (Rokkas)]]*Table21215[[#This Row],[Quantity]]</f>
        <v>24400</v>
      </c>
      <c r="J9" s="12">
        <f>Table21215[[#This Row],[Cost per Unit (BSG)]]*Table21215[[#This Row],[Quantity]]</f>
        <v>58560</v>
      </c>
      <c r="K9" s="35">
        <f>Table21215[[#This Row],[Cost per Unit(Phillipson)]]*Table21215[[#This Row],[Quantity]]</f>
        <v>24400</v>
      </c>
    </row>
    <row r="10" spans="1:11" x14ac:dyDescent="0.3">
      <c r="A10" s="6" t="s">
        <v>77</v>
      </c>
      <c r="B10" s="6" t="s">
        <v>66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f>Table21215[[#This Row],[Cost per Unit (OASE)]]*Table21215[[#This Row],[Quantity]]</f>
        <v>0</v>
      </c>
      <c r="I10" s="12">
        <f>Table21215[[#This Row],[Cost per Unit (Rokkas)]]*Table21215[[#This Row],[Quantity]]</f>
        <v>0</v>
      </c>
      <c r="J10" s="12">
        <f>Table21215[[#This Row],[Cost per Unit (BSG)]]*Table21215[[#This Row],[Quantity]]</f>
        <v>0</v>
      </c>
      <c r="K10" s="35">
        <f>Table21215[[#This Row],[Cost per Unit(Phillipson)]]*Table21215[[#This Row],[Quantity]]</f>
        <v>0</v>
      </c>
    </row>
    <row r="15" spans="1:11" x14ac:dyDescent="0.3">
      <c r="A15" s="19" t="s">
        <v>84</v>
      </c>
      <c r="B15" s="19" t="s">
        <v>35</v>
      </c>
      <c r="C15" s="19" t="s">
        <v>36</v>
      </c>
      <c r="D15" s="19" t="s">
        <v>37</v>
      </c>
      <c r="E15" s="19" t="s">
        <v>34</v>
      </c>
    </row>
    <row r="16" spans="1:11" ht="15" thickBot="1" x14ac:dyDescent="0.35">
      <c r="A16" s="19" t="s">
        <v>85</v>
      </c>
      <c r="B16" s="20">
        <f>SUM(H2:H5)</f>
        <v>27600</v>
      </c>
      <c r="C16" s="20">
        <f>SUM(H6:H9)</f>
        <v>105356</v>
      </c>
      <c r="D16" s="10">
        <f>SUM(H10)</f>
        <v>0</v>
      </c>
      <c r="E16" s="5">
        <f>SUM(B16:D16)</f>
        <v>132956</v>
      </c>
      <c r="F16" s="5"/>
    </row>
    <row r="17" spans="1:6" ht="15.6" thickTop="1" thickBot="1" x14ac:dyDescent="0.35">
      <c r="A17" s="19" t="s">
        <v>86</v>
      </c>
      <c r="B17" s="19">
        <f>SUM(I2:I5)</f>
        <v>25528</v>
      </c>
      <c r="C17" s="19">
        <f>SUM(I6:I9)</f>
        <v>219632</v>
      </c>
      <c r="D17" s="19">
        <v>0</v>
      </c>
      <c r="E17" s="5">
        <f>SUM(B17:D17)</f>
        <v>245160</v>
      </c>
      <c r="F17" s="5"/>
    </row>
    <row r="18" spans="1:6" ht="15.6" thickTop="1" thickBot="1" x14ac:dyDescent="0.35">
      <c r="A18" s="19" t="s">
        <v>110</v>
      </c>
      <c r="B18" s="19">
        <f>SUM(J2:J5)</f>
        <v>46280</v>
      </c>
      <c r="C18" s="19">
        <f>SUM(J6:J9)</f>
        <v>245231.2</v>
      </c>
      <c r="D18" s="19">
        <v>0</v>
      </c>
      <c r="E18" s="5">
        <f>SUM(B18:D18)</f>
        <v>291511.2</v>
      </c>
      <c r="F18" s="5"/>
    </row>
    <row r="19" spans="1:6" ht="15.6" thickTop="1" thickBot="1" x14ac:dyDescent="0.35">
      <c r="A19" s="19" t="s">
        <v>6</v>
      </c>
      <c r="B19" s="24">
        <f>SUM(K2:K5)</f>
        <v>8000</v>
      </c>
      <c r="C19" s="24">
        <f>SUM(K6:K9)</f>
        <v>170800</v>
      </c>
      <c r="D19" s="24">
        <v>0</v>
      </c>
      <c r="E19" s="5">
        <f>SUM(B19:D19)</f>
        <v>178800</v>
      </c>
    </row>
    <row r="20" spans="1:6" ht="15" thickTop="1" x14ac:dyDescent="0.3"/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F9" sqref="F9"/>
    </sheetView>
  </sheetViews>
  <sheetFormatPr defaultColWidth="9.109375" defaultRowHeight="14.4" x14ac:dyDescent="0.3"/>
  <cols>
    <col min="1" max="1" width="29.33203125" style="19" customWidth="1"/>
    <col min="2" max="2" width="38" style="19" customWidth="1"/>
    <col min="3" max="3" width="21.33203125" style="19" customWidth="1"/>
    <col min="4" max="4" width="18" style="19" customWidth="1"/>
    <col min="5" max="5" width="17.88671875" style="19" customWidth="1"/>
    <col min="6" max="6" width="17.88671875" style="24" customWidth="1"/>
    <col min="7" max="8" width="9.109375" style="19"/>
    <col min="9" max="9" width="20.109375" style="19" customWidth="1"/>
    <col min="10" max="10" width="29.6640625" style="19" customWidth="1"/>
    <col min="11" max="16384" width="9.109375" style="19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38</v>
      </c>
      <c r="C2" s="4">
        <v>80</v>
      </c>
      <c r="D2" s="4">
        <v>200</v>
      </c>
      <c r="E2" s="4">
        <v>300</v>
      </c>
      <c r="F2" s="4">
        <v>55</v>
      </c>
      <c r="G2" s="4">
        <v>160</v>
      </c>
      <c r="H2" s="4">
        <f>Table2121316[[#This Row],[Cost per Unit (OASE)]]*Table2121316[[#This Row],[Quantity]]</f>
        <v>12800</v>
      </c>
      <c r="I2" s="12">
        <f t="shared" ref="I2:I9" si="0">D2*G2</f>
        <v>32000</v>
      </c>
      <c r="J2" s="12">
        <f>Table2121316[[#This Row],[Cost per Unit(BSG)]]*Table2121316[[#This Row],[Quantity]]</f>
        <v>48000</v>
      </c>
      <c r="K2" s="35">
        <f>Table2121316[[#This Row],[Cost per Unit(Phillipson)]]*Table2121316[[#This Row],[Quantity]]</f>
        <v>8800</v>
      </c>
    </row>
    <row r="3" spans="1:11" x14ac:dyDescent="0.3">
      <c r="A3" s="6" t="s">
        <v>27</v>
      </c>
      <c r="B3" s="6" t="s">
        <v>78</v>
      </c>
      <c r="C3" s="4">
        <v>40</v>
      </c>
      <c r="D3" s="4">
        <v>4</v>
      </c>
      <c r="E3" s="4">
        <v>0</v>
      </c>
      <c r="F3" s="4">
        <v>0</v>
      </c>
      <c r="G3" s="4">
        <v>16</v>
      </c>
      <c r="H3" s="4">
        <f>Table2121316[[#This Row],[Cost per Unit (OASE)]]*Table2121316[[#This Row],[Quantity]]</f>
        <v>640</v>
      </c>
      <c r="I3" s="12">
        <f t="shared" si="0"/>
        <v>64</v>
      </c>
      <c r="J3" s="12">
        <f>Table2121316[[#This Row],[Cost per Unit(BSG)]]*Table2121316[[#This Row],[Quantity]]</f>
        <v>0</v>
      </c>
      <c r="K3" s="35">
        <f>Table2121316[[#This Row],[Cost per Unit(Phillipson)]]*Table2121316[[#This Row],[Quantity]]</f>
        <v>0</v>
      </c>
    </row>
    <row r="4" spans="1:11" x14ac:dyDescent="0.3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3200</v>
      </c>
      <c r="H4" s="4">
        <f>Table2121316[[#This Row],[Cost per Unit (OASE)]]*Table2121316[[#This Row],[Quantity]]</f>
        <v>320</v>
      </c>
      <c r="I4" s="12">
        <f t="shared" si="0"/>
        <v>0</v>
      </c>
      <c r="J4" s="12">
        <f>Table2121316[[#This Row],[Cost per Unit(BSG)]]*Table2121316[[#This Row],[Quantity]]</f>
        <v>0</v>
      </c>
      <c r="K4" s="35">
        <f>Table2121316[[#This Row],[Cost per Unit(Phillipson)]]*Table2121316[[#This Row],[Quantity]]</f>
        <v>0</v>
      </c>
    </row>
    <row r="5" spans="1:11" x14ac:dyDescent="0.3">
      <c r="A5" s="6" t="s">
        <v>27</v>
      </c>
      <c r="B5" s="6" t="s">
        <v>46</v>
      </c>
      <c r="C5" s="4">
        <v>400</v>
      </c>
      <c r="D5" s="4">
        <v>3000</v>
      </c>
      <c r="E5" s="4">
        <v>0</v>
      </c>
      <c r="F5" s="4">
        <v>0</v>
      </c>
      <c r="G5" s="4">
        <v>1</v>
      </c>
      <c r="H5" s="4">
        <f>Table2121316[[#This Row],[Cost per Unit (OASE)]]*Table2121316[[#This Row],[Quantity]]</f>
        <v>400</v>
      </c>
      <c r="I5" s="12">
        <f t="shared" si="0"/>
        <v>3000</v>
      </c>
      <c r="J5" s="12">
        <f>Table2121316[[#This Row],[Cost per Unit(BSG)]]*Table2121316[[#This Row],[Quantity]]</f>
        <v>0</v>
      </c>
      <c r="K5" s="35">
        <f>Table2121316[[#This Row],[Cost per Unit(Phillipson)]]*Table2121316[[#This Row],[Quantity]]</f>
        <v>0</v>
      </c>
    </row>
    <row r="6" spans="1:11" x14ac:dyDescent="0.3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Table2121316[[#This Row],[Cost per Unit (OASE)]]*Table2121316[[#This Row],[Quantity]]</f>
        <v>192</v>
      </c>
      <c r="I6" s="12">
        <f t="shared" si="0"/>
        <v>32</v>
      </c>
      <c r="J6" s="12">
        <f>Table2121316[[#This Row],[Cost per Unit(BSG)]]*Table2121316[[#This Row],[Quantity]]</f>
        <v>11.2</v>
      </c>
      <c r="K6" s="35">
        <f>Table2121316[[#This Row],[Cost per Unit(Phillipson)]]*Table2121316[[#This Row],[Quantity]]</f>
        <v>0</v>
      </c>
    </row>
    <row r="7" spans="1:11" x14ac:dyDescent="0.3">
      <c r="A7" s="6" t="s">
        <v>30</v>
      </c>
      <c r="B7" s="6" t="s">
        <v>79</v>
      </c>
      <c r="C7" s="4">
        <v>0.9</v>
      </c>
      <c r="D7" s="4">
        <v>10</v>
      </c>
      <c r="E7" s="4">
        <v>1.4</v>
      </c>
      <c r="F7" s="4">
        <v>10</v>
      </c>
      <c r="G7" s="4">
        <v>305</v>
      </c>
      <c r="H7" s="4">
        <f>Table2121316[[#This Row],[Cost per Unit (OASE)]]*Table2121316[[#This Row],[Quantity]]</f>
        <v>274.5</v>
      </c>
      <c r="I7" s="12">
        <f t="shared" si="0"/>
        <v>3050</v>
      </c>
      <c r="J7" s="12">
        <f>Table2121316[[#This Row],[Cost per Unit(BSG)]]*Table2121316[[#This Row],[Quantity]]</f>
        <v>427</v>
      </c>
      <c r="K7" s="35">
        <f>Table2121316[[#This Row],[Cost per Unit(Phillipson)]]*Table2121316[[#This Row],[Quantity]]</f>
        <v>3050</v>
      </c>
    </row>
    <row r="8" spans="1:11" x14ac:dyDescent="0.3">
      <c r="A8" s="6" t="s">
        <v>77</v>
      </c>
      <c r="B8" s="6" t="s">
        <v>75</v>
      </c>
      <c r="C8" s="4">
        <v>3.3</v>
      </c>
      <c r="D8" s="4">
        <f>250/50</f>
        <v>5</v>
      </c>
      <c r="E8" s="4">
        <f>150/50</f>
        <v>3</v>
      </c>
      <c r="F8" s="4">
        <v>5</v>
      </c>
      <c r="G8" s="4">
        <v>5000</v>
      </c>
      <c r="H8" s="4">
        <f>Table2121316[[#This Row],[Cost per Unit (OASE)]]*Table2121316[[#This Row],[Quantity]]</f>
        <v>16500</v>
      </c>
      <c r="I8" s="12">
        <f t="shared" si="0"/>
        <v>25000</v>
      </c>
      <c r="J8" s="12">
        <f>Table2121316[[#This Row],[Cost per Unit(BSG)]]*Table2121316[[#This Row],[Quantity]]</f>
        <v>15000</v>
      </c>
      <c r="K8" s="35">
        <f>Table2121316[[#This Row],[Cost per Unit(Phillipson)]]*Table2121316[[#This Row],[Quantity]]</f>
        <v>25000</v>
      </c>
    </row>
    <row r="9" spans="1:11" x14ac:dyDescent="0.3">
      <c r="A9" s="6" t="s">
        <v>77</v>
      </c>
      <c r="B9" s="6" t="s">
        <v>65</v>
      </c>
      <c r="C9" s="4">
        <v>10</v>
      </c>
      <c r="D9" s="4">
        <v>10</v>
      </c>
      <c r="E9" s="4">
        <v>24</v>
      </c>
      <c r="F9" s="4">
        <v>10</v>
      </c>
      <c r="G9" s="4">
        <v>5000</v>
      </c>
      <c r="H9" s="4">
        <f>Table2121316[[#This Row],[Cost per Unit (OASE)]]*Table2121316[[#This Row],[Quantity]]</f>
        <v>50000</v>
      </c>
      <c r="I9" s="12">
        <f t="shared" si="0"/>
        <v>50000</v>
      </c>
      <c r="J9" s="12">
        <f>Table2121316[[#This Row],[Cost per Unit(BSG)]]*Table2121316[[#This Row],[Quantity]]</f>
        <v>120000</v>
      </c>
      <c r="K9" s="35">
        <f>Table2121316[[#This Row],[Cost per Unit(Phillipson)]]*Table2121316[[#This Row],[Quantity]]</f>
        <v>50000</v>
      </c>
    </row>
    <row r="14" spans="1:11" x14ac:dyDescent="0.3">
      <c r="A14" s="19" t="s">
        <v>84</v>
      </c>
      <c r="B14" s="19" t="s">
        <v>35</v>
      </c>
      <c r="C14" s="19" t="s">
        <v>36</v>
      </c>
      <c r="D14" s="19" t="s">
        <v>37</v>
      </c>
      <c r="E14" s="19" t="s">
        <v>34</v>
      </c>
    </row>
    <row r="15" spans="1:11" ht="15" thickBot="1" x14ac:dyDescent="0.35">
      <c r="A15" s="19" t="s">
        <v>85</v>
      </c>
      <c r="B15" s="20">
        <f>SUM(H2:H5)</f>
        <v>14160</v>
      </c>
      <c r="C15" s="20">
        <f>SUM(H6:H7)</f>
        <v>466.5</v>
      </c>
      <c r="D15" s="10">
        <f>SUM(H8:H9)</f>
        <v>66500</v>
      </c>
      <c r="E15" s="5">
        <f>SUM(B15:D15)</f>
        <v>81126.5</v>
      </c>
      <c r="F15" s="5"/>
    </row>
    <row r="16" spans="1:11" ht="15.6" thickTop="1" thickBot="1" x14ac:dyDescent="0.35">
      <c r="A16" s="19" t="s">
        <v>86</v>
      </c>
      <c r="B16" s="19">
        <f>SUM(I2:I5)</f>
        <v>35064</v>
      </c>
      <c r="C16" s="19">
        <f>SUM(I6:I7)</f>
        <v>3082</v>
      </c>
      <c r="D16" s="19">
        <f>SUM(I8:I9)</f>
        <v>75000</v>
      </c>
      <c r="E16" s="5">
        <f>SUM(B16:D16)</f>
        <v>113146</v>
      </c>
      <c r="F16" s="5"/>
    </row>
    <row r="17" spans="1:6" ht="15.6" thickTop="1" thickBot="1" x14ac:dyDescent="0.35">
      <c r="A17" s="19" t="s">
        <v>110</v>
      </c>
      <c r="B17" s="19">
        <f>SUM(J2:J5)</f>
        <v>48000</v>
      </c>
      <c r="C17" s="19">
        <f>SUM(J6:J7)</f>
        <v>438.2</v>
      </c>
      <c r="D17" s="19">
        <f>SUM(J8:J9)</f>
        <v>135000</v>
      </c>
      <c r="E17" s="5">
        <f>SUM(B17:D17)</f>
        <v>183438.2</v>
      </c>
      <c r="F17" s="5"/>
    </row>
    <row r="18" spans="1:6" ht="15.6" thickTop="1" thickBot="1" x14ac:dyDescent="0.35">
      <c r="A18" s="19" t="s">
        <v>6</v>
      </c>
      <c r="B18" s="24">
        <f>SUM(K2:K5)</f>
        <v>8800</v>
      </c>
      <c r="C18" s="24">
        <f>SUM(K6:K7)</f>
        <v>3050</v>
      </c>
      <c r="D18" s="24">
        <f>SUM(K8:K9)</f>
        <v>75000</v>
      </c>
      <c r="E18" s="5">
        <f>SUM(B18:D18)</f>
        <v>86850</v>
      </c>
    </row>
    <row r="19" spans="1:6" ht="15" thickTop="1" x14ac:dyDescent="0.3"/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zoomScale="80" zoomScaleNormal="80" workbookViewId="0">
      <selection activeCell="D52" sqref="D52"/>
    </sheetView>
  </sheetViews>
  <sheetFormatPr defaultRowHeight="14.4" x14ac:dyDescent="0.3"/>
  <cols>
    <col min="1" max="4" width="36.33203125" customWidth="1"/>
    <col min="5" max="5" width="32.88671875" customWidth="1"/>
    <col min="6" max="6" width="36.6640625" customWidth="1"/>
    <col min="7" max="8" width="29.5546875" customWidth="1"/>
    <col min="9" max="9" width="32.6640625" customWidth="1"/>
    <col min="10" max="10" width="30.109375" customWidth="1"/>
    <col min="11" max="11" width="18.88671875" customWidth="1"/>
  </cols>
  <sheetData>
    <row r="1" spans="1:11" x14ac:dyDescent="0.3">
      <c r="A1" t="s">
        <v>58</v>
      </c>
    </row>
    <row r="2" spans="1:11" x14ac:dyDescent="0.3">
      <c r="A2" t="s">
        <v>49</v>
      </c>
      <c r="B2" t="s">
        <v>1</v>
      </c>
      <c r="C2" t="s">
        <v>2</v>
      </c>
      <c r="D2" t="s">
        <v>62</v>
      </c>
      <c r="E2" t="s">
        <v>60</v>
      </c>
      <c r="F2" t="s">
        <v>61</v>
      </c>
      <c r="G2" t="s">
        <v>55</v>
      </c>
      <c r="H2" t="s">
        <v>56</v>
      </c>
      <c r="I2" t="s">
        <v>57</v>
      </c>
      <c r="J2" t="s">
        <v>116</v>
      </c>
      <c r="K2" t="s">
        <v>59</v>
      </c>
    </row>
    <row r="3" spans="1:11" x14ac:dyDescent="0.3">
      <c r="A3" t="s">
        <v>50</v>
      </c>
      <c r="B3">
        <v>146337.9</v>
      </c>
      <c r="C3">
        <v>18.840229999999998</v>
      </c>
      <c r="D3">
        <f>'FTTCab GPON 26 Mbps'!B$18</f>
        <v>3056.8888888888887</v>
      </c>
      <c r="E3" s="24">
        <f>'FTTCab GPON 26 Mbps'!C$18</f>
        <v>158553.60000000001</v>
      </c>
      <c r="F3" s="24">
        <f>'FTTCab GPON 26 Mbps'!D$18</f>
        <v>0</v>
      </c>
      <c r="G3">
        <f>SUM(B3:F3)</f>
        <v>307967.22911888885</v>
      </c>
      <c r="H3">
        <f t="shared" ref="H3:H15" si="0">G3*50</f>
        <v>15398361.455944443</v>
      </c>
      <c r="I3">
        <v>29262</v>
      </c>
      <c r="J3">
        <f>H3/I3</f>
        <v>526.22382119965971</v>
      </c>
      <c r="K3">
        <v>25</v>
      </c>
    </row>
    <row r="4" spans="1:11" x14ac:dyDescent="0.3">
      <c r="A4" t="s">
        <v>51</v>
      </c>
      <c r="B4">
        <v>146337.9</v>
      </c>
      <c r="C4">
        <v>12.814590000000001</v>
      </c>
      <c r="D4">
        <f>'FTTB XGPON 50 Mbps'!B$17</f>
        <v>6405.333333333333</v>
      </c>
      <c r="E4" s="24">
        <f>'FTTB XGPON 50 Mbps'!C$17</f>
        <v>3250.8</v>
      </c>
      <c r="F4" s="24">
        <f>'FTTB XGPON 50 Mbps'!D$17</f>
        <v>60500</v>
      </c>
      <c r="G4" s="13">
        <f>SUM(B4:F4)</f>
        <v>216506.84792333332</v>
      </c>
      <c r="H4" s="19">
        <f t="shared" si="0"/>
        <v>10825342.396166665</v>
      </c>
      <c r="I4">
        <v>29262</v>
      </c>
      <c r="J4" s="13">
        <f t="shared" ref="J4:J7" si="1">H4/I4</f>
        <v>369.94540346410588</v>
      </c>
      <c r="K4">
        <v>50</v>
      </c>
    </row>
    <row r="5" spans="1:11" x14ac:dyDescent="0.3">
      <c r="A5" t="s">
        <v>52</v>
      </c>
      <c r="B5">
        <v>78872.09</v>
      </c>
      <c r="C5">
        <v>14.612120000000001</v>
      </c>
      <c r="D5">
        <f>'FTTB WR-WDMPON 50 Mbps'!B15</f>
        <v>5299.166666666667</v>
      </c>
      <c r="E5" s="24">
        <f>'FTTB WR-WDMPON 50 Mbps'!C15</f>
        <v>1560</v>
      </c>
      <c r="F5" s="24">
        <f>'FTTB WR-WDMPON 50 Mbps'!D15</f>
        <v>59300</v>
      </c>
      <c r="G5" s="13">
        <f t="shared" ref="G5:G6" si="2">SUM(B5:F5)</f>
        <v>145045.86878666666</v>
      </c>
      <c r="H5" s="19">
        <f t="shared" si="0"/>
        <v>7252293.4393333327</v>
      </c>
      <c r="I5">
        <v>29262</v>
      </c>
      <c r="J5" s="13">
        <f t="shared" si="1"/>
        <v>247.8399781058483</v>
      </c>
      <c r="K5">
        <v>50</v>
      </c>
    </row>
    <row r="6" spans="1:11" x14ac:dyDescent="0.3">
      <c r="A6" t="s">
        <v>53</v>
      </c>
      <c r="B6">
        <v>78872.09</v>
      </c>
      <c r="C6">
        <v>14.612120000000001</v>
      </c>
      <c r="D6">
        <f>'FTTH WR-WDMPON 100 Mbps'!B15</f>
        <v>5866.833333333333</v>
      </c>
      <c r="E6" s="24">
        <f>'FTTH WR-WDMPON 100 Mbps'!C15</f>
        <v>1560</v>
      </c>
      <c r="F6" s="24">
        <f>'FTTH WR-WDMPON 100 Mbps'!D15</f>
        <v>131778.59999999998</v>
      </c>
      <c r="G6" s="13">
        <f t="shared" si="2"/>
        <v>218092.13545333332</v>
      </c>
      <c r="H6" s="19">
        <f t="shared" si="0"/>
        <v>10904606.772666667</v>
      </c>
      <c r="I6">
        <v>29262</v>
      </c>
      <c r="J6" s="13">
        <f t="shared" si="1"/>
        <v>372.65418538263503</v>
      </c>
      <c r="K6">
        <v>100</v>
      </c>
    </row>
    <row r="7" spans="1:11" x14ac:dyDescent="0.3">
      <c r="A7" t="s">
        <v>54</v>
      </c>
      <c r="B7">
        <v>146337.9</v>
      </c>
      <c r="C7">
        <v>12.814590000000001</v>
      </c>
      <c r="D7">
        <f>'FTTH XGPON 100 Mbps'!B17</f>
        <v>12618.666666666666</v>
      </c>
      <c r="E7" s="24">
        <f>'FTTH XGPON 100 Mbps'!C17</f>
        <v>6501.6</v>
      </c>
      <c r="F7" s="24">
        <f>'FTTH XGPON 100 Mbps'!D17</f>
        <v>122778.6</v>
      </c>
      <c r="G7" s="13">
        <f>SUM(B7:F7)</f>
        <v>288249.58125666669</v>
      </c>
      <c r="H7" s="19">
        <f t="shared" si="0"/>
        <v>14412479.062833335</v>
      </c>
      <c r="I7">
        <v>29262</v>
      </c>
      <c r="J7" s="13">
        <f t="shared" si="1"/>
        <v>492.53226241655852</v>
      </c>
      <c r="K7">
        <v>100</v>
      </c>
    </row>
    <row r="8" spans="1:11" x14ac:dyDescent="0.3">
      <c r="A8" t="s">
        <v>67</v>
      </c>
      <c r="B8" s="13">
        <v>146337.9</v>
      </c>
      <c r="C8" s="13">
        <v>18.840229999999998</v>
      </c>
      <c r="D8" s="13">
        <f>FTTCab_GPON_100!B16</f>
        <v>6426.666666666667</v>
      </c>
      <c r="E8" s="24">
        <f>FTTCab_GPON_100!C16</f>
        <v>195086.4</v>
      </c>
      <c r="F8" s="24">
        <f>FTTCab_GPON_100!D16</f>
        <v>0</v>
      </c>
      <c r="G8">
        <f>SUM(B8:F8)</f>
        <v>347869.80689666665</v>
      </c>
      <c r="H8" s="19">
        <f t="shared" si="0"/>
        <v>17393490.344833333</v>
      </c>
      <c r="I8" s="13">
        <v>29262</v>
      </c>
      <c r="J8">
        <f>H8/I8</f>
        <v>594.40538393935253</v>
      </c>
      <c r="K8" s="13">
        <v>100</v>
      </c>
    </row>
    <row r="9" spans="1:11" x14ac:dyDescent="0.3">
      <c r="A9" t="s">
        <v>68</v>
      </c>
      <c r="B9" s="13">
        <v>146337.9</v>
      </c>
      <c r="C9" s="13">
        <v>12.814590000000001</v>
      </c>
      <c r="D9">
        <f>FTTB_XGPON_100!B16</f>
        <v>12818.666666666666</v>
      </c>
      <c r="E9">
        <v>2002.8</v>
      </c>
      <c r="F9">
        <v>59987.1</v>
      </c>
      <c r="G9">
        <f>SUM(B9:F9)</f>
        <v>221159.28125666664</v>
      </c>
      <c r="H9" s="19">
        <f t="shared" si="0"/>
        <v>11057964.062833332</v>
      </c>
      <c r="I9" s="13">
        <v>29262</v>
      </c>
      <c r="J9">
        <f>H9/I9</f>
        <v>377.89501957601436</v>
      </c>
      <c r="K9" s="13">
        <v>100</v>
      </c>
    </row>
    <row r="10" spans="1:11" x14ac:dyDescent="0.3">
      <c r="A10" s="13" t="s">
        <v>69</v>
      </c>
      <c r="B10" s="13">
        <v>78872.09</v>
      </c>
      <c r="C10" s="13">
        <v>14.612120000000001</v>
      </c>
      <c r="D10">
        <f>FTTB_WRWDM_100!B14</f>
        <v>11216.333333333334</v>
      </c>
      <c r="E10" s="24">
        <f>FTTB_WRWDM_100!C14</f>
        <v>1560</v>
      </c>
      <c r="F10" s="24">
        <f>FTTB_WRWDM_100!D14</f>
        <v>61500</v>
      </c>
      <c r="G10">
        <f>SUM(B10:F10)</f>
        <v>153163.03545333334</v>
      </c>
      <c r="H10" s="19">
        <f t="shared" si="0"/>
        <v>7658151.7726666676</v>
      </c>
      <c r="I10" s="13">
        <v>29262</v>
      </c>
      <c r="J10">
        <f>H10/I10</f>
        <v>261.70978650354272</v>
      </c>
      <c r="K10" s="13">
        <v>100</v>
      </c>
    </row>
    <row r="11" spans="1:11" x14ac:dyDescent="0.3">
      <c r="A11" s="18" t="s">
        <v>70</v>
      </c>
      <c r="B11">
        <v>114876.4</v>
      </c>
      <c r="C11">
        <v>12.59423</v>
      </c>
      <c r="D11">
        <f>FTTCab_Hybridpon_25!B16</f>
        <v>4000</v>
      </c>
      <c r="E11" s="24">
        <f>FTTCab_Hybridpon_25!C16</f>
        <v>96145</v>
      </c>
      <c r="F11" s="24">
        <f>FTTCab_Hybridpon_25!D16</f>
        <v>0</v>
      </c>
      <c r="G11">
        <f t="shared" ref="G11:G15" si="3">SUM(B11:F11)</f>
        <v>215033.99423000001</v>
      </c>
      <c r="H11" s="19">
        <f t="shared" si="0"/>
        <v>10751699.7115</v>
      </c>
      <c r="I11" s="19">
        <v>29262</v>
      </c>
      <c r="J11">
        <f t="shared" ref="J11:J15" si="4">H11/I11</f>
        <v>367.42873732144079</v>
      </c>
      <c r="K11">
        <v>25</v>
      </c>
    </row>
    <row r="12" spans="1:11" x14ac:dyDescent="0.3">
      <c r="A12" s="18" t="s">
        <v>71</v>
      </c>
      <c r="B12">
        <v>115530.5</v>
      </c>
      <c r="C12">
        <v>12.21167</v>
      </c>
      <c r="D12">
        <f>FTTB_Hybridpon_50!B15</f>
        <v>7280</v>
      </c>
      <c r="E12" s="24">
        <f>FTTB_Hybridpon_50!C15</f>
        <v>466.5</v>
      </c>
      <c r="F12" s="24">
        <f>FTTB_Hybridpon_50!D15</f>
        <v>55500</v>
      </c>
      <c r="G12">
        <f t="shared" si="3"/>
        <v>178789.21166999999</v>
      </c>
      <c r="H12" s="19">
        <f t="shared" si="0"/>
        <v>8939460.5834999997</v>
      </c>
      <c r="I12" s="19">
        <v>29262</v>
      </c>
      <c r="J12">
        <f t="shared" si="4"/>
        <v>305.49725184539676</v>
      </c>
      <c r="K12">
        <v>50</v>
      </c>
    </row>
    <row r="13" spans="1:11" x14ac:dyDescent="0.3">
      <c r="A13" s="18" t="s">
        <v>72</v>
      </c>
      <c r="B13">
        <v>115530.5</v>
      </c>
      <c r="C13">
        <v>25.08727</v>
      </c>
      <c r="D13">
        <f>FTTH_Hybridpon_100!B15</f>
        <v>14160</v>
      </c>
      <c r="E13" s="24">
        <f>FTTH_Hybridpon_100!C15</f>
        <v>466.5</v>
      </c>
      <c r="F13" s="24">
        <f>FTTH_Hybridpon_100!D15</f>
        <v>168000</v>
      </c>
      <c r="G13">
        <f t="shared" si="3"/>
        <v>298182.08727000002</v>
      </c>
      <c r="H13" s="19">
        <f t="shared" si="0"/>
        <v>14909104.363500001</v>
      </c>
      <c r="I13" s="19">
        <v>29262</v>
      </c>
      <c r="J13">
        <f t="shared" si="4"/>
        <v>509.50394243387331</v>
      </c>
      <c r="K13">
        <v>100</v>
      </c>
    </row>
    <row r="14" spans="1:11" x14ac:dyDescent="0.3">
      <c r="A14" s="18" t="s">
        <v>73</v>
      </c>
      <c r="B14">
        <v>114876.4</v>
      </c>
      <c r="C14">
        <v>12.59423</v>
      </c>
      <c r="D14">
        <f>FTTC_Hybridpon_100!B16</f>
        <v>27600</v>
      </c>
      <c r="E14" s="24">
        <f>FTTC_Hybridpon_100!C16</f>
        <v>105356</v>
      </c>
      <c r="F14" s="24">
        <f>FTTC_Hybridpon_100!D16</f>
        <v>0</v>
      </c>
      <c r="G14">
        <f t="shared" si="3"/>
        <v>247844.99423000001</v>
      </c>
      <c r="H14" s="19">
        <f t="shared" si="0"/>
        <v>12392249.7115</v>
      </c>
      <c r="I14" s="19">
        <v>29262</v>
      </c>
      <c r="J14">
        <f t="shared" si="4"/>
        <v>423.49291611988247</v>
      </c>
      <c r="K14">
        <v>100</v>
      </c>
    </row>
    <row r="15" spans="1:11" x14ac:dyDescent="0.3">
      <c r="A15" s="15" t="s">
        <v>74</v>
      </c>
      <c r="B15" s="17">
        <v>115530.5</v>
      </c>
      <c r="C15" s="17">
        <v>12.21167</v>
      </c>
      <c r="D15" s="17">
        <f>FTTB_Hybridpon_100!B15</f>
        <v>14160</v>
      </c>
      <c r="E15" s="17">
        <f>FTTB_Hybridpon_100!C15</f>
        <v>466.5</v>
      </c>
      <c r="F15" s="17">
        <f>FTTB_Hybridpon_100!D15</f>
        <v>66500</v>
      </c>
      <c r="G15" s="17">
        <f t="shared" si="3"/>
        <v>196669.21166999999</v>
      </c>
      <c r="H15" s="19">
        <f t="shared" si="0"/>
        <v>9833460.5834999997</v>
      </c>
      <c r="I15" s="21">
        <v>29262</v>
      </c>
      <c r="J15" s="17">
        <f t="shared" si="4"/>
        <v>336.04882043264303</v>
      </c>
      <c r="K15" s="17">
        <v>100</v>
      </c>
    </row>
    <row r="56" spans="3:6" x14ac:dyDescent="0.3">
      <c r="C56" s="22" t="s">
        <v>1</v>
      </c>
      <c r="D56" s="22" t="s">
        <v>2</v>
      </c>
      <c r="E56" s="22" t="s">
        <v>80</v>
      </c>
      <c r="F56" s="22" t="s">
        <v>3</v>
      </c>
    </row>
    <row r="57" spans="3:6" x14ac:dyDescent="0.3">
      <c r="C57">
        <v>146337.9</v>
      </c>
      <c r="D57">
        <v>18.840229999999998</v>
      </c>
      <c r="E57">
        <v>3056.8888888888887</v>
      </c>
      <c r="F57">
        <f>E3+F3</f>
        <v>158553.60000000001</v>
      </c>
    </row>
    <row r="58" spans="3:6" x14ac:dyDescent="0.3">
      <c r="C58">
        <v>146337.9</v>
      </c>
      <c r="D58">
        <v>12.814590000000001</v>
      </c>
      <c r="E58">
        <v>6405.333333333333</v>
      </c>
      <c r="F58" s="21">
        <f t="shared" ref="F58:F69" si="5">E4+F4</f>
        <v>63750.8</v>
      </c>
    </row>
    <row r="59" spans="3:6" x14ac:dyDescent="0.3">
      <c r="C59">
        <v>78872.09</v>
      </c>
      <c r="D59">
        <v>14.612120000000001</v>
      </c>
      <c r="E59">
        <v>5299.166666666667</v>
      </c>
      <c r="F59" s="21">
        <f t="shared" si="5"/>
        <v>60860</v>
      </c>
    </row>
    <row r="60" spans="3:6" x14ac:dyDescent="0.3">
      <c r="C60">
        <v>78872.09</v>
      </c>
      <c r="D60">
        <v>14.612120000000001</v>
      </c>
      <c r="E60">
        <v>5866.833333333333</v>
      </c>
      <c r="F60" s="21">
        <f t="shared" si="5"/>
        <v>133338.59999999998</v>
      </c>
    </row>
    <row r="61" spans="3:6" x14ac:dyDescent="0.3">
      <c r="C61">
        <v>146337.9</v>
      </c>
      <c r="D61">
        <v>12.814590000000001</v>
      </c>
      <c r="E61">
        <v>12618.666666666666</v>
      </c>
      <c r="F61" s="21">
        <f t="shared" si="5"/>
        <v>129280.20000000001</v>
      </c>
    </row>
    <row r="62" spans="3:6" x14ac:dyDescent="0.3">
      <c r="C62">
        <v>146337.9</v>
      </c>
      <c r="D62">
        <v>18.840229999999998</v>
      </c>
      <c r="E62">
        <v>6426.666666666667</v>
      </c>
      <c r="F62" s="21">
        <f t="shared" si="5"/>
        <v>195086.4</v>
      </c>
    </row>
    <row r="63" spans="3:6" x14ac:dyDescent="0.3">
      <c r="C63">
        <v>146337.9</v>
      </c>
      <c r="D63">
        <v>12.814590000000001</v>
      </c>
      <c r="E63">
        <v>12818.666666666666</v>
      </c>
      <c r="F63" s="21">
        <f t="shared" si="5"/>
        <v>61989.9</v>
      </c>
    </row>
    <row r="64" spans="3:6" x14ac:dyDescent="0.3">
      <c r="C64">
        <v>78872.09</v>
      </c>
      <c r="D64">
        <v>14.612120000000001</v>
      </c>
      <c r="E64">
        <v>5866.833333333333</v>
      </c>
      <c r="F64" s="21">
        <f t="shared" si="5"/>
        <v>63060</v>
      </c>
    </row>
    <row r="65" spans="3:6" x14ac:dyDescent="0.3">
      <c r="C65">
        <v>114876.4</v>
      </c>
      <c r="D65">
        <v>12.59423</v>
      </c>
      <c r="E65">
        <v>4000</v>
      </c>
      <c r="F65" s="21">
        <f t="shared" si="5"/>
        <v>96145</v>
      </c>
    </row>
    <row r="66" spans="3:6" x14ac:dyDescent="0.3">
      <c r="C66">
        <v>115530.5</v>
      </c>
      <c r="D66">
        <v>12.21167</v>
      </c>
      <c r="E66">
        <v>7280</v>
      </c>
      <c r="F66" s="21">
        <f t="shared" si="5"/>
        <v>55966.5</v>
      </c>
    </row>
    <row r="67" spans="3:6" x14ac:dyDescent="0.3">
      <c r="C67">
        <v>115530.5</v>
      </c>
      <c r="D67">
        <v>25.08727</v>
      </c>
      <c r="E67">
        <v>14160</v>
      </c>
      <c r="F67" s="21">
        <f t="shared" si="5"/>
        <v>168466.5</v>
      </c>
    </row>
    <row r="68" spans="3:6" x14ac:dyDescent="0.3">
      <c r="C68">
        <v>114876.4</v>
      </c>
      <c r="D68">
        <v>12.59423</v>
      </c>
      <c r="E68">
        <v>14800</v>
      </c>
      <c r="F68" s="21">
        <f t="shared" si="5"/>
        <v>105356</v>
      </c>
    </row>
    <row r="69" spans="3:6" x14ac:dyDescent="0.3">
      <c r="C69">
        <v>115530.5</v>
      </c>
      <c r="D69">
        <v>12.21167</v>
      </c>
      <c r="E69">
        <v>14160</v>
      </c>
      <c r="F69" s="21">
        <f t="shared" si="5"/>
        <v>66966.5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G19" zoomScaleNormal="100" workbookViewId="0">
      <selection activeCell="I10" sqref="I10"/>
    </sheetView>
  </sheetViews>
  <sheetFormatPr defaultRowHeight="14.4" x14ac:dyDescent="0.3"/>
  <cols>
    <col min="1" max="1" width="45" customWidth="1"/>
    <col min="2" max="3" width="45" style="21" customWidth="1"/>
    <col min="4" max="4" width="47.88671875" customWidth="1"/>
    <col min="5" max="5" width="22.88671875" customWidth="1"/>
    <col min="6" max="6" width="26.33203125" customWidth="1"/>
    <col min="7" max="7" width="25.44140625" customWidth="1"/>
    <col min="8" max="8" width="26.33203125" customWidth="1"/>
    <col min="9" max="9" width="27.44140625" customWidth="1"/>
    <col min="10" max="10" width="33.6640625" customWidth="1"/>
    <col min="11" max="11" width="22.44140625" customWidth="1"/>
    <col min="12" max="12" width="18.44140625" customWidth="1"/>
    <col min="13" max="13" width="17" customWidth="1"/>
  </cols>
  <sheetData>
    <row r="1" spans="1:13" x14ac:dyDescent="0.3">
      <c r="A1" s="21" t="s">
        <v>49</v>
      </c>
      <c r="B1" s="21" t="s">
        <v>90</v>
      </c>
      <c r="C1" s="21" t="s">
        <v>91</v>
      </c>
      <c r="D1" s="21" t="s">
        <v>1</v>
      </c>
      <c r="E1" s="21" t="s">
        <v>2</v>
      </c>
      <c r="F1" s="21" t="s">
        <v>62</v>
      </c>
      <c r="G1" s="21" t="s">
        <v>60</v>
      </c>
      <c r="H1" s="21" t="s">
        <v>61</v>
      </c>
      <c r="I1" s="21" t="s">
        <v>55</v>
      </c>
      <c r="J1" s="21" t="s">
        <v>93</v>
      </c>
      <c r="K1" s="21" t="s">
        <v>57</v>
      </c>
      <c r="L1" s="21" t="s">
        <v>92</v>
      </c>
      <c r="M1" s="21" t="s">
        <v>59</v>
      </c>
    </row>
    <row r="2" spans="1:13" x14ac:dyDescent="0.3">
      <c r="A2" s="21" t="s">
        <v>50</v>
      </c>
      <c r="B2" s="21">
        <v>154545.71095359759</v>
      </c>
      <c r="C2" s="21">
        <v>942011.40945595957</v>
      </c>
      <c r="D2" s="21">
        <f>35*Table717[[#This Row],[Duct Length]]/50</f>
        <v>108181.99766751831</v>
      </c>
      <c r="E2" s="21">
        <f>E28*0.3/50</f>
        <v>0</v>
      </c>
      <c r="F2" s="24">
        <f>'FTTCab GPON 26 Mbps'!$B$19</f>
        <v>7048</v>
      </c>
      <c r="G2" s="24">
        <f>'FTTCab GPON 26 Mbps'!C$19</f>
        <v>382544</v>
      </c>
      <c r="H2" s="24">
        <f>'FTTCab GPON 26 Mbps'!D$19</f>
        <v>0</v>
      </c>
      <c r="I2" s="21">
        <f>SUM(Table717[[#This Row],[Duct Cost]:[Building E&amp;I Costs]])</f>
        <v>497773.99766751833</v>
      </c>
      <c r="J2" s="21">
        <f t="shared" ref="J2:J14" si="0">I2*50</f>
        <v>24888699.883375917</v>
      </c>
      <c r="K2" s="21">
        <v>29262</v>
      </c>
      <c r="L2" s="21">
        <f>J2/K2</f>
        <v>850.54678023976203</v>
      </c>
      <c r="M2" s="21">
        <v>25</v>
      </c>
    </row>
    <row r="3" spans="1:13" x14ac:dyDescent="0.3">
      <c r="A3" s="21" t="s">
        <v>51</v>
      </c>
      <c r="B3" s="21">
        <v>154545.71095359759</v>
      </c>
      <c r="C3" s="21">
        <v>640729.49433380761</v>
      </c>
      <c r="D3" s="24">
        <f>35*Table717[[#This Row],[Duct Length]]/50</f>
        <v>108181.99766751831</v>
      </c>
      <c r="E3" s="24">
        <f t="shared" ref="E3:E14" si="1">E29*0.3/50</f>
        <v>0</v>
      </c>
      <c r="F3" s="24">
        <f>'FTTB XGPON 50 Mbps'!$B$18</f>
        <v>11184</v>
      </c>
      <c r="G3" s="24">
        <f>'FTTB XGPON 50 Mbps'!C$18</f>
        <v>8284</v>
      </c>
      <c r="H3" s="24">
        <f>'FTTB XGPON 50 Mbps'!D$18</f>
        <v>70000</v>
      </c>
      <c r="I3" s="24">
        <f>SUM(Table717[[#This Row],[Duct Cost]:[Building E&amp;I Costs]])</f>
        <v>197649.99766751833</v>
      </c>
      <c r="J3" s="21">
        <f t="shared" si="0"/>
        <v>9882499.8833759166</v>
      </c>
      <c r="K3" s="21">
        <v>29262</v>
      </c>
      <c r="L3" s="21">
        <f t="shared" ref="L3:L6" si="2">J3/K3</f>
        <v>337.72469015706093</v>
      </c>
      <c r="M3" s="21">
        <v>50</v>
      </c>
    </row>
    <row r="4" spans="1:13" x14ac:dyDescent="0.3">
      <c r="A4" s="21" t="s">
        <v>52</v>
      </c>
      <c r="B4" s="21">
        <v>95562.640830078599</v>
      </c>
      <c r="C4" s="21">
        <v>730606.15860891738</v>
      </c>
      <c r="D4" s="24">
        <f>35*Table717[[#This Row],[Duct Length]]/50</f>
        <v>66893.848581055019</v>
      </c>
      <c r="E4" s="24">
        <f t="shared" si="1"/>
        <v>0</v>
      </c>
      <c r="F4" s="24">
        <f>'FTTB WR-WDMPON 50 Mbps'!$B$16</f>
        <v>16000</v>
      </c>
      <c r="G4" s="24">
        <f>'FTTB WR-WDMPON 50 Mbps'!C16</f>
        <v>260</v>
      </c>
      <c r="H4" s="24">
        <f>'FTTB WR-WDMPON 50 Mbps'!D16</f>
        <v>75000</v>
      </c>
      <c r="I4" s="24">
        <f>SUM(Table717[[#This Row],[Duct Cost]:[Building E&amp;I Costs]])</f>
        <v>158153.848581055</v>
      </c>
      <c r="J4" s="21">
        <f t="shared" si="0"/>
        <v>7907692.4290527506</v>
      </c>
      <c r="K4" s="21">
        <v>29262</v>
      </c>
      <c r="L4" s="21">
        <f t="shared" si="2"/>
        <v>270.23759240833675</v>
      </c>
      <c r="M4" s="21">
        <v>50</v>
      </c>
    </row>
    <row r="5" spans="1:13" x14ac:dyDescent="0.3">
      <c r="A5" s="21" t="s">
        <v>53</v>
      </c>
      <c r="B5" s="21">
        <v>95562.640830078599</v>
      </c>
      <c r="C5" s="21">
        <v>730606.15860891738</v>
      </c>
      <c r="D5" s="24">
        <f>35*Table717[[#This Row],[Duct Length]]/50</f>
        <v>66893.848581055019</v>
      </c>
      <c r="E5" s="24">
        <f t="shared" si="1"/>
        <v>0</v>
      </c>
      <c r="F5" s="24">
        <f>'FTTH WR-WDMPON 100 Mbps'!$B$16</f>
        <v>16000</v>
      </c>
      <c r="G5" s="24">
        <f>'FTTH WR-WDMPON 100 Mbps'!C16</f>
        <v>260</v>
      </c>
      <c r="H5" s="24">
        <f>'FTTH WR-WDMPON 100 Mbps'!D16</f>
        <v>229508</v>
      </c>
      <c r="I5" s="24">
        <f>SUM(Table717[[#This Row],[Duct Cost]:[Building E&amp;I Costs]])</f>
        <v>312661.848581055</v>
      </c>
      <c r="J5" s="21">
        <f t="shared" si="0"/>
        <v>15633092.42905275</v>
      </c>
      <c r="K5" s="21">
        <v>29262</v>
      </c>
      <c r="L5" s="21">
        <f t="shared" si="2"/>
        <v>534.24552077960323</v>
      </c>
      <c r="M5" s="21">
        <v>100</v>
      </c>
    </row>
    <row r="6" spans="1:13" x14ac:dyDescent="0.3">
      <c r="A6" s="21" t="s">
        <v>54</v>
      </c>
      <c r="B6" s="21">
        <v>154545.71095359759</v>
      </c>
      <c r="C6" s="21">
        <v>640729.49433380761</v>
      </c>
      <c r="D6" s="24">
        <f>35*Table717[[#This Row],[Duct Length]]/50</f>
        <v>108181.99766751831</v>
      </c>
      <c r="E6" s="24">
        <f t="shared" si="1"/>
        <v>0</v>
      </c>
      <c r="F6" s="24">
        <f>'FTTH XGPON 100 Mbps'!$B$18</f>
        <v>19368</v>
      </c>
      <c r="G6" s="24">
        <f>'FTTH XGPON 100 Mbps'!C18</f>
        <v>16568</v>
      </c>
      <c r="H6" s="24">
        <f>'FTTH XGPON 100 Mbps'!D18</f>
        <v>180000</v>
      </c>
      <c r="I6" s="24">
        <f>SUM(Table717[[#This Row],[Duct Cost]:[Building E&amp;I Costs]])</f>
        <v>324117.99766751833</v>
      </c>
      <c r="J6" s="21">
        <f t="shared" si="0"/>
        <v>16205899.883375917</v>
      </c>
      <c r="K6" s="21">
        <v>29262</v>
      </c>
      <c r="L6" s="21">
        <f t="shared" si="2"/>
        <v>553.82065078859671</v>
      </c>
      <c r="M6" s="21">
        <v>100</v>
      </c>
    </row>
    <row r="7" spans="1:13" x14ac:dyDescent="0.3">
      <c r="A7" s="21" t="s">
        <v>67</v>
      </c>
      <c r="B7" s="21">
        <v>154545.71095359759</v>
      </c>
      <c r="C7" s="21">
        <v>942011.40945595957</v>
      </c>
      <c r="D7" s="24">
        <f>35*Table717[[#This Row],[Duct Length]]/50</f>
        <v>108181.99766751831</v>
      </c>
      <c r="E7" s="24">
        <f t="shared" si="1"/>
        <v>0</v>
      </c>
      <c r="F7" s="24">
        <f>FTTCab_GPON_100!$B$17</f>
        <v>7404</v>
      </c>
      <c r="G7" s="24">
        <f>FTTCab_GPON_100!C17</f>
        <v>399960</v>
      </c>
      <c r="H7" s="24">
        <f>FTTCab_GPON_100!D17</f>
        <v>0</v>
      </c>
      <c r="I7" s="24">
        <f>SUM(Table717[[#This Row],[Duct Cost]:[Building E&amp;I Costs]])</f>
        <v>515545.99766751833</v>
      </c>
      <c r="J7" s="21">
        <f t="shared" si="0"/>
        <v>25777299.883375917</v>
      </c>
      <c r="K7" s="21">
        <v>29262</v>
      </c>
      <c r="L7" s="21">
        <f>J7/K7</f>
        <v>880.91380915097795</v>
      </c>
      <c r="M7" s="21">
        <v>100</v>
      </c>
    </row>
    <row r="8" spans="1:13" x14ac:dyDescent="0.3">
      <c r="A8" s="21" t="s">
        <v>68</v>
      </c>
      <c r="B8" s="21">
        <v>154545.71095359759</v>
      </c>
      <c r="C8" s="21">
        <v>640729.49433380761</v>
      </c>
      <c r="D8" s="24">
        <f>35*Table717[[#This Row],[Duct Length]]/50</f>
        <v>108181.99766751831</v>
      </c>
      <c r="E8" s="24">
        <f t="shared" si="1"/>
        <v>0</v>
      </c>
      <c r="F8" s="24">
        <f>FTTB_XGPON_100!$B$17</f>
        <v>19368</v>
      </c>
      <c r="G8" s="24">
        <f>FTTB_XGPON_100!C17</f>
        <v>8284</v>
      </c>
      <c r="H8" s="24">
        <f>FTTB_XGPON_100!D17</f>
        <v>68278</v>
      </c>
      <c r="I8" s="24">
        <f>SUM(Table717[[#This Row],[Duct Cost]:[Building E&amp;I Costs]])</f>
        <v>204111.99766751833</v>
      </c>
      <c r="J8" s="21">
        <f t="shared" si="0"/>
        <v>10205599.883375917</v>
      </c>
      <c r="K8" s="21">
        <v>29262</v>
      </c>
      <c r="L8" s="21">
        <f>J8/K8</f>
        <v>348.76631410620996</v>
      </c>
      <c r="M8" s="21">
        <v>100</v>
      </c>
    </row>
    <row r="9" spans="1:13" x14ac:dyDescent="0.3">
      <c r="A9" s="21" t="s">
        <v>69</v>
      </c>
      <c r="B9" s="21">
        <v>95562.640830078599</v>
      </c>
      <c r="C9" s="21">
        <v>730606.15860891738</v>
      </c>
      <c r="D9" s="24">
        <f>35*Table717[[#This Row],[Duct Length]]/50</f>
        <v>66893.848581055019</v>
      </c>
      <c r="E9" s="24">
        <f t="shared" si="1"/>
        <v>0</v>
      </c>
      <c r="F9" s="24">
        <f>FTTB_WRWDM_100!$B$15</f>
        <v>29000</v>
      </c>
      <c r="G9" s="24">
        <f>FTTB_WRWDM_100!C15</f>
        <v>260</v>
      </c>
      <c r="H9" s="24">
        <f>FTTB_WRWDM_100!D15</f>
        <v>75000</v>
      </c>
      <c r="I9" s="24">
        <f>SUM(Table717[[#This Row],[Duct Cost]:[Building E&amp;I Costs]])</f>
        <v>171153.848581055</v>
      </c>
      <c r="J9" s="21">
        <f t="shared" si="0"/>
        <v>8557692.4290527496</v>
      </c>
      <c r="K9" s="21">
        <v>29262</v>
      </c>
      <c r="L9" s="21">
        <f>J9/K9</f>
        <v>292.4507015601377</v>
      </c>
      <c r="M9" s="21">
        <v>100</v>
      </c>
    </row>
    <row r="10" spans="1:13" x14ac:dyDescent="0.3">
      <c r="A10" s="22" t="s">
        <v>70</v>
      </c>
      <c r="B10" s="16">
        <v>126641.78711580401</v>
      </c>
      <c r="C10" s="16">
        <v>629711.41851421306</v>
      </c>
      <c r="D10" s="24">
        <f>35*Table717[[#This Row],[Duct Length]]/50</f>
        <v>88649.250981062796</v>
      </c>
      <c r="E10" s="24">
        <f t="shared" si="1"/>
        <v>0</v>
      </c>
      <c r="F10" s="24">
        <f>FTTCab_Hybridpon_25!$B$17</f>
        <v>8632</v>
      </c>
      <c r="G10" s="24">
        <f>FTTCab_Hybridpon_25!C17</f>
        <v>381282</v>
      </c>
      <c r="H10" s="24">
        <f>FTTCab_Hybridpon_25!D17</f>
        <v>0</v>
      </c>
      <c r="I10" s="24">
        <f>SUM(Table717[[#This Row],[Duct Cost]:[Building E&amp;I Costs]])</f>
        <v>478563.25098106277</v>
      </c>
      <c r="J10" s="21">
        <f t="shared" si="0"/>
        <v>23928162.54905314</v>
      </c>
      <c r="K10" s="21">
        <v>29262</v>
      </c>
      <c r="L10" s="21">
        <f t="shared" ref="L10:L14" si="3">J10/K10</f>
        <v>817.72136385254396</v>
      </c>
      <c r="M10" s="21">
        <v>25</v>
      </c>
    </row>
    <row r="11" spans="1:13" x14ac:dyDescent="0.3">
      <c r="A11" s="22" t="s">
        <v>71</v>
      </c>
      <c r="B11" s="16">
        <v>127537.82706687541</v>
      </c>
      <c r="C11" s="16">
        <v>610583.51516018598</v>
      </c>
      <c r="D11" s="24">
        <f>35*Table717[[#This Row],[Duct Length]]/50</f>
        <v>89276.478946812786</v>
      </c>
      <c r="E11" s="24">
        <f t="shared" si="1"/>
        <v>0</v>
      </c>
      <c r="F11" s="24">
        <f>FTTB_Hybridpon_50!$B$16</f>
        <v>19032</v>
      </c>
      <c r="G11" s="24">
        <f>FTTB_Hybridpon_50!C16</f>
        <v>3082</v>
      </c>
      <c r="H11" s="24">
        <f>FTTB_Hybridpon_50!D16</f>
        <v>75000</v>
      </c>
      <c r="I11" s="24">
        <f>SUM(Table717[[#This Row],[Duct Cost]:[Building E&amp;I Costs]])</f>
        <v>186390.4789468128</v>
      </c>
      <c r="J11" s="21">
        <f t="shared" si="0"/>
        <v>9319523.9473406393</v>
      </c>
      <c r="K11" s="21">
        <v>29262</v>
      </c>
      <c r="L11" s="21">
        <f t="shared" si="3"/>
        <v>318.48554259246254</v>
      </c>
      <c r="M11" s="21">
        <v>50</v>
      </c>
    </row>
    <row r="12" spans="1:13" x14ac:dyDescent="0.3">
      <c r="A12" s="22" t="s">
        <v>72</v>
      </c>
      <c r="B12" s="16">
        <v>127537.82706687541</v>
      </c>
      <c r="C12" s="16">
        <v>1254363.515160186</v>
      </c>
      <c r="D12" s="24">
        <f>35*Table717[[#This Row],[Duct Length]]/50</f>
        <v>89276.478946812786</v>
      </c>
      <c r="E12" s="24">
        <f t="shared" si="1"/>
        <v>0</v>
      </c>
      <c r="F12" s="24">
        <f>FTTH_Hybridpon_100!$B$16</f>
        <v>35064</v>
      </c>
      <c r="G12" s="24">
        <f>FTTH_Hybridpon_100!C16</f>
        <v>3082</v>
      </c>
      <c r="H12" s="24">
        <f>FTTH_Hybridpon_100!D16</f>
        <v>210000</v>
      </c>
      <c r="I12" s="24">
        <f>SUM(Table717[[#This Row],[Duct Cost]:[Building E&amp;I Costs]])</f>
        <v>337422.4789468128</v>
      </c>
      <c r="J12" s="21">
        <f t="shared" si="0"/>
        <v>16871123.947340641</v>
      </c>
      <c r="K12" s="21">
        <v>29262</v>
      </c>
      <c r="L12" s="21">
        <f t="shared" si="3"/>
        <v>576.55402731667834</v>
      </c>
      <c r="M12" s="21">
        <v>100</v>
      </c>
    </row>
    <row r="13" spans="1:13" x14ac:dyDescent="0.3">
      <c r="A13" s="22" t="s">
        <v>73</v>
      </c>
      <c r="B13" s="16">
        <v>126641.78711580401</v>
      </c>
      <c r="C13" s="16">
        <v>629711.41851421306</v>
      </c>
      <c r="D13" s="24">
        <f>35*Table717[[#This Row],[Duct Length]]/50</f>
        <v>88649.250981062796</v>
      </c>
      <c r="E13" s="24">
        <f t="shared" si="1"/>
        <v>0</v>
      </c>
      <c r="F13" s="24">
        <f>FTTC_Hybridpon_100!$B$17</f>
        <v>25528</v>
      </c>
      <c r="G13" s="24">
        <f>FTTC_Hybridpon_100!C17</f>
        <v>219632</v>
      </c>
      <c r="H13" s="24">
        <f>FTTC_Hybridpon_100!D17</f>
        <v>0</v>
      </c>
      <c r="I13" s="24">
        <f>SUM(Table717[[#This Row],[Duct Cost]:[Building E&amp;I Costs]])</f>
        <v>333809.25098106277</v>
      </c>
      <c r="J13" s="21">
        <f t="shared" si="0"/>
        <v>16690462.549053138</v>
      </c>
      <c r="K13" s="21">
        <v>29262</v>
      </c>
      <c r="L13" s="21">
        <f t="shared" si="3"/>
        <v>570.38010214794406</v>
      </c>
      <c r="M13" s="21">
        <v>100</v>
      </c>
    </row>
    <row r="14" spans="1:13" x14ac:dyDescent="0.3">
      <c r="A14" s="15" t="s">
        <v>74</v>
      </c>
      <c r="B14" s="16">
        <v>127537.82706687541</v>
      </c>
      <c r="C14" s="16">
        <v>610583.51516018598</v>
      </c>
      <c r="D14" s="24">
        <f>35*Table717[[#This Row],[Duct Length]]/50</f>
        <v>89276.478946812786</v>
      </c>
      <c r="E14" s="24">
        <f t="shared" si="1"/>
        <v>0</v>
      </c>
      <c r="F14" s="17">
        <f>FTTB_Hybridpon_100!$B$16</f>
        <v>35064</v>
      </c>
      <c r="G14" s="17">
        <f>FTTB_Hybridpon_100!C16</f>
        <v>3082</v>
      </c>
      <c r="H14" s="17">
        <f>FTTB_Hybridpon_100!D16</f>
        <v>75000</v>
      </c>
      <c r="I14" s="24">
        <f>SUM(Table717[[#This Row],[Duct Cost]:[Building E&amp;I Costs]])</f>
        <v>202422.4789468128</v>
      </c>
      <c r="J14" s="21">
        <f t="shared" si="0"/>
        <v>10121123.947340639</v>
      </c>
      <c r="K14" s="21">
        <v>29262</v>
      </c>
      <c r="L14" s="17">
        <f t="shared" si="3"/>
        <v>345.87943227874513</v>
      </c>
      <c r="M14" s="17">
        <v>100</v>
      </c>
    </row>
    <row r="28" spans="2:5" x14ac:dyDescent="0.3">
      <c r="B28" s="24"/>
      <c r="C28" s="24"/>
      <c r="D28" s="24"/>
    </row>
    <row r="29" spans="2:5" x14ac:dyDescent="0.3">
      <c r="B29" s="24"/>
      <c r="C29" s="24"/>
      <c r="D29" s="24"/>
      <c r="E29" s="23"/>
    </row>
    <row r="30" spans="2:5" x14ac:dyDescent="0.3">
      <c r="B30" s="24"/>
      <c r="C30" s="24"/>
      <c r="D30" s="24"/>
      <c r="E30" s="23"/>
    </row>
    <row r="31" spans="2:5" x14ac:dyDescent="0.3">
      <c r="B31" s="24"/>
      <c r="C31" s="24"/>
      <c r="D31" s="24"/>
      <c r="E31" s="23"/>
    </row>
    <row r="32" spans="2:5" x14ac:dyDescent="0.3">
      <c r="B32" s="24"/>
      <c r="C32" s="24"/>
      <c r="D32" s="24"/>
      <c r="E32" s="23"/>
    </row>
    <row r="33" spans="2:5" x14ac:dyDescent="0.3">
      <c r="B33" s="24"/>
      <c r="C33" s="24"/>
      <c r="D33" s="24"/>
      <c r="E33" s="23"/>
    </row>
    <row r="34" spans="2:5" x14ac:dyDescent="0.3">
      <c r="B34" s="24"/>
      <c r="C34" s="24"/>
      <c r="D34" s="24"/>
      <c r="E34" s="23"/>
    </row>
    <row r="35" spans="2:5" x14ac:dyDescent="0.3">
      <c r="B35" s="24"/>
      <c r="C35" s="24"/>
      <c r="D35" s="24"/>
      <c r="E35" s="23"/>
    </row>
    <row r="36" spans="2:5" x14ac:dyDescent="0.3">
      <c r="B36" s="24"/>
      <c r="C36" s="24"/>
      <c r="D36" s="24"/>
      <c r="E36" s="23"/>
    </row>
    <row r="37" spans="2:5" x14ac:dyDescent="0.3">
      <c r="B37" s="24"/>
      <c r="C37" s="24"/>
      <c r="D37" s="24"/>
      <c r="E37" s="23"/>
    </row>
    <row r="38" spans="2:5" x14ac:dyDescent="0.3">
      <c r="B38" s="24"/>
      <c r="C38" s="24"/>
      <c r="D38" s="24"/>
      <c r="E38" s="23"/>
    </row>
    <row r="39" spans="2:5" x14ac:dyDescent="0.3">
      <c r="B39" s="24"/>
      <c r="C39" s="24"/>
      <c r="D39" s="24"/>
      <c r="E39" s="23"/>
    </row>
    <row r="40" spans="2:5" x14ac:dyDescent="0.3">
      <c r="B40" s="24"/>
      <c r="C40" s="24"/>
      <c r="D40" s="24"/>
      <c r="E40" s="23"/>
    </row>
  </sheetData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B1" zoomScale="90" zoomScaleNormal="90" workbookViewId="0">
      <selection sqref="A1:M14"/>
    </sheetView>
  </sheetViews>
  <sheetFormatPr defaultRowHeight="14.4" x14ac:dyDescent="0.3"/>
  <cols>
    <col min="1" max="1" width="34.6640625" customWidth="1"/>
    <col min="2" max="2" width="29.6640625" customWidth="1"/>
    <col min="3" max="3" width="24.33203125" customWidth="1"/>
    <col min="4" max="4" width="21.88671875" customWidth="1"/>
    <col min="5" max="5" width="21.6640625" customWidth="1"/>
    <col min="6" max="6" width="35.44140625" customWidth="1"/>
    <col min="7" max="7" width="32.109375" customWidth="1"/>
    <col min="8" max="8" width="30.33203125" customWidth="1"/>
    <col min="9" max="9" width="31.33203125" customWidth="1"/>
    <col min="10" max="10" width="15.33203125" customWidth="1"/>
  </cols>
  <sheetData>
    <row r="1" spans="1:13" x14ac:dyDescent="0.3">
      <c r="A1" s="24" t="s">
        <v>49</v>
      </c>
      <c r="B1" s="24" t="s">
        <v>90</v>
      </c>
      <c r="C1" s="24" t="s">
        <v>91</v>
      </c>
      <c r="D1" s="24" t="s">
        <v>1</v>
      </c>
      <c r="E1" s="24" t="s">
        <v>2</v>
      </c>
      <c r="F1" s="24" t="s">
        <v>62</v>
      </c>
      <c r="G1" s="24" t="s">
        <v>60</v>
      </c>
      <c r="H1" s="24" t="s">
        <v>61</v>
      </c>
      <c r="I1" s="24" t="s">
        <v>55</v>
      </c>
      <c r="J1" s="24" t="s">
        <v>112</v>
      </c>
      <c r="K1" s="24" t="s">
        <v>57</v>
      </c>
      <c r="L1" s="24" t="s">
        <v>113</v>
      </c>
      <c r="M1" s="24" t="s">
        <v>59</v>
      </c>
    </row>
    <row r="2" spans="1:13" x14ac:dyDescent="0.3">
      <c r="A2" s="24" t="s">
        <v>50</v>
      </c>
      <c r="B2" s="24">
        <v>154545.71095359759</v>
      </c>
      <c r="C2" s="24">
        <v>942011.40945595957</v>
      </c>
      <c r="D2" s="24">
        <f>71.26*Table7172[[#This Row],[Duct Length]]/50</f>
        <v>220258.5472510673</v>
      </c>
      <c r="E2" s="24">
        <f>9.61*Table7172[[#This Row],[Fiber Length]]/50</f>
        <v>181054.59289743542</v>
      </c>
      <c r="F2" s="24">
        <f>'FTTCab GPON 26 Mbps'!B$20</f>
        <v>11620</v>
      </c>
      <c r="G2" s="24">
        <f>'FTTCab GPON 26 Mbps'!C$20</f>
        <v>370153.6</v>
      </c>
      <c r="H2" s="24">
        <f>'FTTCab GPON 26 Mbps'!D$20</f>
        <v>0</v>
      </c>
      <c r="I2" s="24">
        <f>SUM(Table7172[[#This Row],[Duct Cost]:[Building E&amp;I Costs]])</f>
        <v>783086.74014850263</v>
      </c>
      <c r="J2" s="24">
        <f t="shared" ref="J2:J14" si="0">I2*50</f>
        <v>39154337.007425129</v>
      </c>
      <c r="K2" s="24">
        <v>29262</v>
      </c>
      <c r="L2" s="24">
        <f>J2/K2</f>
        <v>1338.0608641728224</v>
      </c>
      <c r="M2" s="24">
        <v>25</v>
      </c>
    </row>
    <row r="3" spans="1:13" x14ac:dyDescent="0.3">
      <c r="A3" s="24" t="s">
        <v>51</v>
      </c>
      <c r="B3" s="24">
        <v>154545.71095359759</v>
      </c>
      <c r="C3" s="24">
        <v>640729.49433380761</v>
      </c>
      <c r="D3" s="24">
        <f>71.26*Table7172[[#This Row],[Duct Length]]/50</f>
        <v>220258.5472510673</v>
      </c>
      <c r="E3" s="24">
        <f>9.61*Table7172[[#This Row],[Fiber Length]]/50</f>
        <v>123148.20881095782</v>
      </c>
      <c r="F3" s="24">
        <f>'FTTB XGPON 50 Mbps'!B$19</f>
        <v>16300</v>
      </c>
      <c r="G3" s="24">
        <f>'FTTB XGPON 50 Mbps'!C$19</f>
        <v>1194.4000000000001</v>
      </c>
      <c r="H3" s="24">
        <f>'FTTB XGPON 50 Mbps'!D$19</f>
        <v>128000</v>
      </c>
      <c r="I3" s="24">
        <f>SUM(Table7172[[#This Row],[Duct Cost]:[Building E&amp;I Costs]])</f>
        <v>488901.15606202511</v>
      </c>
      <c r="J3" s="24">
        <f t="shared" si="0"/>
        <v>24445057.803101256</v>
      </c>
      <c r="K3" s="24">
        <v>29262</v>
      </c>
      <c r="L3" s="24">
        <f t="shared" ref="L3:L6" si="1">J3/K3</f>
        <v>835.38574954211117</v>
      </c>
      <c r="M3" s="24">
        <v>50</v>
      </c>
    </row>
    <row r="4" spans="1:13" x14ac:dyDescent="0.3">
      <c r="A4" s="24" t="s">
        <v>52</v>
      </c>
      <c r="B4" s="24">
        <v>95562.640830078599</v>
      </c>
      <c r="C4" s="24">
        <v>730606.15860891738</v>
      </c>
      <c r="D4" s="24">
        <f>71.26*Table7172[[#This Row],[Duct Length]]/50</f>
        <v>136195.87571102803</v>
      </c>
      <c r="E4" s="24">
        <f>9.61*Table7172[[#This Row],[Fiber Length]]/50</f>
        <v>140422.50368463391</v>
      </c>
      <c r="F4" s="24">
        <f>'FTTB WR-WDMPON 50 Mbps'!B$17</f>
        <v>22950</v>
      </c>
      <c r="G4" s="24">
        <f>'FTTB WR-WDMPON 50 Mbps'!C$17</f>
        <v>130</v>
      </c>
      <c r="H4" s="24">
        <f>'FTTB WR-WDMPON 50 Mbps'!D$17</f>
        <v>133500</v>
      </c>
      <c r="I4" s="24">
        <f>SUM(Table7172[[#This Row],[Duct Cost]:[Building E&amp;I Costs]])</f>
        <v>433198.37939566193</v>
      </c>
      <c r="J4" s="24">
        <f t="shared" si="0"/>
        <v>21659918.969783098</v>
      </c>
      <c r="K4" s="24">
        <v>29262</v>
      </c>
      <c r="L4" s="24">
        <f t="shared" si="1"/>
        <v>740.20637583839437</v>
      </c>
      <c r="M4" s="24">
        <v>50</v>
      </c>
    </row>
    <row r="5" spans="1:13" x14ac:dyDescent="0.3">
      <c r="A5" s="24" t="s">
        <v>53</v>
      </c>
      <c r="B5" s="24">
        <v>95562.640830078599</v>
      </c>
      <c r="C5" s="24">
        <v>730606.15860891738</v>
      </c>
      <c r="D5" s="24">
        <f>71.26*Table7172[[#This Row],[Duct Length]]/50</f>
        <v>136195.87571102803</v>
      </c>
      <c r="E5" s="24">
        <f>9.61*Table7172[[#This Row],[Fiber Length]]/50</f>
        <v>140422.50368463391</v>
      </c>
      <c r="F5" s="24">
        <f>'FTTH WR-WDMPON 100 Mbps'!B$17</f>
        <v>22950</v>
      </c>
      <c r="G5" s="24">
        <f>'FTTH WR-WDMPON 100 Mbps'!C$17</f>
        <v>130</v>
      </c>
      <c r="H5" s="24">
        <f>'FTTH WR-WDMPON 100 Mbps'!D$17</f>
        <v>150754</v>
      </c>
      <c r="I5" s="24">
        <f>SUM(Table7172[[#This Row],[Duct Cost]:[Building E&amp;I Costs]])</f>
        <v>450452.37939566193</v>
      </c>
      <c r="J5" s="24">
        <f t="shared" si="0"/>
        <v>22522618.969783098</v>
      </c>
      <c r="K5" s="24">
        <v>29262</v>
      </c>
      <c r="L5" s="24">
        <f t="shared" si="1"/>
        <v>769.68829778494626</v>
      </c>
      <c r="M5" s="24">
        <v>100</v>
      </c>
    </row>
    <row r="6" spans="1:13" x14ac:dyDescent="0.3">
      <c r="A6" s="24" t="s">
        <v>54</v>
      </c>
      <c r="B6" s="24">
        <v>154545.71095359759</v>
      </c>
      <c r="C6" s="24">
        <v>640729.49433380761</v>
      </c>
      <c r="D6" s="24">
        <f>71.26*Table7172[[#This Row],[Duct Length]]/50</f>
        <v>220258.5472510673</v>
      </c>
      <c r="E6" s="24">
        <f>9.61*Table7172[[#This Row],[Fiber Length]]/50</f>
        <v>123148.20881095782</v>
      </c>
      <c r="F6" s="24">
        <f>'FTTH XGPON 100 Mbps'!B$19</f>
        <v>93800</v>
      </c>
      <c r="G6" s="24">
        <f>'FTTH XGPON 100 Mbps'!C$19</f>
        <v>64840</v>
      </c>
      <c r="H6" s="24">
        <f>'FTTH XGPON 100 Mbps'!D$19</f>
        <v>150754</v>
      </c>
      <c r="I6" s="24">
        <f>SUM(Table7172[[#This Row],[Duct Cost]:[Building E&amp;I Costs]])</f>
        <v>652800.75606202509</v>
      </c>
      <c r="J6" s="24">
        <f t="shared" si="0"/>
        <v>32640037.803101253</v>
      </c>
      <c r="K6" s="24">
        <v>29262</v>
      </c>
      <c r="L6" s="24">
        <f t="shared" si="1"/>
        <v>1115.4411114449201</v>
      </c>
      <c r="M6" s="24">
        <v>100</v>
      </c>
    </row>
    <row r="7" spans="1:13" x14ac:dyDescent="0.3">
      <c r="A7" s="24" t="s">
        <v>67</v>
      </c>
      <c r="B7" s="24">
        <v>154545.71095359759</v>
      </c>
      <c r="C7" s="24">
        <v>942011.40945595957</v>
      </c>
      <c r="D7" s="24">
        <f>71.26*Table7172[[#This Row],[Duct Length]]/50</f>
        <v>220258.5472510673</v>
      </c>
      <c r="E7" s="24">
        <f>9.61*Table7172[[#This Row],[Fiber Length]]/50</f>
        <v>181054.59289743542</v>
      </c>
      <c r="F7" s="24">
        <f>FTTCab_GPON_100!B$18</f>
        <v>15652</v>
      </c>
      <c r="G7" s="24">
        <f>FTTCab_GPON_100!C$18</f>
        <v>465444</v>
      </c>
      <c r="H7" s="24">
        <f>FTTCab_GPON_100!D$18</f>
        <v>0</v>
      </c>
      <c r="I7" s="24">
        <f>SUM(Table7172[[#This Row],[Duct Cost]:[Building E&amp;I Costs]])</f>
        <v>882409.14014850277</v>
      </c>
      <c r="J7" s="24">
        <f t="shared" si="0"/>
        <v>44120457.007425137</v>
      </c>
      <c r="K7" s="24">
        <v>29262</v>
      </c>
      <c r="L7" s="24">
        <f>J7/K7</f>
        <v>1507.7731189742717</v>
      </c>
      <c r="M7" s="24">
        <v>100</v>
      </c>
    </row>
    <row r="8" spans="1:13" x14ac:dyDescent="0.3">
      <c r="A8" s="24" t="s">
        <v>68</v>
      </c>
      <c r="B8" s="24">
        <v>154545.71095359759</v>
      </c>
      <c r="C8" s="24">
        <v>640729.49433380761</v>
      </c>
      <c r="D8" s="24">
        <f>71.26*Table7172[[#This Row],[Duct Length]]/50</f>
        <v>220258.5472510673</v>
      </c>
      <c r="E8" s="24">
        <f>9.61*Table7172[[#This Row],[Fiber Length]]/50</f>
        <v>123148.20881095782</v>
      </c>
      <c r="F8" s="24">
        <f>FTTB_XGPON_100!B$18</f>
        <v>32500</v>
      </c>
      <c r="G8" s="24">
        <f>FTTB_XGPON_100!C$18</f>
        <v>1194.4000000000001</v>
      </c>
      <c r="H8" s="24">
        <f>FTTB_XGPON_100!D$18</f>
        <v>124851.2</v>
      </c>
      <c r="I8" s="24">
        <f>SUM(Table7172[[#This Row],[Duct Cost]:[Building E&amp;I Costs]])</f>
        <v>501952.35606202512</v>
      </c>
      <c r="J8" s="24">
        <f t="shared" si="0"/>
        <v>25097617.803101256</v>
      </c>
      <c r="K8" s="24">
        <v>29262</v>
      </c>
      <c r="L8" s="24">
        <f>J8/K8</f>
        <v>857.6863441699561</v>
      </c>
      <c r="M8" s="24">
        <v>100</v>
      </c>
    </row>
    <row r="9" spans="1:13" x14ac:dyDescent="0.3">
      <c r="A9" s="24" t="s">
        <v>69</v>
      </c>
      <c r="B9" s="24">
        <v>95562.640830078599</v>
      </c>
      <c r="C9" s="24">
        <v>730606.15860891738</v>
      </c>
      <c r="D9" s="24">
        <f>71.26*Table7172[[#This Row],[Duct Length]]/50</f>
        <v>136195.87571102803</v>
      </c>
      <c r="E9" s="24">
        <f>9.61*Table7172[[#This Row],[Fiber Length]]/50</f>
        <v>140422.50368463391</v>
      </c>
      <c r="F9" s="24">
        <f>FTTB_WRWDM_100!B$16</f>
        <v>39200</v>
      </c>
      <c r="G9" s="24">
        <f>FTTB_WRWDM_100!C$16</f>
        <v>130</v>
      </c>
      <c r="H9" s="24">
        <f>FTTB_WRWDM_100!D$16</f>
        <v>133500</v>
      </c>
      <c r="I9" s="24">
        <f>SUM(Table7172[[#This Row],[Duct Cost]:[Building E&amp;I Costs]])</f>
        <v>449448.37939566193</v>
      </c>
      <c r="J9" s="24">
        <f t="shared" si="0"/>
        <v>22472418.969783098</v>
      </c>
      <c r="K9" s="24">
        <v>29262</v>
      </c>
      <c r="L9" s="24">
        <f>J9/K9</f>
        <v>767.97276227814564</v>
      </c>
      <c r="M9" s="24">
        <v>100</v>
      </c>
    </row>
    <row r="10" spans="1:13" x14ac:dyDescent="0.3">
      <c r="A10" s="22" t="s">
        <v>70</v>
      </c>
      <c r="B10" s="16">
        <v>126641.78711580401</v>
      </c>
      <c r="C10" s="16">
        <v>629711.41851421306</v>
      </c>
      <c r="D10" s="24">
        <f>71.26*Table7172[[#This Row],[Duct Length]]/50</f>
        <v>180489.8749974439</v>
      </c>
      <c r="E10" s="24">
        <f>9.61*Table7172[[#This Row],[Fiber Length]]/50</f>
        <v>121030.53463843174</v>
      </c>
      <c r="F10" s="24">
        <f>FTTCab_Hybridpon_25!B$18</f>
        <v>11720</v>
      </c>
      <c r="G10" s="24">
        <f>FTTCab_Hybridpon_25!C$18</f>
        <v>228761.2</v>
      </c>
      <c r="H10" s="24">
        <f>FTTCab_Hybridpon_25!D$18</f>
        <v>0</v>
      </c>
      <c r="I10" s="24">
        <f>SUM(Table7172[[#This Row],[Duct Cost]:[Building E&amp;I Costs]])</f>
        <v>542001.60963587556</v>
      </c>
      <c r="J10" s="24">
        <f t="shared" si="0"/>
        <v>27100080.481793776</v>
      </c>
      <c r="K10" s="24">
        <v>29262</v>
      </c>
      <c r="L10" s="24">
        <f t="shared" ref="L10:L14" si="2">J10/K10</f>
        <v>926.11853194565572</v>
      </c>
      <c r="M10" s="24">
        <v>25</v>
      </c>
    </row>
    <row r="11" spans="1:13" x14ac:dyDescent="0.3">
      <c r="A11" s="22" t="s">
        <v>71</v>
      </c>
      <c r="B11" s="16">
        <v>127537.82706687541</v>
      </c>
      <c r="C11" s="16">
        <v>610583.51516018598</v>
      </c>
      <c r="D11" s="24">
        <f>71.26*Table7172[[#This Row],[Duct Length]]/50</f>
        <v>181766.91113571086</v>
      </c>
      <c r="E11" s="24">
        <f>9.61*Table7172[[#This Row],[Fiber Length]]/50</f>
        <v>117354.15161378775</v>
      </c>
      <c r="F11" s="24">
        <f>FTTB_Hybridpon_50!B$17</f>
        <v>24000</v>
      </c>
      <c r="G11" s="24">
        <f>FTTB_Hybridpon_50!C$17</f>
        <v>438.2</v>
      </c>
      <c r="H11" s="24">
        <f>FTTB_Hybridpon_50!D$17</f>
        <v>135000</v>
      </c>
      <c r="I11" s="24">
        <f>SUM(Table7172[[#This Row],[Duct Cost]:[Building E&amp;I Costs]])</f>
        <v>458559.26274949865</v>
      </c>
      <c r="J11" s="24">
        <f t="shared" si="0"/>
        <v>22927963.137474932</v>
      </c>
      <c r="K11" s="24">
        <v>29262</v>
      </c>
      <c r="L11" s="24">
        <f t="shared" si="2"/>
        <v>783.54053507876881</v>
      </c>
      <c r="M11" s="24">
        <v>50</v>
      </c>
    </row>
    <row r="12" spans="1:13" x14ac:dyDescent="0.3">
      <c r="A12" s="22" t="s">
        <v>72</v>
      </c>
      <c r="B12" s="16">
        <v>127537.82706687541</v>
      </c>
      <c r="C12" s="16">
        <v>1254363.515160186</v>
      </c>
      <c r="D12" s="24">
        <f>71.26*Table7172[[#This Row],[Duct Length]]/50</f>
        <v>181766.91113571086</v>
      </c>
      <c r="E12" s="24">
        <f>9.61*Table7172[[#This Row],[Fiber Length]]/50</f>
        <v>241088.66761378772</v>
      </c>
      <c r="F12" s="24">
        <f>FTTH_Hybridpon_100!B$17</f>
        <v>48000</v>
      </c>
      <c r="G12" s="24">
        <f>FTTH_Hybridpon_100!C$17</f>
        <v>438.2</v>
      </c>
      <c r="H12" s="24">
        <f>FTTH_Hybridpon_100!D$17</f>
        <v>150000</v>
      </c>
      <c r="I12" s="24">
        <f>SUM(Table7172[[#This Row],[Duct Cost]:[Building E&amp;I Costs]])</f>
        <v>621293.77874949854</v>
      </c>
      <c r="J12" s="24">
        <f t="shared" si="0"/>
        <v>31064688.937474929</v>
      </c>
      <c r="K12" s="24">
        <v>29262</v>
      </c>
      <c r="L12" s="24">
        <f t="shared" si="2"/>
        <v>1061.6051171305764</v>
      </c>
      <c r="M12" s="24">
        <v>100</v>
      </c>
    </row>
    <row r="13" spans="1:13" x14ac:dyDescent="0.3">
      <c r="A13" s="22" t="s">
        <v>73</v>
      </c>
      <c r="B13" s="16">
        <v>126641.78711580401</v>
      </c>
      <c r="C13" s="16">
        <v>629711.41851421306</v>
      </c>
      <c r="D13" s="24">
        <f>71.26*Table7172[[#This Row],[Duct Length]]/50</f>
        <v>180489.8749974439</v>
      </c>
      <c r="E13" s="24">
        <f>9.61*Table7172[[#This Row],[Fiber Length]]/50</f>
        <v>121030.53463843174</v>
      </c>
      <c r="F13" s="24">
        <f>FTTC_Hybridpon_100!B$18</f>
        <v>46280</v>
      </c>
      <c r="G13" s="24">
        <f>FTTC_Hybridpon_100!C$18</f>
        <v>245231.2</v>
      </c>
      <c r="H13" s="24">
        <f>FTTC_Hybridpon_100!D$18</f>
        <v>0</v>
      </c>
      <c r="I13" s="24">
        <f>SUM(Table7172[[#This Row],[Duct Cost]:[Building E&amp;I Costs]])</f>
        <v>593031.60963587556</v>
      </c>
      <c r="J13" s="24">
        <f t="shared" si="0"/>
        <v>29651580.481793776</v>
      </c>
      <c r="K13" s="24">
        <v>29262</v>
      </c>
      <c r="L13" s="24">
        <f t="shared" si="2"/>
        <v>1013.3135288699945</v>
      </c>
      <c r="M13" s="24">
        <v>100</v>
      </c>
    </row>
    <row r="14" spans="1:13" x14ac:dyDescent="0.3">
      <c r="A14" s="15" t="s">
        <v>74</v>
      </c>
      <c r="B14" s="16">
        <v>127537.82706687541</v>
      </c>
      <c r="C14" s="16">
        <v>610583.51516018598</v>
      </c>
      <c r="D14" s="24">
        <f>71.26*Table7172[[#This Row],[Duct Length]]/50</f>
        <v>181766.91113571086</v>
      </c>
      <c r="E14" s="24">
        <f>9.61*Table7172[[#This Row],[Fiber Length]]/50</f>
        <v>117354.15161378775</v>
      </c>
      <c r="F14" s="17">
        <f>FTTB_Hybridpon_100!B$17</f>
        <v>48000</v>
      </c>
      <c r="G14" s="17">
        <f>FTTB_Hybridpon_100!C$17</f>
        <v>438.2</v>
      </c>
      <c r="H14" s="17">
        <f>FTTB_Hybridpon_100!D$17</f>
        <v>135000</v>
      </c>
      <c r="I14" s="24">
        <f>SUM(Table7172[[#This Row],[Duct Cost]:[Building E&amp;I Costs]])</f>
        <v>482559.26274949865</v>
      </c>
      <c r="J14" s="24">
        <f t="shared" si="0"/>
        <v>24127963.137474932</v>
      </c>
      <c r="K14" s="24">
        <v>29262</v>
      </c>
      <c r="L14" s="17">
        <f t="shared" si="2"/>
        <v>824.54935197440136</v>
      </c>
      <c r="M14" s="17">
        <v>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G1" workbookViewId="0">
      <selection activeCell="K17" sqref="K17"/>
    </sheetView>
  </sheetViews>
  <sheetFormatPr defaultRowHeight="14.4" x14ac:dyDescent="0.3"/>
  <cols>
    <col min="1" max="1" width="53.88671875" customWidth="1"/>
    <col min="2" max="2" width="23" customWidth="1"/>
    <col min="3" max="3" width="17.33203125" customWidth="1"/>
    <col min="4" max="4" width="19.33203125" customWidth="1"/>
    <col min="5" max="5" width="17" customWidth="1"/>
    <col min="6" max="6" width="18.44140625" customWidth="1"/>
    <col min="7" max="7" width="15.6640625" customWidth="1"/>
    <col min="8" max="8" width="17.109375" customWidth="1"/>
    <col min="9" max="9" width="18.6640625" customWidth="1"/>
  </cols>
  <sheetData>
    <row r="1" spans="1:13" x14ac:dyDescent="0.3">
      <c r="A1" s="24" t="s">
        <v>49</v>
      </c>
      <c r="B1" s="24" t="s">
        <v>90</v>
      </c>
      <c r="C1" s="24" t="s">
        <v>91</v>
      </c>
      <c r="D1" s="24" t="s">
        <v>1</v>
      </c>
      <c r="E1" s="24" t="s">
        <v>2</v>
      </c>
      <c r="F1" s="24" t="s">
        <v>62</v>
      </c>
      <c r="G1" s="24" t="s">
        <v>60</v>
      </c>
      <c r="H1" s="24" t="s">
        <v>61</v>
      </c>
      <c r="I1" s="24" t="s">
        <v>55</v>
      </c>
      <c r="J1" s="24" t="s">
        <v>126</v>
      </c>
      <c r="K1" s="24" t="s">
        <v>57</v>
      </c>
      <c r="L1" s="24" t="s">
        <v>129</v>
      </c>
      <c r="M1" s="24" t="s">
        <v>59</v>
      </c>
    </row>
    <row r="2" spans="1:13" x14ac:dyDescent="0.3">
      <c r="A2" s="24" t="s">
        <v>50</v>
      </c>
      <c r="B2" s="24">
        <v>154545.71095359759</v>
      </c>
      <c r="C2" s="24">
        <v>942011.40945595957</v>
      </c>
      <c r="D2" s="24">
        <f>27*Table717218[[#This Row],[Duct Length]]/50</f>
        <v>83454.683914942696</v>
      </c>
      <c r="E2" s="24">
        <f>0.3*Table717218[[#This Row],[Fiber Length]]/50</f>
        <v>5652.0684567357575</v>
      </c>
      <c r="F2" s="24">
        <f>'FTTCab GPON 26 Mbps'!B$21</f>
        <v>2000</v>
      </c>
      <c r="G2" s="24">
        <f>'FTTCab GPON 26 Mbps'!C$21</f>
        <v>286120</v>
      </c>
      <c r="H2" s="24">
        <f>'FTTCab GPON 26 Mbps'!D$21</f>
        <v>0</v>
      </c>
      <c r="I2" s="24">
        <f>SUM(Table717218[[#This Row],[Duct Cost]:[Building E&amp;I Costs]])</f>
        <v>377226.75237167848</v>
      </c>
      <c r="J2" s="24">
        <f t="shared" ref="J2:J14" si="0">I2*50</f>
        <v>18861337.618583925</v>
      </c>
      <c r="K2" s="24">
        <v>29262</v>
      </c>
      <c r="L2" s="24">
        <f>J2/K2</f>
        <v>644.56761733934536</v>
      </c>
      <c r="M2" s="24">
        <v>25</v>
      </c>
    </row>
    <row r="3" spans="1:13" x14ac:dyDescent="0.3">
      <c r="A3" s="24" t="s">
        <v>51</v>
      </c>
      <c r="B3" s="24">
        <v>154545.71095359759</v>
      </c>
      <c r="C3" s="24">
        <v>640729.49433380761</v>
      </c>
      <c r="D3" s="24">
        <f>27*Table717218[[#This Row],[Duct Length]]/50</f>
        <v>83454.683914942696</v>
      </c>
      <c r="E3" s="24">
        <f>0.3*Table717218[[#This Row],[Fiber Length]]/50</f>
        <v>3844.3769660028456</v>
      </c>
      <c r="F3" s="24">
        <f>'FTTB XGPON 50 Mbps'!B$20</f>
        <v>2970</v>
      </c>
      <c r="G3" s="24">
        <f>'FTTB XGPON 50 Mbps'!C$20</f>
        <v>0</v>
      </c>
      <c r="H3" s="24">
        <f>'FTTB XGPON 50 Mbps'!D$20</f>
        <v>75000</v>
      </c>
      <c r="I3" s="24">
        <f>SUM(Table717218[[#This Row],[Duct Cost]:[Building E&amp;I Costs]])</f>
        <v>165269.06088094553</v>
      </c>
      <c r="J3" s="24">
        <f t="shared" si="0"/>
        <v>8263453.0440472765</v>
      </c>
      <c r="K3" s="24">
        <v>29262</v>
      </c>
      <c r="L3" s="24">
        <f t="shared" ref="L3:L6" si="1">J3/K3</f>
        <v>282.3953606741602</v>
      </c>
      <c r="M3" s="24">
        <v>50</v>
      </c>
    </row>
    <row r="4" spans="1:13" x14ac:dyDescent="0.3">
      <c r="A4" s="24" t="s">
        <v>52</v>
      </c>
      <c r="B4" s="24">
        <v>95562.640830078599</v>
      </c>
      <c r="C4" s="24">
        <v>730606.15860891738</v>
      </c>
      <c r="D4" s="24">
        <f>27*Table717218[[#This Row],[Duct Length]]/50</f>
        <v>51603.826048242438</v>
      </c>
      <c r="E4" s="24">
        <f>0.3*Table717218[[#This Row],[Fiber Length]]/50</f>
        <v>4383.6369516535042</v>
      </c>
      <c r="F4" s="24">
        <f>'FTTB WR-WDMPON 50 Mbps'!B$18</f>
        <v>3900</v>
      </c>
      <c r="G4" s="24">
        <f>'FTTB WR-WDMPON 50 Mbps'!C$18</f>
        <v>0</v>
      </c>
      <c r="H4" s="24">
        <f>'FTTB WR-WDMPON 50 Mbps'!D$18</f>
        <v>75000</v>
      </c>
      <c r="I4" s="24">
        <f>SUM(Table717218[[#This Row],[Duct Cost]:[Building E&amp;I Costs]])</f>
        <v>134887.46299989594</v>
      </c>
      <c r="J4" s="24">
        <f t="shared" si="0"/>
        <v>6744373.1499947971</v>
      </c>
      <c r="K4" s="24">
        <v>29262</v>
      </c>
      <c r="L4" s="24">
        <f t="shared" si="1"/>
        <v>230.48230298663103</v>
      </c>
      <c r="M4" s="24">
        <v>50</v>
      </c>
    </row>
    <row r="5" spans="1:13" x14ac:dyDescent="0.3">
      <c r="A5" s="24" t="s">
        <v>53</v>
      </c>
      <c r="B5" s="24">
        <v>95562.640830078599</v>
      </c>
      <c r="C5" s="24">
        <v>730606.15860891738</v>
      </c>
      <c r="D5" s="24">
        <f>27*Table717218[[#This Row],[Duct Length]]/50</f>
        <v>51603.826048242438</v>
      </c>
      <c r="E5" s="24">
        <f>0.3*Table717218[[#This Row],[Fiber Length]]/50</f>
        <v>4383.6369516535042</v>
      </c>
      <c r="F5" s="24">
        <f>'FTTH WR-WDMPON 100 Mbps'!B$18</f>
        <v>3900</v>
      </c>
      <c r="G5" s="24">
        <f>'FTTH WR-WDMPON 100 Mbps'!C$18</f>
        <v>130</v>
      </c>
      <c r="H5" s="24">
        <f>'FTTH WR-WDMPON 100 Mbps'!D$18</f>
        <v>210000</v>
      </c>
      <c r="I5" s="24">
        <f>SUM(Table717218[[#This Row],[Duct Cost]:[Building E&amp;I Costs]])</f>
        <v>270017.46299989591</v>
      </c>
      <c r="J5" s="24">
        <f t="shared" si="0"/>
        <v>13500873.149994796</v>
      </c>
      <c r="K5" s="24">
        <v>29262</v>
      </c>
      <c r="L5" s="24">
        <f t="shared" si="1"/>
        <v>461.37902911608217</v>
      </c>
      <c r="M5" s="24">
        <v>100</v>
      </c>
    </row>
    <row r="6" spans="1:13" x14ac:dyDescent="0.3">
      <c r="A6" s="24" t="s">
        <v>54</v>
      </c>
      <c r="B6" s="24">
        <v>154545.71095359759</v>
      </c>
      <c r="C6" s="24">
        <v>640729.49433380761</v>
      </c>
      <c r="D6" s="24">
        <f>27*Table717218[[#This Row],[Duct Length]]/50</f>
        <v>83454.683914942696</v>
      </c>
      <c r="E6" s="24">
        <f>0.3*Table717218[[#This Row],[Fiber Length]]/50</f>
        <v>3844.3769660028456</v>
      </c>
      <c r="F6" s="24">
        <f>'FTTH XGPON 100 Mbps'!B$20</f>
        <v>5940</v>
      </c>
      <c r="G6" s="24">
        <f>'FTTH XGPON 100 Mbps'!C$20</f>
        <v>1248</v>
      </c>
      <c r="H6" s="24">
        <f>'FTTH XGPON 100 Mbps'!D$20</f>
        <v>210000</v>
      </c>
      <c r="I6" s="24">
        <f>SUM(Table717218[[#This Row],[Duct Cost]:[Building E&amp;I Costs]])</f>
        <v>304487.06088094553</v>
      </c>
      <c r="J6" s="24">
        <f t="shared" si="0"/>
        <v>15224353.044047277</v>
      </c>
      <c r="K6" s="24">
        <v>29262</v>
      </c>
      <c r="L6" s="24">
        <f t="shared" si="1"/>
        <v>520.27725528150086</v>
      </c>
      <c r="M6" s="24">
        <v>100</v>
      </c>
    </row>
    <row r="7" spans="1:13" x14ac:dyDescent="0.3">
      <c r="A7" s="24" t="s">
        <v>67</v>
      </c>
      <c r="B7" s="24">
        <v>154545.71095359759</v>
      </c>
      <c r="C7" s="24">
        <v>942011.40945595957</v>
      </c>
      <c r="D7" s="24">
        <f>27*Table717218[[#This Row],[Duct Length]]/50</f>
        <v>83454.683914942696</v>
      </c>
      <c r="E7" s="24">
        <f>0.3*Table717218[[#This Row],[Fiber Length]]/50</f>
        <v>5652.0684567357575</v>
      </c>
      <c r="F7" s="24">
        <f>FTTCab_GPON_100!B$19</f>
        <v>2700</v>
      </c>
      <c r="G7" s="24">
        <f>FTTCab_GPON_100!C$19</f>
        <v>74640</v>
      </c>
      <c r="H7" s="24">
        <f>FTTCab_GPON_100!D$19</f>
        <v>0</v>
      </c>
      <c r="I7" s="24">
        <f>SUM(Table717218[[#This Row],[Duct Cost]:[Building E&amp;I Costs]])</f>
        <v>166446.75237167845</v>
      </c>
      <c r="J7" s="24">
        <f t="shared" si="0"/>
        <v>8322337.6185839223</v>
      </c>
      <c r="K7" s="24">
        <v>29262</v>
      </c>
      <c r="L7" s="24">
        <f>J7/K7</f>
        <v>284.40768295345231</v>
      </c>
      <c r="M7" s="24">
        <v>100</v>
      </c>
    </row>
    <row r="8" spans="1:13" x14ac:dyDescent="0.3">
      <c r="A8" s="24" t="s">
        <v>68</v>
      </c>
      <c r="B8" s="24">
        <v>154545.71095359759</v>
      </c>
      <c r="C8" s="24">
        <v>640729.49433380761</v>
      </c>
      <c r="D8" s="24">
        <f>27*Table717218[[#This Row],[Duct Length]]/50</f>
        <v>83454.683914942696</v>
      </c>
      <c r="E8" s="24">
        <f>0.3*Table717218[[#This Row],[Fiber Length]]/50</f>
        <v>3844.3769660028456</v>
      </c>
      <c r="F8" s="24">
        <f>FTTB_XGPON_100!B$19</f>
        <v>5940</v>
      </c>
      <c r="G8" s="24">
        <f>FTTB_XGPON_100!C$19</f>
        <v>3120</v>
      </c>
      <c r="H8" s="24">
        <f>FTTB_XGPON_100!D$19</f>
        <v>73155</v>
      </c>
      <c r="I8" s="24">
        <f>SUM(Table717218[[#This Row],[Duct Cost]:[Building E&amp;I Costs]])</f>
        <v>169514.06088094553</v>
      </c>
      <c r="J8" s="24">
        <f t="shared" si="0"/>
        <v>8475703.0440472774</v>
      </c>
      <c r="K8" s="24">
        <v>29262</v>
      </c>
      <c r="L8" s="24">
        <f>J8/K8</f>
        <v>289.64879516257525</v>
      </c>
      <c r="M8" s="24">
        <v>100</v>
      </c>
    </row>
    <row r="9" spans="1:13" x14ac:dyDescent="0.3">
      <c r="A9" s="24" t="s">
        <v>69</v>
      </c>
      <c r="B9" s="24">
        <v>95562.640830078599</v>
      </c>
      <c r="C9" s="24">
        <v>730606.15860891738</v>
      </c>
      <c r="D9" s="24">
        <f>27*Table717218[[#This Row],[Duct Length]]/50</f>
        <v>51603.826048242438</v>
      </c>
      <c r="E9" s="24">
        <f>0.3*Table717218[[#This Row],[Fiber Length]]/50</f>
        <v>4383.6369516535042</v>
      </c>
      <c r="F9" s="24">
        <f>FTTB_WRWDM_100!B$17</f>
        <v>31200</v>
      </c>
      <c r="G9" s="24">
        <f>FTTB_WRWDM_100!C$17</f>
        <v>1300</v>
      </c>
      <c r="H9" s="24">
        <f>FTTB_WRWDM_100!D$17</f>
        <v>75000</v>
      </c>
      <c r="I9" s="24">
        <f>SUM(Table717218[[#This Row],[Duct Cost]:[Building E&amp;I Costs]])</f>
        <v>163487.46299989594</v>
      </c>
      <c r="J9" s="24">
        <f t="shared" si="0"/>
        <v>8174373.1499947971</v>
      </c>
      <c r="K9" s="24">
        <v>29262</v>
      </c>
      <c r="L9" s="24">
        <f>J9/K9</f>
        <v>279.35114312059318</v>
      </c>
      <c r="M9" s="24">
        <v>100</v>
      </c>
    </row>
    <row r="10" spans="1:13" x14ac:dyDescent="0.3">
      <c r="A10" s="22" t="s">
        <v>70</v>
      </c>
      <c r="B10" s="16">
        <v>126641.78711580401</v>
      </c>
      <c r="C10" s="16">
        <v>629711.41851421306</v>
      </c>
      <c r="D10" s="24">
        <f>27*Table717218[[#This Row],[Duct Length]]/50</f>
        <v>68386.565042534159</v>
      </c>
      <c r="E10" s="24">
        <f>0.3*Table717218[[#This Row],[Fiber Length]]/50</f>
        <v>3778.2685110852781</v>
      </c>
      <c r="F10" s="24">
        <f>FTTCab_Hybridpon_25!B$19</f>
        <v>2000</v>
      </c>
      <c r="G10" s="24">
        <f>FTTCab_Hybridpon_25!C$19</f>
        <v>161650</v>
      </c>
      <c r="H10" s="24">
        <f>FTTCab_Hybridpon_25!D$19</f>
        <v>0</v>
      </c>
      <c r="I10" s="24">
        <f>SUM(Table717218[[#This Row],[Duct Cost]:[Building E&amp;I Costs]])</f>
        <v>235814.83355361945</v>
      </c>
      <c r="J10" s="24">
        <f t="shared" si="0"/>
        <v>11790741.677680973</v>
      </c>
      <c r="K10" s="24">
        <v>29262</v>
      </c>
      <c r="L10" s="24">
        <f t="shared" ref="L10:L14" si="2">J10/K10</f>
        <v>402.93697210310205</v>
      </c>
      <c r="M10" s="24">
        <v>25</v>
      </c>
    </row>
    <row r="11" spans="1:13" x14ac:dyDescent="0.3">
      <c r="A11" s="22" t="s">
        <v>71</v>
      </c>
      <c r="B11" s="16">
        <v>127537.82706687541</v>
      </c>
      <c r="C11" s="16">
        <v>610583.51516018598</v>
      </c>
      <c r="D11" s="24">
        <f>27*Table717218[[#This Row],[Duct Length]]/50</f>
        <v>68870.426616112716</v>
      </c>
      <c r="E11" s="24">
        <f>0.3*Table717218[[#This Row],[Fiber Length]]/50</f>
        <v>3663.5010909611156</v>
      </c>
      <c r="F11" s="24">
        <f>FTTB_Hybridpon_50!B$18</f>
        <v>4400</v>
      </c>
      <c r="G11" s="24">
        <f>FTTB_Hybridpon_50!C$18</f>
        <v>67100</v>
      </c>
      <c r="H11" s="24">
        <f>FTTB_Hybridpon_50!D$18</f>
        <v>25000</v>
      </c>
      <c r="I11" s="24">
        <f>SUM(Table717218[[#This Row],[Duct Cost]:[Building E&amp;I Costs]])</f>
        <v>169033.92770707383</v>
      </c>
      <c r="J11" s="24">
        <f t="shared" si="0"/>
        <v>8451696.3853536919</v>
      </c>
      <c r="K11" s="24">
        <v>29262</v>
      </c>
      <c r="L11" s="24">
        <f t="shared" si="2"/>
        <v>288.82839127037425</v>
      </c>
      <c r="M11" s="24">
        <v>50</v>
      </c>
    </row>
    <row r="12" spans="1:13" x14ac:dyDescent="0.3">
      <c r="A12" s="22" t="s">
        <v>72</v>
      </c>
      <c r="B12" s="16">
        <v>127537.82706687541</v>
      </c>
      <c r="C12" s="16">
        <v>1254363.515160186</v>
      </c>
      <c r="D12" s="24">
        <f>27*Table717218[[#This Row],[Duct Length]]/50</f>
        <v>68870.426616112716</v>
      </c>
      <c r="E12" s="24">
        <f>0.3*Table717218[[#This Row],[Fiber Length]]/50</f>
        <v>7526.1810909611158</v>
      </c>
      <c r="F12" s="24">
        <f>FTTH_Hybridpon_100!B$18</f>
        <v>8800</v>
      </c>
      <c r="G12" s="24">
        <f>FTTH_Hybridpon_100!C$18</f>
        <v>3050</v>
      </c>
      <c r="H12" s="24">
        <f>FTTH_Hybridpon_100!D$18</f>
        <v>210000</v>
      </c>
      <c r="I12" s="24">
        <f>SUM(Table717218[[#This Row],[Duct Cost]:[Building E&amp;I Costs]])</f>
        <v>298246.6077070738</v>
      </c>
      <c r="J12" s="24">
        <f t="shared" si="0"/>
        <v>14912330.38535369</v>
      </c>
      <c r="K12" s="24">
        <v>29262</v>
      </c>
      <c r="L12" s="24">
        <f t="shared" si="2"/>
        <v>509.61418855012266</v>
      </c>
      <c r="M12" s="24">
        <v>100</v>
      </c>
    </row>
    <row r="13" spans="1:13" x14ac:dyDescent="0.3">
      <c r="A13" s="22" t="s">
        <v>73</v>
      </c>
      <c r="B13" s="16">
        <v>126641.78711580401</v>
      </c>
      <c r="C13" s="16">
        <v>629711.41851421306</v>
      </c>
      <c r="D13" s="24">
        <f>27*Table717218[[#This Row],[Duct Length]]/50</f>
        <v>68386.565042534159</v>
      </c>
      <c r="E13" s="24">
        <f>0.3*Table717218[[#This Row],[Fiber Length]]/50</f>
        <v>3778.2685110852781</v>
      </c>
      <c r="F13" s="24">
        <f>FTTC_Hybridpon_100!B$19</f>
        <v>8000</v>
      </c>
      <c r="G13" s="24">
        <f>FTTC_Hybridpon_100!C$19</f>
        <v>170800</v>
      </c>
      <c r="H13" s="24">
        <f>FTTC_Hybridpon_100!D$19</f>
        <v>0</v>
      </c>
      <c r="I13" s="24">
        <f>SUM(Table717218[[#This Row],[Duct Cost]:[Building E&amp;I Costs]])</f>
        <v>250964.83355361945</v>
      </c>
      <c r="J13" s="24">
        <f t="shared" si="0"/>
        <v>12548241.677680973</v>
      </c>
      <c r="K13" s="24">
        <v>29262</v>
      </c>
      <c r="L13" s="24">
        <f t="shared" si="2"/>
        <v>428.82378776847014</v>
      </c>
      <c r="M13" s="24">
        <v>100</v>
      </c>
    </row>
    <row r="14" spans="1:13" x14ac:dyDescent="0.3">
      <c r="A14" s="15" t="s">
        <v>74</v>
      </c>
      <c r="B14" s="16">
        <v>127537.82706687541</v>
      </c>
      <c r="C14" s="16">
        <v>610583.51516018598</v>
      </c>
      <c r="D14" s="24">
        <f>27*Table717218[[#This Row],[Duct Length]]/50</f>
        <v>68870.426616112716</v>
      </c>
      <c r="E14" s="24">
        <f>0.3*Table717218[[#This Row],[Fiber Length]]/50</f>
        <v>3663.5010909611156</v>
      </c>
      <c r="F14" s="17">
        <f>FTTB_Hybridpon_100!B$18</f>
        <v>8800</v>
      </c>
      <c r="G14" s="17">
        <f>FTTB_Hybridpon_100!C$18</f>
        <v>3050</v>
      </c>
      <c r="H14" s="17">
        <f>FTTB_Hybridpon_100!D$18</f>
        <v>75000</v>
      </c>
      <c r="I14" s="24">
        <f>SUM(Table717218[[#This Row],[Duct Cost]:[Building E&amp;I Costs]])</f>
        <v>159383.92770707383</v>
      </c>
      <c r="J14" s="24">
        <f t="shared" si="0"/>
        <v>7969196.3853536919</v>
      </c>
      <c r="K14" s="24">
        <v>29262</v>
      </c>
      <c r="L14" s="17">
        <f t="shared" si="2"/>
        <v>272.33942947692202</v>
      </c>
      <c r="M14" s="17">
        <v>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8" zoomScale="70" zoomScaleNormal="70" workbookViewId="0">
      <selection activeCell="W38" sqref="W3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pane xSplit="4" ySplit="16" topLeftCell="E17" activePane="bottomRight" state="frozen"/>
      <selection pane="topRight" activeCell="E1" sqref="E1"/>
      <selection pane="bottomLeft" activeCell="A17" sqref="A17"/>
      <selection pane="bottomRight" activeCell="F9" sqref="F9"/>
    </sheetView>
  </sheetViews>
  <sheetFormatPr defaultRowHeight="14.4" x14ac:dyDescent="0.3"/>
  <cols>
    <col min="1" max="1" width="29.33203125" customWidth="1"/>
    <col min="2" max="2" width="38" customWidth="1"/>
    <col min="3" max="3" width="21.33203125" customWidth="1"/>
    <col min="4" max="4" width="21.33203125" style="21" customWidth="1"/>
    <col min="5" max="6" width="21.33203125" style="24" customWidth="1"/>
    <col min="7" max="7" width="22.5546875" customWidth="1"/>
    <col min="8" max="8" width="30.109375" customWidth="1"/>
    <col min="9" max="9" width="23.5546875" customWidth="1"/>
    <col min="10" max="10" width="20.44140625" customWidth="1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108</v>
      </c>
      <c r="F1" s="7" t="s">
        <v>121</v>
      </c>
      <c r="G1" s="7" t="s">
        <v>21</v>
      </c>
      <c r="H1" s="7" t="s">
        <v>81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23</v>
      </c>
      <c r="C2" s="4">
        <v>40</v>
      </c>
      <c r="D2" s="4">
        <f>3500/50</f>
        <v>70</v>
      </c>
      <c r="E2" s="4">
        <f>57600/4/50</f>
        <v>288</v>
      </c>
      <c r="F2" s="4">
        <f>2500/50</f>
        <v>50</v>
      </c>
      <c r="G2" s="4">
        <v>40</v>
      </c>
      <c r="H2" s="4">
        <f>Table2[[#This Row],[Cost per Unit (OASE)]]*Table2[[#This Row],[Quantity]]</f>
        <v>1600</v>
      </c>
      <c r="I2" s="4">
        <f>Table2[[#This Row],[Cost per Unit (Rokkas)]]*Table2[[#This Row],[Quantity]]</f>
        <v>2800</v>
      </c>
      <c r="J2" s="30">
        <f>Table2[[#This Row],[Cost per Unit (BSG)]]*Table2[[#This Row],[Quantity]]</f>
        <v>11520</v>
      </c>
      <c r="K2" s="33">
        <f>Table2[[#This Row],[Cost per Unit(Philipson)]]*Table2[[#This Row],[Quantity]]</f>
        <v>2000</v>
      </c>
    </row>
    <row r="3" spans="1:11" x14ac:dyDescent="0.3">
      <c r="A3" s="6" t="s">
        <v>27</v>
      </c>
      <c r="B3" s="6" t="s">
        <v>24</v>
      </c>
      <c r="C3" s="4">
        <v>4</v>
      </c>
      <c r="D3" s="4">
        <f>200/50</f>
        <v>4</v>
      </c>
      <c r="E3" s="4">
        <v>0</v>
      </c>
      <c r="F3" s="4">
        <v>0</v>
      </c>
      <c r="G3" s="4">
        <f>156*2</f>
        <v>312</v>
      </c>
      <c r="H3" s="4">
        <f>Table2[[#This Row],[Cost per Unit (OASE)]]*Table2[[#This Row],[Quantity]]</f>
        <v>1248</v>
      </c>
      <c r="I3" s="4">
        <f>Table2[[#This Row],[Cost per Unit (Rokkas)]]*Table2[[#This Row],[Quantity]]</f>
        <v>1248</v>
      </c>
      <c r="J3" s="30">
        <f>Table2[[#This Row],[Cost per Unit (BSG)]]*Table2[[#This Row],[Quantity]]</f>
        <v>0</v>
      </c>
      <c r="K3" s="33">
        <f>Table2[[#This Row],[Cost per Unit(Philipson)]]*Table2[[#This Row],[Quantity]]</f>
        <v>0</v>
      </c>
    </row>
    <row r="4" spans="1:11" x14ac:dyDescent="0.3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800</v>
      </c>
      <c r="H4" s="4">
        <f>Table2[[#This Row],[Cost per Unit (OASE)]]*Table2[[#This Row],[Quantity]]</f>
        <v>8.8888888888888893</v>
      </c>
      <c r="I4" s="4">
        <f>Table2[[#This Row],[Cost per Unit (Rokkas)]]*Table2[[#This Row],[Quantity]]</f>
        <v>0</v>
      </c>
      <c r="J4" s="30">
        <f>Table2[[#This Row],[Cost per Unit (BSG)]]*Table2[[#This Row],[Quantity]]</f>
        <v>0</v>
      </c>
      <c r="K4" s="33">
        <f>Table2[[#This Row],[Cost per Unit(Philipson)]]*Table2[[#This Row],[Quantity]]</f>
        <v>0</v>
      </c>
    </row>
    <row r="5" spans="1:11" x14ac:dyDescent="0.3">
      <c r="A5" s="6" t="s">
        <v>27</v>
      </c>
      <c r="B5" s="6" t="s">
        <v>26</v>
      </c>
      <c r="C5" s="4">
        <v>200</v>
      </c>
      <c r="D5" s="4">
        <f>150000/50</f>
        <v>3000</v>
      </c>
      <c r="E5" s="4">
        <f>5000/50</f>
        <v>100</v>
      </c>
      <c r="F5" s="4">
        <v>0</v>
      </c>
      <c r="G5" s="4">
        <v>1</v>
      </c>
      <c r="H5" s="4">
        <f>Table2[[#This Row],[Cost per Unit (OASE)]]*Table2[[#This Row],[Quantity]]</f>
        <v>200</v>
      </c>
      <c r="I5" s="4">
        <f>Table2[[#This Row],[Cost per Unit (Rokkas)]]*Table2[[#This Row],[Quantity]]</f>
        <v>3000</v>
      </c>
      <c r="J5" s="30">
        <f>Table2[[#This Row],[Cost per Unit (BSG)]]*Table2[[#This Row],[Quantity]]</f>
        <v>100</v>
      </c>
      <c r="K5" s="33">
        <f>Table2[[#This Row],[Cost per Unit(Philipson)]]*Table2[[#This Row],[Quantity]]</f>
        <v>0</v>
      </c>
    </row>
    <row r="6" spans="1:11" x14ac:dyDescent="0.3">
      <c r="A6" s="6" t="s">
        <v>28</v>
      </c>
      <c r="B6" s="6" t="s">
        <v>29</v>
      </c>
      <c r="C6" s="4">
        <v>1.8</v>
      </c>
      <c r="D6" s="4">
        <f>500/50</f>
        <v>10</v>
      </c>
      <c r="E6" s="4">
        <f>70/50</f>
        <v>1.4</v>
      </c>
      <c r="F6" s="4">
        <v>0</v>
      </c>
      <c r="G6" s="4">
        <f>156*2</f>
        <v>312</v>
      </c>
      <c r="H6" s="4">
        <f>Table2[[#This Row],[Cost per Unit (OASE)]]*Table2[[#This Row],[Quantity]]</f>
        <v>561.6</v>
      </c>
      <c r="I6" s="4">
        <f>Table2[[#This Row],[Cost per Unit (Rokkas)]]*Table2[[#This Row],[Quantity]]</f>
        <v>3120</v>
      </c>
      <c r="J6" s="30">
        <f>Table2[[#This Row],[Cost per Unit (BSG)]]*Table2[[#This Row],[Quantity]]</f>
        <v>436.79999999999995</v>
      </c>
      <c r="K6" s="33">
        <f>Table2[[#This Row],[Cost per Unit(Philipson)]]*Table2[[#This Row],[Quantity]]</f>
        <v>0</v>
      </c>
    </row>
    <row r="7" spans="1:11" x14ac:dyDescent="0.3">
      <c r="A7" s="6" t="s">
        <v>28</v>
      </c>
      <c r="B7" s="6" t="s">
        <v>24</v>
      </c>
      <c r="C7" s="4">
        <v>4</v>
      </c>
      <c r="D7" s="4">
        <f>200/50</f>
        <v>4</v>
      </c>
      <c r="E7" s="4">
        <v>0</v>
      </c>
      <c r="F7" s="4">
        <v>0</v>
      </c>
      <c r="G7" s="4">
        <f>156*2</f>
        <v>312</v>
      </c>
      <c r="H7" s="4">
        <f>Table2[[#This Row],[Cost per Unit (OASE)]]*Table2[[#This Row],[Quantity]]</f>
        <v>1248</v>
      </c>
      <c r="I7" s="4">
        <f>Table2[[#This Row],[Cost per Unit (Rokkas)]]*Table2[[#This Row],[Quantity]]</f>
        <v>1248</v>
      </c>
      <c r="J7" s="30">
        <f>Table2[[#This Row],[Cost per Unit (BSG)]]*Table2[[#This Row],[Quantity]]</f>
        <v>0</v>
      </c>
      <c r="K7" s="33">
        <f>Table2[[#This Row],[Cost per Unit(Philipson)]]*Table2[[#This Row],[Quantity]]</f>
        <v>0</v>
      </c>
    </row>
    <row r="8" spans="1:11" x14ac:dyDescent="0.3">
      <c r="A8" s="6" t="s">
        <v>30</v>
      </c>
      <c r="B8" s="6" t="s">
        <v>31</v>
      </c>
      <c r="C8" s="4">
        <v>1</v>
      </c>
      <c r="D8" s="4">
        <f>100/50</f>
        <v>2</v>
      </c>
      <c r="E8" s="4">
        <f>80/50</f>
        <v>1.6</v>
      </c>
      <c r="F8" s="4">
        <f>250/50</f>
        <v>5</v>
      </c>
      <c r="G8" s="4">
        <f>1244*2</f>
        <v>2488</v>
      </c>
      <c r="H8" s="4">
        <f>Table2[[#This Row],[Cost per Unit (OASE)]]*Table2[[#This Row],[Quantity]]</f>
        <v>2488</v>
      </c>
      <c r="I8" s="4">
        <f>Table2[[#This Row],[Cost per Unit (Rokkas)]]*Table2[[#This Row],[Quantity]]</f>
        <v>4976</v>
      </c>
      <c r="J8" s="30">
        <f>Table2[[#This Row],[Cost per Unit (BSG)]]*Table2[[#This Row],[Quantity]]</f>
        <v>3980.8</v>
      </c>
      <c r="K8" s="33">
        <f>Table2[[#This Row],[Cost per Unit(Philipson)]]*Table2[[#This Row],[Quantity]]</f>
        <v>12440</v>
      </c>
    </row>
    <row r="9" spans="1:11" x14ac:dyDescent="0.3">
      <c r="A9" s="6" t="s">
        <v>30</v>
      </c>
      <c r="B9" s="6" t="s">
        <v>127</v>
      </c>
      <c r="C9" s="4">
        <f>24+100</f>
        <v>124</v>
      </c>
      <c r="D9" s="4">
        <f>(15000)/50</f>
        <v>300</v>
      </c>
      <c r="E9" s="4">
        <f>(1200+13500)/50</f>
        <v>294</v>
      </c>
      <c r="F9" s="4">
        <f>11000/50</f>
        <v>220</v>
      </c>
      <c r="G9" s="4">
        <v>1244</v>
      </c>
      <c r="H9" s="4">
        <f>Table2[[#This Row],[Cost per Unit (OASE)]]*Table2[[#This Row],[Quantity]]</f>
        <v>154256</v>
      </c>
      <c r="I9" s="4">
        <f>Table2[[#This Row],[Cost per Unit (Rokkas)]]*Table2[[#This Row],[Quantity]]</f>
        <v>373200</v>
      </c>
      <c r="J9" s="30">
        <f>Table2[[#This Row],[Cost per Unit (BSG)]]*Table2[[#This Row],[Quantity]]</f>
        <v>365736</v>
      </c>
      <c r="K9" s="33">
        <f>Table2[[#This Row],[Cost per Unit(Philipson)]]*Table2[[#This Row],[Quantity]]</f>
        <v>273680</v>
      </c>
    </row>
    <row r="10" spans="1:11" x14ac:dyDescent="0.3">
      <c r="A10" s="6" t="s">
        <v>32</v>
      </c>
      <c r="B10" s="6" t="s">
        <v>11</v>
      </c>
      <c r="C10" s="4">
        <v>0</v>
      </c>
      <c r="D10" s="4">
        <v>0</v>
      </c>
      <c r="E10" s="4">
        <v>0</v>
      </c>
      <c r="F10" s="4">
        <v>0</v>
      </c>
      <c r="G10" s="4">
        <v>4877</v>
      </c>
      <c r="H10" s="4">
        <f>Table2[[#This Row],[Cost per Unit (OASE)]]*Table2[[#This Row],[Quantity]]</f>
        <v>0</v>
      </c>
      <c r="I10" s="4">
        <f>Table2[[#This Row],[Cost per Unit (Rokkas)]]*Table2[[#This Row],[Quantity]]</f>
        <v>0</v>
      </c>
      <c r="J10" s="30">
        <f>Table2[[#This Row],[Cost per Unit (BSG)]]*Table2[[#This Row],[Quantity]]</f>
        <v>0</v>
      </c>
      <c r="K10" s="33">
        <f>Table2[[#This Row],[Cost per Unit(Philipson)]]*Table2[[#This Row],[Quantity]]</f>
        <v>0</v>
      </c>
    </row>
    <row r="11" spans="1:11" x14ac:dyDescent="0.3">
      <c r="A11" s="6"/>
      <c r="B11" s="6"/>
      <c r="C11" s="4"/>
      <c r="D11" s="4"/>
      <c r="E11" s="4"/>
      <c r="F11" s="4"/>
      <c r="G11" s="4"/>
      <c r="H11" s="11"/>
    </row>
    <row r="17" spans="1:10" x14ac:dyDescent="0.3">
      <c r="A17" t="s">
        <v>84</v>
      </c>
      <c r="B17" t="s">
        <v>35</v>
      </c>
      <c r="C17" t="s">
        <v>36</v>
      </c>
      <c r="D17" t="s">
        <v>37</v>
      </c>
      <c r="E17" t="s">
        <v>34</v>
      </c>
    </row>
    <row r="18" spans="1:10" ht="15" thickBot="1" x14ac:dyDescent="0.35">
      <c r="A18" t="s">
        <v>85</v>
      </c>
      <c r="B18" s="9">
        <f>SUM(H2:H5)</f>
        <v>3056.8888888888887</v>
      </c>
      <c r="C18" s="9">
        <f>SUM(H6:H9)</f>
        <v>158553.60000000001</v>
      </c>
      <c r="D18" s="10">
        <f>SUM(H10:H11)</f>
        <v>0</v>
      </c>
      <c r="E18" s="5">
        <f>SUM(B18:D18)</f>
        <v>161610.48888888888</v>
      </c>
      <c r="F18" s="10"/>
    </row>
    <row r="19" spans="1:10" ht="15.6" thickTop="1" thickBot="1" x14ac:dyDescent="0.35">
      <c r="A19" t="s">
        <v>86</v>
      </c>
      <c r="B19">
        <f>SUM(I2:I5)</f>
        <v>7048</v>
      </c>
      <c r="C19">
        <f>SUM(I6:I9)</f>
        <v>382544</v>
      </c>
      <c r="D19" s="21">
        <f>SUM(I10)</f>
        <v>0</v>
      </c>
      <c r="E19" s="5">
        <f>SUM(B19:D19)</f>
        <v>389592</v>
      </c>
    </row>
    <row r="20" spans="1:10" ht="15.6" thickTop="1" thickBot="1" x14ac:dyDescent="0.35">
      <c r="A20" t="s">
        <v>110</v>
      </c>
      <c r="B20">
        <f>SUM(J$2:J$5)</f>
        <v>11620</v>
      </c>
      <c r="C20">
        <f>SUM(J6:J9)</f>
        <v>370153.6</v>
      </c>
      <c r="D20" s="21">
        <f>SUM(J10)</f>
        <v>0</v>
      </c>
      <c r="E20" s="5">
        <f>SUM(B20:D20)</f>
        <v>381773.6</v>
      </c>
    </row>
    <row r="21" spans="1:10" ht="15.6" thickTop="1" thickBot="1" x14ac:dyDescent="0.35">
      <c r="A21" t="s">
        <v>6</v>
      </c>
      <c r="B21">
        <f>SUM(K2:K5)</f>
        <v>2000</v>
      </c>
      <c r="C21">
        <f>SUM(K6:K9)</f>
        <v>286120</v>
      </c>
      <c r="D21" s="21">
        <f>SUM(K10)</f>
        <v>0</v>
      </c>
      <c r="E21" s="5">
        <f>SUM(B21:D21)</f>
        <v>288120</v>
      </c>
    </row>
    <row r="22" spans="1:10" ht="15" thickTop="1" x14ac:dyDescent="0.3"/>
    <row r="32" spans="1:10" x14ac:dyDescent="0.3">
      <c r="H32">
        <v>112</v>
      </c>
      <c r="I32">
        <v>900</v>
      </c>
      <c r="J32">
        <v>294</v>
      </c>
    </row>
  </sheetData>
  <pageMargins left="0.7" right="0.7" top="0.75" bottom="0.75" header="0.3" footer="0.3"/>
  <pageSetup paperSize="9" orientation="portrait" r:id="rId1"/>
  <ignoredErrors>
    <ignoredError sqref="D4" calculatedColumn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F8" sqref="F8"/>
    </sheetView>
  </sheetViews>
  <sheetFormatPr defaultRowHeight="14.4" x14ac:dyDescent="0.3"/>
  <cols>
    <col min="1" max="1" width="29.33203125" customWidth="1"/>
    <col min="2" max="2" width="38" customWidth="1"/>
    <col min="3" max="3" width="21.33203125" customWidth="1"/>
    <col min="4" max="4" width="21.33203125" style="21" customWidth="1"/>
    <col min="5" max="6" width="21.33203125" style="24" customWidth="1"/>
    <col min="7" max="7" width="18" customWidth="1"/>
    <col min="8" max="8" width="17.88671875" customWidth="1"/>
    <col min="9" max="9" width="15.109375" customWidth="1"/>
    <col min="10" max="10" width="15.6640625" customWidth="1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38</v>
      </c>
      <c r="C2" s="4">
        <v>80</v>
      </c>
      <c r="D2" s="4">
        <f>7000/50</f>
        <v>140</v>
      </c>
      <c r="E2" s="4">
        <f>60000/4/50</f>
        <v>300</v>
      </c>
      <c r="F2" s="4">
        <v>55</v>
      </c>
      <c r="G2" s="4">
        <v>54</v>
      </c>
      <c r="H2" s="4">
        <f>Table24[[#This Row],[Cost per Unit (OASE)]]*Table24[[#This Row],[Quantity]]</f>
        <v>4320</v>
      </c>
      <c r="I2" s="12">
        <f>Table24[[#This Row],[Cost per Unit (Rokkas)]]*Table24[[#This Row],[Quantity]]</f>
        <v>7560</v>
      </c>
      <c r="J2" s="12">
        <f>Table24[[#This Row],[Cost per Unit(BSG)]]*Table24[[#This Row],[Quantity]]</f>
        <v>16200</v>
      </c>
      <c r="K2" s="35">
        <f>Table24[[#This Row],[Cost per Unit(Phillipson)]]*Table24[[#This Row],[Quantity]]</f>
        <v>2970</v>
      </c>
    </row>
    <row r="3" spans="1:11" x14ac:dyDescent="0.3">
      <c r="A3" s="6" t="s">
        <v>27</v>
      </c>
      <c r="B3" s="6" t="s">
        <v>39</v>
      </c>
      <c r="C3" s="4">
        <v>12</v>
      </c>
      <c r="D3" s="4">
        <v>4</v>
      </c>
      <c r="E3" s="4">
        <v>0</v>
      </c>
      <c r="F3" s="4">
        <v>0</v>
      </c>
      <c r="G3" s="4">
        <f>156</f>
        <v>156</v>
      </c>
      <c r="H3" s="4">
        <f>Table24[[#This Row],[Cost per Unit (OASE)]]*Table24[[#This Row],[Quantity]]</f>
        <v>1872</v>
      </c>
      <c r="I3" s="12">
        <f>Table24[[#This Row],[Cost per Unit (Rokkas)]]*Table24[[#This Row],[Quantity]]</f>
        <v>624</v>
      </c>
      <c r="J3" s="12">
        <f>Table24[[#This Row],[Cost per Unit(BSG)]]*Table24[[#This Row],[Quantity]]</f>
        <v>0</v>
      </c>
      <c r="K3" s="35">
        <f>Table24[[#This Row],[Cost per Unit(Phillipson)]]*Table24[[#This Row],[Quantity]]</f>
        <v>0</v>
      </c>
    </row>
    <row r="4" spans="1:11" x14ac:dyDescent="0.3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1200</v>
      </c>
      <c r="H4" s="4">
        <f>Table24[[#This Row],[Cost per Unit (OASE)]]*Table24[[#This Row],[Quantity]]</f>
        <v>13.333333333333334</v>
      </c>
      <c r="I4" s="12">
        <f>Table24[[#This Row],[Cost per Unit (Rokkas)]]*Table24[[#This Row],[Quantity]]</f>
        <v>0</v>
      </c>
      <c r="J4" s="12">
        <f>Table24[[#This Row],[Cost per Unit(BSG)]]*Table24[[#This Row],[Quantity]]</f>
        <v>0</v>
      </c>
      <c r="K4" s="35">
        <f>Table24[[#This Row],[Cost per Unit(Phillipson)]]*Table24[[#This Row],[Quantity]]</f>
        <v>0</v>
      </c>
    </row>
    <row r="5" spans="1:11" x14ac:dyDescent="0.3">
      <c r="A5" s="6" t="s">
        <v>27</v>
      </c>
      <c r="B5" s="6" t="s">
        <v>26</v>
      </c>
      <c r="C5" s="4">
        <v>200</v>
      </c>
      <c r="D5" s="4">
        <v>3000</v>
      </c>
      <c r="E5" s="4">
        <v>100</v>
      </c>
      <c r="F5" s="4">
        <v>0</v>
      </c>
      <c r="G5" s="4">
        <v>1</v>
      </c>
      <c r="H5" s="4">
        <f>Table24[[#This Row],[Cost per Unit (OASE)]]*Table24[[#This Row],[Quantity]]</f>
        <v>200</v>
      </c>
      <c r="I5" s="12">
        <f>Table24[[#This Row],[Cost per Unit (Rokkas)]]*Table24[[#This Row],[Quantity]]</f>
        <v>3000</v>
      </c>
      <c r="J5" s="12">
        <f>Table24[[#This Row],[Cost per Unit(BSG)]]*Table24[[#This Row],[Quantity]]</f>
        <v>100</v>
      </c>
      <c r="K5" s="35">
        <f>Table24[[#This Row],[Cost per Unit(Phillipson)]]*Table24[[#This Row],[Quantity]]</f>
        <v>0</v>
      </c>
    </row>
    <row r="6" spans="1:11" x14ac:dyDescent="0.3">
      <c r="A6" s="6" t="s">
        <v>28</v>
      </c>
      <c r="B6" s="6" t="s">
        <v>29</v>
      </c>
      <c r="C6" s="4">
        <v>1.8</v>
      </c>
      <c r="D6" s="4">
        <v>10</v>
      </c>
      <c r="E6" s="4">
        <f>70/50</f>
        <v>1.4</v>
      </c>
      <c r="F6" s="4">
        <v>0</v>
      </c>
      <c r="G6" s="4">
        <f>156</f>
        <v>156</v>
      </c>
      <c r="H6" s="4">
        <f>Table24[[#This Row],[Cost per Unit (OASE)]]*Table24[[#This Row],[Quantity]]</f>
        <v>280.8</v>
      </c>
      <c r="I6" s="12">
        <f>Table24[[#This Row],[Cost per Unit (Rokkas)]]*Table24[[#This Row],[Quantity]]</f>
        <v>1560</v>
      </c>
      <c r="J6" s="12">
        <f>Table24[[#This Row],[Cost per Unit(BSG)]]*Table24[[#This Row],[Quantity]]</f>
        <v>218.39999999999998</v>
      </c>
      <c r="K6" s="35">
        <f>Table24[[#This Row],[Cost per Unit(Phillipson)]]*Table24[[#This Row],[Quantity]]</f>
        <v>0</v>
      </c>
    </row>
    <row r="7" spans="1:11" x14ac:dyDescent="0.3">
      <c r="A7" s="6" t="s">
        <v>28</v>
      </c>
      <c r="B7" s="6" t="s">
        <v>39</v>
      </c>
      <c r="C7" s="4">
        <v>12</v>
      </c>
      <c r="D7" s="4">
        <v>4</v>
      </c>
      <c r="E7" s="4">
        <v>0</v>
      </c>
      <c r="F7" s="4">
        <v>0</v>
      </c>
      <c r="G7" s="4">
        <v>156</v>
      </c>
      <c r="H7" s="4">
        <f>Table24[[#This Row],[Cost per Unit (OASE)]]*Table24[[#This Row],[Quantity]]</f>
        <v>1872</v>
      </c>
      <c r="I7" s="12">
        <f>Table24[[#This Row],[Cost per Unit (Rokkas)]]*Table24[[#This Row],[Quantity]]</f>
        <v>624</v>
      </c>
      <c r="J7" s="12">
        <f>Table24[[#This Row],[Cost per Unit(BSG)]]*Table24[[#This Row],[Quantity]]</f>
        <v>0</v>
      </c>
      <c r="K7" s="35">
        <f>Table24[[#This Row],[Cost per Unit(Phillipson)]]*Table24[[#This Row],[Quantity]]</f>
        <v>0</v>
      </c>
    </row>
    <row r="8" spans="1:11" x14ac:dyDescent="0.3">
      <c r="A8" s="6" t="s">
        <v>30</v>
      </c>
      <c r="B8" s="6" t="s">
        <v>29</v>
      </c>
      <c r="C8" s="4">
        <v>1.8</v>
      </c>
      <c r="D8" s="4">
        <v>10</v>
      </c>
      <c r="E8" s="4">
        <f>80/50</f>
        <v>1.6</v>
      </c>
      <c r="F8" s="4">
        <v>0</v>
      </c>
      <c r="G8" s="4">
        <v>610</v>
      </c>
      <c r="H8" s="4">
        <f>Table24[[#This Row],[Cost per Unit (OASE)]]*Table24[[#This Row],[Quantity]]</f>
        <v>1098</v>
      </c>
      <c r="I8" s="12">
        <f>Table24[[#This Row],[Cost per Unit (Rokkas)]]*Table24[[#This Row],[Quantity]]</f>
        <v>6100</v>
      </c>
      <c r="J8" s="12">
        <f>Table24[[#This Row],[Cost per Unit(BSG)]]*Table24[[#This Row],[Quantity]]</f>
        <v>976</v>
      </c>
      <c r="K8" s="35">
        <f>Table24[[#This Row],[Cost per Unit(Phillipson)]]*Table24[[#This Row],[Quantity]]</f>
        <v>0</v>
      </c>
    </row>
    <row r="9" spans="1:11" x14ac:dyDescent="0.3">
      <c r="A9" s="6" t="s">
        <v>32</v>
      </c>
      <c r="B9" s="6" t="s">
        <v>33</v>
      </c>
      <c r="C9" s="4">
        <f>10</f>
        <v>10</v>
      </c>
      <c r="D9" s="4">
        <v>10</v>
      </c>
      <c r="E9" s="4">
        <f>1200/50</f>
        <v>24</v>
      </c>
      <c r="F9" s="4">
        <v>10</v>
      </c>
      <c r="G9" s="4">
        <v>5000</v>
      </c>
      <c r="H9" s="4">
        <f>Table24[[#This Row],[Cost per Unit (OASE)]]*Table24[[#This Row],[Quantity]]</f>
        <v>50000</v>
      </c>
      <c r="I9" s="12">
        <f>Table24[[#This Row],[Cost per Unit (Rokkas)]]*Table24[[#This Row],[Quantity]]</f>
        <v>50000</v>
      </c>
      <c r="J9" s="12">
        <f>Table24[[#This Row],[Cost per Unit(BSG)]]*Table24[[#This Row],[Quantity]]</f>
        <v>120000</v>
      </c>
      <c r="K9" s="35">
        <f>Table24[[#This Row],[Cost per Unit(Phillipson)]]*Table24[[#This Row],[Quantity]]</f>
        <v>50000</v>
      </c>
    </row>
    <row r="10" spans="1:11" x14ac:dyDescent="0.3">
      <c r="A10" s="6" t="s">
        <v>32</v>
      </c>
      <c r="B10" s="6" t="s">
        <v>40</v>
      </c>
      <c r="C10" s="4">
        <v>2.1</v>
      </c>
      <c r="D10" s="4">
        <v>4</v>
      </c>
      <c r="E10" s="4">
        <f>80/50</f>
        <v>1.6</v>
      </c>
      <c r="F10" s="4">
        <v>5</v>
      </c>
      <c r="G10" s="4">
        <v>5000</v>
      </c>
      <c r="H10" s="11">
        <f>Table24[[#This Row],[Cost per Unit (OASE)]]*Table24[[#This Row],[Quantity]]</f>
        <v>10500</v>
      </c>
      <c r="I10" s="12">
        <f>Table24[[#This Row],[Cost per Unit (Rokkas)]]*Table24[[#This Row],[Quantity]]</f>
        <v>20000</v>
      </c>
      <c r="J10" s="12">
        <f>Table24[[#This Row],[Cost per Unit(BSG)]]*Table24[[#This Row],[Quantity]]</f>
        <v>8000</v>
      </c>
      <c r="K10" s="35">
        <f>Table24[[#This Row],[Cost per Unit(Phillipson)]]*Table24[[#This Row],[Quantity]]</f>
        <v>25000</v>
      </c>
    </row>
    <row r="11" spans="1:11" x14ac:dyDescent="0.3">
      <c r="A11" s="6"/>
      <c r="B11" s="6"/>
      <c r="C11" s="4"/>
      <c r="D11" s="4"/>
      <c r="E11" s="4"/>
      <c r="F11" s="4"/>
      <c r="G11" s="4"/>
      <c r="H11" s="8"/>
      <c r="I11" s="12"/>
    </row>
    <row r="16" spans="1:11" x14ac:dyDescent="0.3">
      <c r="A16" t="s">
        <v>49</v>
      </c>
      <c r="B16" t="s">
        <v>35</v>
      </c>
      <c r="C16" t="s">
        <v>36</v>
      </c>
      <c r="D16" t="s">
        <v>37</v>
      </c>
      <c r="E16" t="s">
        <v>34</v>
      </c>
      <c r="G16" s="21"/>
    </row>
    <row r="17" spans="1:7" ht="15" thickBot="1" x14ac:dyDescent="0.35">
      <c r="A17" t="s">
        <v>85</v>
      </c>
      <c r="B17" s="9">
        <f>SUM(H2:H5)</f>
        <v>6405.333333333333</v>
      </c>
      <c r="C17" s="9">
        <f>SUM(H6:H8)</f>
        <v>3250.8</v>
      </c>
      <c r="D17" s="10">
        <f>SUM(H9:H11)</f>
        <v>60500</v>
      </c>
      <c r="E17" s="5">
        <f>SUM(B17:D17)</f>
        <v>70156.133333333331</v>
      </c>
      <c r="F17" s="5"/>
      <c r="G17" s="10"/>
    </row>
    <row r="18" spans="1:7" ht="15.6" thickTop="1" thickBot="1" x14ac:dyDescent="0.35">
      <c r="A18" t="s">
        <v>86</v>
      </c>
      <c r="B18">
        <f>SUM(I2:I5)</f>
        <v>11184</v>
      </c>
      <c r="C18">
        <f>SUM(I6:I8)</f>
        <v>8284</v>
      </c>
      <c r="D18" s="21">
        <f>SUM(I9:I10)</f>
        <v>70000</v>
      </c>
      <c r="E18" s="5">
        <f>SUM(B18:D18)</f>
        <v>89468</v>
      </c>
      <c r="F18" s="5"/>
    </row>
    <row r="19" spans="1:7" ht="15.6" thickTop="1" thickBot="1" x14ac:dyDescent="0.35">
      <c r="A19" t="s">
        <v>110</v>
      </c>
      <c r="B19">
        <f>SUM(J$2:J$5)</f>
        <v>16300</v>
      </c>
      <c r="C19">
        <f>SUM(J6:J8)</f>
        <v>1194.4000000000001</v>
      </c>
      <c r="D19" s="21">
        <f>SUM(J9:J10)</f>
        <v>128000</v>
      </c>
      <c r="E19" s="5">
        <f>SUM(B19:D19)</f>
        <v>145494.39999999999</v>
      </c>
      <c r="F19" s="5"/>
    </row>
    <row r="20" spans="1:7" ht="15.6" thickTop="1" thickBot="1" x14ac:dyDescent="0.35">
      <c r="A20" t="s">
        <v>6</v>
      </c>
      <c r="B20" s="24">
        <f>SUM(K$2:K$5)</f>
        <v>2970</v>
      </c>
      <c r="C20">
        <f>SUM(K6:K8)</f>
        <v>0</v>
      </c>
      <c r="D20" s="21">
        <f>SUM(K9:K10)</f>
        <v>75000</v>
      </c>
      <c r="E20" s="5">
        <f>SUM(B20:D20)</f>
        <v>77970</v>
      </c>
    </row>
    <row r="21" spans="1:7" ht="15" thickTop="1" x14ac:dyDescent="0.3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F10" sqref="F10"/>
    </sheetView>
  </sheetViews>
  <sheetFormatPr defaultRowHeight="14.4" x14ac:dyDescent="0.3"/>
  <cols>
    <col min="1" max="1" width="29.33203125" customWidth="1"/>
    <col min="2" max="2" width="38" customWidth="1"/>
    <col min="3" max="3" width="21.33203125" customWidth="1"/>
    <col min="4" max="4" width="21.33203125" style="21" customWidth="1"/>
    <col min="5" max="6" width="21.33203125" style="24" customWidth="1"/>
    <col min="7" max="7" width="18" customWidth="1"/>
    <col min="8" max="8" width="17.88671875" customWidth="1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87</v>
      </c>
      <c r="E1" s="7" t="s">
        <v>111</v>
      </c>
      <c r="F1" s="7" t="s">
        <v>123</v>
      </c>
      <c r="G1" s="7" t="s">
        <v>21</v>
      </c>
      <c r="H1" s="7" t="s">
        <v>81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41</v>
      </c>
      <c r="C2" s="4">
        <v>16</v>
      </c>
      <c r="D2" s="4">
        <v>0</v>
      </c>
      <c r="E2" s="4">
        <v>0</v>
      </c>
      <c r="F2" s="4">
        <v>0</v>
      </c>
      <c r="G2" s="4">
        <v>3</v>
      </c>
      <c r="H2" s="4">
        <f>Table245[[#This Row],[Cost per Unit (OASE)]]*Table245[[#This Row],[Quantity]]</f>
        <v>48</v>
      </c>
      <c r="I2" s="12">
        <f>Table245[[#This Row],[Cost per Unit(Rokkas)]]*Table245[[#This Row],[Quantity]]</f>
        <v>0</v>
      </c>
      <c r="J2" s="12">
        <f>Table245[[#This Row],[Cost per Unit(BSG)]]*Table245[[#This Row],[Quantity]]</f>
        <v>0</v>
      </c>
      <c r="K2" s="35">
        <f>Table245[[#This Row],[Cost per Unit(Phillipson)]]*Table245[[#This Row],[Quantity]]</f>
        <v>0</v>
      </c>
    </row>
    <row r="3" spans="1:11" x14ac:dyDescent="0.3">
      <c r="A3" s="6" t="s">
        <v>27</v>
      </c>
      <c r="B3" s="6" t="s">
        <v>42</v>
      </c>
      <c r="C3" s="4">
        <v>8.8000000000000007</v>
      </c>
      <c r="D3" s="4">
        <f>10000/50</f>
        <v>200</v>
      </c>
      <c r="E3" s="4">
        <v>350</v>
      </c>
      <c r="F3" s="4">
        <v>60</v>
      </c>
      <c r="G3" s="4">
        <v>65</v>
      </c>
      <c r="H3" s="4">
        <f>Table245[[#This Row],[Cost per Unit (OASE)]]*Table245[[#This Row],[Quantity]]</f>
        <v>572</v>
      </c>
      <c r="I3" s="12">
        <f>Table245[[#This Row],[Cost per Unit(Rokkas)]]*Table245[[#This Row],[Quantity]]</f>
        <v>13000</v>
      </c>
      <c r="J3" s="12">
        <f>Table245[[#This Row],[Cost per Unit(BSG)]]*Table245[[#This Row],[Quantity]]</f>
        <v>22750</v>
      </c>
      <c r="K3" s="35">
        <f>Table245[[#This Row],[Cost per Unit(Phillipson)]]*Table245[[#This Row],[Quantity]]</f>
        <v>3900</v>
      </c>
    </row>
    <row r="4" spans="1:11" x14ac:dyDescent="0.3">
      <c r="A4" s="6" t="s">
        <v>27</v>
      </c>
      <c r="B4" s="6" t="s">
        <v>43</v>
      </c>
      <c r="C4" s="4">
        <v>63</v>
      </c>
      <c r="D4" s="4">
        <v>0</v>
      </c>
      <c r="E4" s="4">
        <v>0</v>
      </c>
      <c r="F4" s="4">
        <v>0</v>
      </c>
      <c r="G4" s="4">
        <v>65</v>
      </c>
      <c r="H4" s="4">
        <f>Table245[[#This Row],[Cost per Unit (OASE)]]*Table245[[#This Row],[Quantity]]</f>
        <v>4095</v>
      </c>
      <c r="I4" s="12">
        <f>Table245[[#This Row],[Cost per Unit(Rokkas)]]*Table245[[#This Row],[Quantity]]</f>
        <v>0</v>
      </c>
      <c r="J4" s="12">
        <f>Table245[[#This Row],[Cost per Unit(BSG)]]*Table245[[#This Row],[Quantity]]</f>
        <v>0</v>
      </c>
      <c r="K4" s="35">
        <f>Table245[[#This Row],[Cost per Unit(Phillipson)]]*Table245[[#This Row],[Quantity]]</f>
        <v>0</v>
      </c>
    </row>
    <row r="5" spans="1:11" x14ac:dyDescent="0.3">
      <c r="A5" s="6" t="s">
        <v>27</v>
      </c>
      <c r="B5" s="6" t="s">
        <v>44</v>
      </c>
      <c r="C5" s="4">
        <v>2.2999999999999998</v>
      </c>
      <c r="D5" s="4">
        <v>0</v>
      </c>
      <c r="E5" s="4">
        <v>0</v>
      </c>
      <c r="F5" s="4">
        <v>0</v>
      </c>
      <c r="G5" s="4">
        <v>65</v>
      </c>
      <c r="H5" s="4">
        <f>Table245[[#This Row],[Cost per Unit (OASE)]]*Table245[[#This Row],[Quantity]]</f>
        <v>149.5</v>
      </c>
      <c r="I5" s="12">
        <f>Table245[[#This Row],[Cost per Unit(Rokkas)]]*Table245[[#This Row],[Quantity]]</f>
        <v>0</v>
      </c>
      <c r="J5" s="12">
        <f>Table245[[#This Row],[Cost per Unit(BSG)]]*Table245[[#This Row],[Quantity]]</f>
        <v>0</v>
      </c>
      <c r="K5" s="35">
        <f>Table245[[#This Row],[Cost per Unit(Phillipson)]]*Table245[[#This Row],[Quantity]]</f>
        <v>0</v>
      </c>
    </row>
    <row r="6" spans="1:11" x14ac:dyDescent="0.3">
      <c r="A6" s="6" t="s">
        <v>27</v>
      </c>
      <c r="B6" s="6" t="s">
        <v>45</v>
      </c>
      <c r="C6" s="4">
        <f>0.1/4.5</f>
        <v>2.2222222222222223E-2</v>
      </c>
      <c r="D6" s="4">
        <v>0</v>
      </c>
      <c r="E6" s="4">
        <v>0</v>
      </c>
      <c r="F6" s="4">
        <v>0</v>
      </c>
      <c r="G6" s="4">
        <v>1560</v>
      </c>
      <c r="H6" s="4">
        <f>Table245[[#This Row],[Cost per Unit (OASE)]]*Table245[[#This Row],[Quantity]]</f>
        <v>34.666666666666671</v>
      </c>
      <c r="I6" s="12">
        <f>Table245[[#This Row],[Cost per Unit(Rokkas)]]*Table245[[#This Row],[Quantity]]</f>
        <v>0</v>
      </c>
      <c r="J6" s="12">
        <f>Table245[[#This Row],[Cost per Unit(BSG)]]*Table245[[#This Row],[Quantity]]</f>
        <v>0</v>
      </c>
      <c r="K6" s="35">
        <f>Table245[[#This Row],[Cost per Unit(Phillipson)]]*Table245[[#This Row],[Quantity]]</f>
        <v>0</v>
      </c>
    </row>
    <row r="7" spans="1:11" x14ac:dyDescent="0.3">
      <c r="A7" s="6" t="s">
        <v>27</v>
      </c>
      <c r="B7" s="6" t="s">
        <v>46</v>
      </c>
      <c r="C7" s="4">
        <v>400</v>
      </c>
      <c r="D7" s="4">
        <v>3000</v>
      </c>
      <c r="E7" s="4">
        <v>200</v>
      </c>
      <c r="F7" s="4">
        <v>0</v>
      </c>
      <c r="G7" s="4">
        <v>1</v>
      </c>
      <c r="H7" s="4">
        <f>Table245[[#This Row],[Cost per Unit (OASE)]]*Table245[[#This Row],[Quantity]]</f>
        <v>400</v>
      </c>
      <c r="I7" s="12">
        <f>Table245[[#This Row],[Cost per Unit(Rokkas)]]*Table245[[#This Row],[Quantity]]</f>
        <v>3000</v>
      </c>
      <c r="J7" s="12">
        <f>Table245[[#This Row],[Cost per Unit(BSG)]]*Table245[[#This Row],[Quantity]]</f>
        <v>200</v>
      </c>
      <c r="K7" s="35">
        <f>Table245[[#This Row],[Cost per Unit(Phillipson)]]*Table245[[#This Row],[Quantity]]</f>
        <v>0</v>
      </c>
    </row>
    <row r="8" spans="1:11" x14ac:dyDescent="0.3">
      <c r="A8" s="6" t="s">
        <v>28</v>
      </c>
      <c r="B8" s="6" t="s">
        <v>47</v>
      </c>
      <c r="C8" s="4">
        <f>80*0.3</f>
        <v>24</v>
      </c>
      <c r="D8" s="4">
        <f>200/50</f>
        <v>4</v>
      </c>
      <c r="E8" s="4">
        <v>2</v>
      </c>
      <c r="F8" s="4">
        <v>0</v>
      </c>
      <c r="G8" s="4">
        <v>65</v>
      </c>
      <c r="H8" s="4">
        <f>Table245[[#This Row],[Cost per Unit (OASE)]]*Table245[[#This Row],[Quantity]]</f>
        <v>1560</v>
      </c>
      <c r="I8" s="12">
        <f>Table245[[#This Row],[Cost per Unit(Rokkas)]]*Table245[[#This Row],[Quantity]]</f>
        <v>260</v>
      </c>
      <c r="J8" s="12">
        <f>Table245[[#This Row],[Cost per Unit(BSG)]]*Table245[[#This Row],[Quantity]]</f>
        <v>130</v>
      </c>
      <c r="K8" s="35">
        <f>Table245[[#This Row],[Cost per Unit(Phillipson)]]*Table245[[#This Row],[Quantity]]</f>
        <v>0</v>
      </c>
    </row>
    <row r="9" spans="1:11" x14ac:dyDescent="0.3">
      <c r="A9" s="6" t="s">
        <v>32</v>
      </c>
      <c r="B9" s="6" t="s">
        <v>33</v>
      </c>
      <c r="C9" s="4">
        <v>10</v>
      </c>
      <c r="D9" s="4">
        <v>10</v>
      </c>
      <c r="E9" s="4">
        <v>24</v>
      </c>
      <c r="F9" s="4">
        <v>10</v>
      </c>
      <c r="G9" s="4">
        <v>5000</v>
      </c>
      <c r="H9" s="4">
        <f>Table245[[#This Row],[Cost per Unit (OASE)]]*Table245[[#This Row],[Quantity]]</f>
        <v>50000</v>
      </c>
      <c r="I9" s="12">
        <f>Table245[[#This Row],[Cost per Unit(Rokkas)]]*Table245[[#This Row],[Quantity]]</f>
        <v>50000</v>
      </c>
      <c r="J9" s="12">
        <f>Table245[[#This Row],[Cost per Unit(BSG)]]*Table245[[#This Row],[Quantity]]</f>
        <v>120000</v>
      </c>
      <c r="K9" s="35">
        <f>Table245[[#This Row],[Cost per Unit(Phillipson)]]*Table245[[#This Row],[Quantity]]</f>
        <v>50000</v>
      </c>
    </row>
    <row r="10" spans="1:11" x14ac:dyDescent="0.3">
      <c r="A10" s="6" t="s">
        <v>32</v>
      </c>
      <c r="B10" s="6" t="s">
        <v>88</v>
      </c>
      <c r="C10" s="4">
        <v>1.86</v>
      </c>
      <c r="D10" s="4">
        <f>250/50</f>
        <v>5</v>
      </c>
      <c r="E10" s="4">
        <f>135/50</f>
        <v>2.7</v>
      </c>
      <c r="F10" s="4">
        <v>5</v>
      </c>
      <c r="G10" s="4">
        <v>5000</v>
      </c>
      <c r="H10" s="4">
        <f>Table245[[#This Row],[Cost per Unit (OASE)]]*Table245[[#This Row],[Quantity]]</f>
        <v>9300</v>
      </c>
      <c r="I10" s="12">
        <f>Table245[[#This Row],[Cost per Unit(Rokkas)]]*Table245[[#This Row],[Quantity]]</f>
        <v>25000</v>
      </c>
      <c r="J10" s="12">
        <f>Table245[[#This Row],[Cost per Unit(BSG)]]*Table245[[#This Row],[Quantity]]</f>
        <v>13500</v>
      </c>
      <c r="K10" s="35">
        <f>Table245[[#This Row],[Cost per Unit(Phillipson)]]*Table245[[#This Row],[Quantity]]</f>
        <v>25000</v>
      </c>
    </row>
    <row r="11" spans="1:11" x14ac:dyDescent="0.3">
      <c r="A11" s="6"/>
      <c r="B11" s="6"/>
      <c r="C11" s="4"/>
      <c r="D11" s="4"/>
      <c r="E11" s="4"/>
      <c r="F11" s="4"/>
      <c r="G11" s="4"/>
      <c r="H11" s="8"/>
      <c r="I11" s="8"/>
    </row>
    <row r="14" spans="1:11" x14ac:dyDescent="0.3">
      <c r="A14" t="s">
        <v>49</v>
      </c>
      <c r="B14" t="s">
        <v>35</v>
      </c>
      <c r="C14" t="s">
        <v>36</v>
      </c>
      <c r="D14" t="s">
        <v>37</v>
      </c>
      <c r="E14" t="s">
        <v>34</v>
      </c>
      <c r="G14" s="21"/>
    </row>
    <row r="15" spans="1:11" ht="15" thickBot="1" x14ac:dyDescent="0.35">
      <c r="A15" t="s">
        <v>85</v>
      </c>
      <c r="B15" s="9">
        <f>SUM(H2:H7)</f>
        <v>5299.166666666667</v>
      </c>
      <c r="C15" s="9">
        <f>SUM(H8:H8)</f>
        <v>1560</v>
      </c>
      <c r="D15" s="10">
        <f>SUM(H9:H11)</f>
        <v>59300</v>
      </c>
      <c r="E15" s="5">
        <f>SUM(B15:D15)</f>
        <v>66159.166666666672</v>
      </c>
      <c r="F15" s="5"/>
      <c r="G15" s="10"/>
    </row>
    <row r="16" spans="1:11" ht="15.6" thickTop="1" thickBot="1" x14ac:dyDescent="0.35">
      <c r="A16" t="s">
        <v>86</v>
      </c>
      <c r="B16">
        <f>SUM(I2:I7)</f>
        <v>16000</v>
      </c>
      <c r="C16">
        <f>SUM(I8)</f>
        <v>260</v>
      </c>
      <c r="D16" s="21">
        <f>SUM(I9:I10)</f>
        <v>75000</v>
      </c>
      <c r="E16" s="5">
        <f t="shared" ref="E16:E18" si="0">SUM(B16:D16)</f>
        <v>91260</v>
      </c>
      <c r="F16" s="5"/>
    </row>
    <row r="17" spans="1:6" ht="15.6" thickTop="1" thickBot="1" x14ac:dyDescent="0.35">
      <c r="A17" t="s">
        <v>110</v>
      </c>
      <c r="B17">
        <f>SUM(J2:J7)</f>
        <v>22950</v>
      </c>
      <c r="C17">
        <f>J8</f>
        <v>130</v>
      </c>
      <c r="D17" s="21">
        <f>SUM(J9:J10)</f>
        <v>133500</v>
      </c>
      <c r="E17" s="5">
        <f t="shared" si="0"/>
        <v>156580</v>
      </c>
      <c r="F17" s="5"/>
    </row>
    <row r="18" spans="1:6" ht="15.6" thickTop="1" thickBot="1" x14ac:dyDescent="0.35">
      <c r="A18" t="s">
        <v>6</v>
      </c>
      <c r="B18">
        <f>SUM(K2:K7)</f>
        <v>3900</v>
      </c>
      <c r="C18">
        <f>K8</f>
        <v>0</v>
      </c>
      <c r="D18" s="21">
        <f>SUM(K9:K10)</f>
        <v>75000</v>
      </c>
      <c r="E18" s="5">
        <f t="shared" si="0"/>
        <v>78900</v>
      </c>
    </row>
    <row r="19" spans="1:6" ht="15" thickTop="1" x14ac:dyDescent="0.3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F7" sqref="F7"/>
    </sheetView>
  </sheetViews>
  <sheetFormatPr defaultRowHeight="14.4" x14ac:dyDescent="0.3"/>
  <cols>
    <col min="1" max="1" width="25.5546875" customWidth="1"/>
    <col min="2" max="2" width="27.6640625" customWidth="1"/>
    <col min="3" max="3" width="25" customWidth="1"/>
    <col min="4" max="4" width="28.33203125" customWidth="1"/>
    <col min="5" max="5" width="28" customWidth="1"/>
    <col min="6" max="6" width="28" style="24" customWidth="1"/>
    <col min="10" max="10" width="29" customWidth="1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87</v>
      </c>
      <c r="E1" s="7" t="s">
        <v>108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41</v>
      </c>
      <c r="C2" s="4">
        <v>16</v>
      </c>
      <c r="D2" s="4">
        <v>0</v>
      </c>
      <c r="E2" s="4">
        <v>0</v>
      </c>
      <c r="F2" s="4">
        <v>0</v>
      </c>
      <c r="G2" s="4">
        <v>3</v>
      </c>
      <c r="H2" s="4">
        <f>Table2456[[#This Row],[Cost per Unit (OASE)]]*Table2456[[#This Row],[Quantity]]</f>
        <v>48</v>
      </c>
      <c r="I2" s="12">
        <f>Table2456[[#This Row],[Cost per Unit(Rokkas)]]*Table2456[[#This Row],[Quantity]]</f>
        <v>0</v>
      </c>
      <c r="J2" s="12">
        <f>Table2456[[#This Row],[Cost per Unit (BSG)]]*Table2456[[#This Row],[Quantity]]</f>
        <v>0</v>
      </c>
      <c r="K2" s="35">
        <f>Table2456[[#This Row],[Cost per Unit(Phillipson)]]*Table2456[[#This Row],[Quantity]]</f>
        <v>0</v>
      </c>
    </row>
    <row r="3" spans="1:11" x14ac:dyDescent="0.3">
      <c r="A3" s="6" t="s">
        <v>27</v>
      </c>
      <c r="B3" s="6" t="s">
        <v>42</v>
      </c>
      <c r="C3" s="4">
        <v>17</v>
      </c>
      <c r="D3" s="4">
        <f>10000/50</f>
        <v>200</v>
      </c>
      <c r="E3" s="4">
        <v>350</v>
      </c>
      <c r="F3" s="4">
        <v>60</v>
      </c>
      <c r="G3" s="4">
        <v>65</v>
      </c>
      <c r="H3" s="4">
        <f>Table2456[[#This Row],[Cost per Unit (OASE)]]*Table2456[[#This Row],[Quantity]]</f>
        <v>1105</v>
      </c>
      <c r="I3" s="12">
        <f>Table2456[[#This Row],[Cost per Unit(Rokkas)]]*Table2456[[#This Row],[Quantity]]</f>
        <v>13000</v>
      </c>
      <c r="J3" s="12">
        <f>Table2456[[#This Row],[Cost per Unit (BSG)]]*Table2456[[#This Row],[Quantity]]</f>
        <v>22750</v>
      </c>
      <c r="K3" s="35">
        <f>Table2456[[#This Row],[Cost per Unit(Phillipson)]]*Table2456[[#This Row],[Quantity]]</f>
        <v>3900</v>
      </c>
    </row>
    <row r="4" spans="1:11" x14ac:dyDescent="0.3">
      <c r="A4" s="6" t="s">
        <v>27</v>
      </c>
      <c r="B4" s="6" t="s">
        <v>43</v>
      </c>
      <c r="C4" s="4">
        <v>63</v>
      </c>
      <c r="D4" s="4">
        <v>0</v>
      </c>
      <c r="E4" s="4">
        <v>0</v>
      </c>
      <c r="F4" s="4">
        <v>0</v>
      </c>
      <c r="G4" s="4">
        <v>65</v>
      </c>
      <c r="H4" s="4">
        <f>Table2456[[#This Row],[Cost per Unit (OASE)]]*Table2456[[#This Row],[Quantity]]</f>
        <v>4095</v>
      </c>
      <c r="I4" s="12">
        <f>Table2456[[#This Row],[Cost per Unit(Rokkas)]]*Table2456[[#This Row],[Quantity]]</f>
        <v>0</v>
      </c>
      <c r="J4" s="12">
        <f>Table2456[[#This Row],[Cost per Unit (BSG)]]*Table2456[[#This Row],[Quantity]]</f>
        <v>0</v>
      </c>
      <c r="K4" s="35">
        <f>Table2456[[#This Row],[Cost per Unit(Phillipson)]]*Table2456[[#This Row],[Quantity]]</f>
        <v>0</v>
      </c>
    </row>
    <row r="5" spans="1:11" x14ac:dyDescent="0.3">
      <c r="A5" s="6" t="s">
        <v>27</v>
      </c>
      <c r="B5" s="6" t="s">
        <v>44</v>
      </c>
      <c r="C5" s="4">
        <v>2.2999999999999998</v>
      </c>
      <c r="D5" s="4">
        <v>0</v>
      </c>
      <c r="E5" s="4">
        <v>0</v>
      </c>
      <c r="F5" s="4">
        <v>0</v>
      </c>
      <c r="G5" s="4">
        <v>65</v>
      </c>
      <c r="H5" s="4">
        <f>Table2456[[#This Row],[Cost per Unit (OASE)]]*Table2456[[#This Row],[Quantity]]</f>
        <v>149.5</v>
      </c>
      <c r="I5" s="12">
        <f>Table2456[[#This Row],[Cost per Unit(Rokkas)]]*Table2456[[#This Row],[Quantity]]</f>
        <v>0</v>
      </c>
      <c r="J5" s="12">
        <f>Table2456[[#This Row],[Cost per Unit (BSG)]]*Table2456[[#This Row],[Quantity]]</f>
        <v>0</v>
      </c>
      <c r="K5" s="35">
        <f>Table2456[[#This Row],[Cost per Unit(Phillipson)]]*Table2456[[#This Row],[Quantity]]</f>
        <v>0</v>
      </c>
    </row>
    <row r="6" spans="1:11" x14ac:dyDescent="0.3">
      <c r="A6" s="6" t="s">
        <v>27</v>
      </c>
      <c r="B6" s="6" t="s">
        <v>45</v>
      </c>
      <c r="C6" s="4">
        <f>0.1/4.5</f>
        <v>2.2222222222222223E-2</v>
      </c>
      <c r="D6" s="4">
        <v>0</v>
      </c>
      <c r="E6" s="4">
        <v>0</v>
      </c>
      <c r="F6" s="4">
        <v>0</v>
      </c>
      <c r="G6" s="4">
        <v>3120</v>
      </c>
      <c r="H6" s="4">
        <f>Table2456[[#This Row],[Cost per Unit (OASE)]]*Table2456[[#This Row],[Quantity]]</f>
        <v>69.333333333333343</v>
      </c>
      <c r="I6" s="12">
        <f>Table2456[[#This Row],[Cost per Unit(Rokkas)]]*Table2456[[#This Row],[Quantity]]</f>
        <v>0</v>
      </c>
      <c r="J6" s="12">
        <f>Table2456[[#This Row],[Cost per Unit (BSG)]]*Table2456[[#This Row],[Quantity]]</f>
        <v>0</v>
      </c>
      <c r="K6" s="35">
        <f>Table2456[[#This Row],[Cost per Unit(Phillipson)]]*Table2456[[#This Row],[Quantity]]</f>
        <v>0</v>
      </c>
    </row>
    <row r="7" spans="1:11" x14ac:dyDescent="0.3">
      <c r="A7" s="6" t="s">
        <v>27</v>
      </c>
      <c r="B7" s="6" t="s">
        <v>46</v>
      </c>
      <c r="C7" s="4">
        <v>400</v>
      </c>
      <c r="D7" s="4">
        <v>3000</v>
      </c>
      <c r="E7" s="4">
        <v>200</v>
      </c>
      <c r="F7" s="4">
        <v>0</v>
      </c>
      <c r="G7" s="4">
        <v>1</v>
      </c>
      <c r="H7" s="4">
        <f>Table2456[[#This Row],[Cost per Unit (OASE)]]*Table2456[[#This Row],[Quantity]]</f>
        <v>400</v>
      </c>
      <c r="I7" s="12">
        <f>Table2456[[#This Row],[Cost per Unit(Rokkas)]]*Table2456[[#This Row],[Quantity]]</f>
        <v>3000</v>
      </c>
      <c r="J7" s="12">
        <f>Table2456[[#This Row],[Cost per Unit (BSG)]]*Table2456[[#This Row],[Quantity]]</f>
        <v>200</v>
      </c>
      <c r="K7" s="35">
        <f>Table2456[[#This Row],[Cost per Unit(Phillipson)]]*Table2456[[#This Row],[Quantity]]</f>
        <v>0</v>
      </c>
    </row>
    <row r="8" spans="1:11" x14ac:dyDescent="0.3">
      <c r="A8" s="6" t="s">
        <v>28</v>
      </c>
      <c r="B8" s="6" t="s">
        <v>47</v>
      </c>
      <c r="C8" s="4">
        <f>80*0.3</f>
        <v>24</v>
      </c>
      <c r="D8" s="4">
        <f>200/50</f>
        <v>4</v>
      </c>
      <c r="E8" s="4">
        <v>2</v>
      </c>
      <c r="F8" s="4">
        <v>2</v>
      </c>
      <c r="G8" s="4">
        <v>65</v>
      </c>
      <c r="H8" s="4">
        <f>Table2456[[#This Row],[Cost per Unit (OASE)]]*Table2456[[#This Row],[Quantity]]</f>
        <v>1560</v>
      </c>
      <c r="I8" s="12">
        <f>Table2456[[#This Row],[Cost per Unit(Rokkas)]]*Table2456[[#This Row],[Quantity]]</f>
        <v>260</v>
      </c>
      <c r="J8" s="12">
        <f>Table2456[[#This Row],[Cost per Unit (BSG)]]*Table2456[[#This Row],[Quantity]]</f>
        <v>130</v>
      </c>
      <c r="K8" s="35">
        <f>Table2456[[#This Row],[Cost per Unit(Phillipson)]]*Table2456[[#This Row],[Quantity]]</f>
        <v>130</v>
      </c>
    </row>
    <row r="9" spans="1:11" x14ac:dyDescent="0.3">
      <c r="A9" s="6" t="s">
        <v>32</v>
      </c>
      <c r="B9" s="6" t="s">
        <v>48</v>
      </c>
      <c r="C9" s="4">
        <v>1.8</v>
      </c>
      <c r="D9" s="4">
        <v>4</v>
      </c>
      <c r="E9" s="4">
        <v>2</v>
      </c>
      <c r="F9" s="4">
        <v>0</v>
      </c>
      <c r="G9" s="4">
        <v>4877</v>
      </c>
      <c r="H9" s="4">
        <f>Table2456[[#This Row],[Cost per Unit (OASE)]]*Table2456[[#This Row],[Quantity]]</f>
        <v>8778.6</v>
      </c>
      <c r="I9" s="12">
        <f>Table2456[[#This Row],[Cost per Unit(Rokkas)]]*Table2456[[#This Row],[Quantity]]</f>
        <v>19508</v>
      </c>
      <c r="J9" s="12">
        <f>Table2456[[#This Row],[Cost per Unit (BSG)]]*Table2456[[#This Row],[Quantity]]</f>
        <v>9754</v>
      </c>
      <c r="K9" s="35">
        <f>Table2456[[#This Row],[Cost per Unit(Phillipson)]]*Table2456[[#This Row],[Quantity]]</f>
        <v>0</v>
      </c>
    </row>
    <row r="10" spans="1:11" x14ac:dyDescent="0.3">
      <c r="A10" s="6" t="s">
        <v>32</v>
      </c>
      <c r="B10" s="6" t="s">
        <v>128</v>
      </c>
      <c r="C10" s="4">
        <f>2.1+2</f>
        <v>4.0999999999999996</v>
      </c>
      <c r="D10" s="4">
        <f>2+250/50</f>
        <v>7</v>
      </c>
      <c r="E10" s="4">
        <f>2.7+2</f>
        <v>4.7</v>
      </c>
      <c r="F10" s="4">
        <f>5+2</f>
        <v>7</v>
      </c>
      <c r="G10" s="4">
        <v>30000</v>
      </c>
      <c r="H10" s="4">
        <f>Table2456[[#This Row],[Cost per Unit (OASE)]]*Table2456[[#This Row],[Quantity]]</f>
        <v>122999.99999999999</v>
      </c>
      <c r="I10" s="12">
        <f>Table2456[[#This Row],[Cost per Unit(Rokkas)]]*Table2456[[#This Row],[Quantity]]</f>
        <v>210000</v>
      </c>
      <c r="J10" s="12">
        <f>Table2456[[#This Row],[Cost per Unit (BSG)]]*Table2456[[#This Row],[Quantity]]</f>
        <v>141000</v>
      </c>
      <c r="K10" s="35">
        <f>Table2456[[#This Row],[Cost per Unit(Phillipson)]]*Table2456[[#This Row],[Quantity]]</f>
        <v>210000</v>
      </c>
    </row>
    <row r="11" spans="1:11" x14ac:dyDescent="0.3">
      <c r="A11" s="6"/>
      <c r="B11" s="6"/>
      <c r="C11" s="4"/>
      <c r="D11" s="4"/>
      <c r="E11" s="8"/>
      <c r="F11" s="36"/>
    </row>
    <row r="14" spans="1:11" x14ac:dyDescent="0.3">
      <c r="A14" t="s">
        <v>49</v>
      </c>
      <c r="B14" t="s">
        <v>35</v>
      </c>
      <c r="C14" t="s">
        <v>36</v>
      </c>
      <c r="D14" t="s">
        <v>37</v>
      </c>
      <c r="E14" t="s">
        <v>34</v>
      </c>
      <c r="J14" s="31"/>
    </row>
    <row r="15" spans="1:11" ht="15" thickBot="1" x14ac:dyDescent="0.35">
      <c r="A15" t="s">
        <v>85</v>
      </c>
      <c r="B15" s="9">
        <f>SUM(H2:H7)</f>
        <v>5866.833333333333</v>
      </c>
      <c r="C15" s="9">
        <f>SUM(H8:H8)</f>
        <v>1560</v>
      </c>
      <c r="D15" s="10">
        <f>SUM(H9:H10)</f>
        <v>131778.59999999998</v>
      </c>
      <c r="E15" s="5">
        <f>SUM(B15:D15)</f>
        <v>139205.43333333332</v>
      </c>
      <c r="F15" s="5"/>
      <c r="J15" s="28"/>
    </row>
    <row r="16" spans="1:11" ht="15.6" thickTop="1" thickBot="1" x14ac:dyDescent="0.35">
      <c r="A16" t="s">
        <v>89</v>
      </c>
      <c r="B16">
        <f>SUM(I2:I7)</f>
        <v>16000</v>
      </c>
      <c r="C16">
        <f>SUM(I8)</f>
        <v>260</v>
      </c>
      <c r="D16">
        <f>SUM(I9:I10)</f>
        <v>229508</v>
      </c>
      <c r="E16" s="5">
        <f>SUM(B16:D16)</f>
        <v>245768</v>
      </c>
      <c r="F16" s="5"/>
      <c r="J16" s="29"/>
    </row>
    <row r="17" spans="1:10" ht="15.6" thickTop="1" thickBot="1" x14ac:dyDescent="0.35">
      <c r="A17" t="s">
        <v>110</v>
      </c>
      <c r="B17">
        <f>SUM(J2:J7)</f>
        <v>22950</v>
      </c>
      <c r="C17">
        <f>SUM(J8)</f>
        <v>130</v>
      </c>
      <c r="D17">
        <f>SUM(J9:J10)</f>
        <v>150754</v>
      </c>
      <c r="E17" s="5">
        <f>SUM(B17:D17)</f>
        <v>173834</v>
      </c>
      <c r="F17" s="5"/>
      <c r="J17" s="28"/>
    </row>
    <row r="18" spans="1:10" ht="15.6" thickTop="1" thickBot="1" x14ac:dyDescent="0.35">
      <c r="A18" t="s">
        <v>6</v>
      </c>
      <c r="B18">
        <f>SUM(K2:K7)</f>
        <v>3900</v>
      </c>
      <c r="C18" s="24">
        <f>SUM(K8)</f>
        <v>130</v>
      </c>
      <c r="D18" s="24">
        <f>SUM(K10:K11)</f>
        <v>210000</v>
      </c>
      <c r="E18" s="5">
        <f>SUM(B18:D18)</f>
        <v>214030</v>
      </c>
      <c r="J18" s="29"/>
    </row>
    <row r="19" spans="1:10" ht="15" thickTop="1" x14ac:dyDescent="0.3">
      <c r="J19" s="28"/>
    </row>
    <row r="20" spans="1:10" x14ac:dyDescent="0.3">
      <c r="J20" s="29"/>
    </row>
    <row r="21" spans="1:10" x14ac:dyDescent="0.3">
      <c r="J21" s="28"/>
    </row>
    <row r="22" spans="1:10" x14ac:dyDescent="0.3">
      <c r="J22" s="29"/>
    </row>
    <row r="23" spans="1:10" x14ac:dyDescent="0.3">
      <c r="J23" s="28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F12" sqref="F12"/>
    </sheetView>
  </sheetViews>
  <sheetFormatPr defaultRowHeight="14.4" x14ac:dyDescent="0.3"/>
  <cols>
    <col min="1" max="1" width="29.33203125" customWidth="1"/>
    <col min="2" max="2" width="38" customWidth="1"/>
    <col min="3" max="3" width="21.33203125" customWidth="1"/>
    <col min="4" max="4" width="18" customWidth="1"/>
    <col min="5" max="5" width="17.88671875" customWidth="1"/>
    <col min="6" max="6" width="30.33203125" style="24" customWidth="1"/>
    <col min="8" max="8" width="18.88671875" customWidth="1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108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38</v>
      </c>
      <c r="C2" s="4">
        <v>80</v>
      </c>
      <c r="D2" s="4">
        <f>7000/50</f>
        <v>140</v>
      </c>
      <c r="E2" s="4">
        <v>0</v>
      </c>
      <c r="F2" s="4">
        <v>55</v>
      </c>
      <c r="G2" s="4">
        <f>54*2</f>
        <v>108</v>
      </c>
      <c r="H2" s="4">
        <f>Table247[[#This Row],[Cost per Unit (OASE)]]*Table247[[#This Row],[Quantity]]</f>
        <v>8640</v>
      </c>
      <c r="I2" s="12">
        <f>Table247[[#This Row],[Cost per Unit (Rokkas)]]*Table247[[#This Row],[Quantity]]</f>
        <v>15120</v>
      </c>
      <c r="J2" s="12">
        <f>Table247[[#This Row],[Cost per Unit (BSG)]]*Table247[[#This Row],[Quantity]]</f>
        <v>0</v>
      </c>
      <c r="K2" s="35">
        <f>Table247[[#This Row],[Cost per Unit(Phillipson)]]*Table247[[#This Row],[Quantity]]</f>
        <v>5940</v>
      </c>
    </row>
    <row r="3" spans="1:11" x14ac:dyDescent="0.3">
      <c r="A3" s="6" t="s">
        <v>27</v>
      </c>
      <c r="B3" s="6" t="s">
        <v>39</v>
      </c>
      <c r="C3" s="4">
        <v>12</v>
      </c>
      <c r="D3" s="4">
        <v>4</v>
      </c>
      <c r="E3" s="4">
        <v>300</v>
      </c>
      <c r="F3" s="4">
        <v>0</v>
      </c>
      <c r="G3" s="4">
        <f>156*2</f>
        <v>312</v>
      </c>
      <c r="H3" s="4">
        <f>Table247[[#This Row],[Cost per Unit (OASE)]]*Table247[[#This Row],[Quantity]]</f>
        <v>3744</v>
      </c>
      <c r="I3" s="12">
        <f>Table247[[#This Row],[Cost per Unit (Rokkas)]]*Table247[[#This Row],[Quantity]]</f>
        <v>1248</v>
      </c>
      <c r="J3" s="12">
        <f>Table247[[#This Row],[Cost per Unit (BSG)]]*Table247[[#This Row],[Quantity]]</f>
        <v>93600</v>
      </c>
      <c r="K3" s="35">
        <f>Table247[[#This Row],[Cost per Unit(Phillipson)]]*Table247[[#This Row],[Quantity]]</f>
        <v>0</v>
      </c>
    </row>
    <row r="4" spans="1:11" x14ac:dyDescent="0.3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3120</v>
      </c>
      <c r="H4" s="4">
        <f>Table247[[#This Row],[Cost per Unit (OASE)]]*Table247[[#This Row],[Quantity]]</f>
        <v>34.666666666666671</v>
      </c>
      <c r="I4" s="12">
        <f>Table247[[#This Row],[Cost per Unit (Rokkas)]]*Table247[[#This Row],[Quantity]]</f>
        <v>0</v>
      </c>
      <c r="J4" s="12">
        <f>Table247[[#This Row],[Cost per Unit (BSG)]]*Table247[[#This Row],[Quantity]]</f>
        <v>0</v>
      </c>
      <c r="K4" s="35">
        <f>Table247[[#This Row],[Cost per Unit(Phillipson)]]*Table247[[#This Row],[Quantity]]</f>
        <v>0</v>
      </c>
    </row>
    <row r="5" spans="1:11" x14ac:dyDescent="0.3">
      <c r="A5" s="6" t="s">
        <v>27</v>
      </c>
      <c r="B5" s="6" t="s">
        <v>26</v>
      </c>
      <c r="C5" s="4">
        <v>200</v>
      </c>
      <c r="D5" s="4">
        <v>3000</v>
      </c>
      <c r="E5" s="4">
        <v>200</v>
      </c>
      <c r="F5" s="4">
        <v>0</v>
      </c>
      <c r="G5" s="4">
        <v>1</v>
      </c>
      <c r="H5" s="4">
        <f>Table247[[#This Row],[Cost per Unit (OASE)]]*Table247[[#This Row],[Quantity]]</f>
        <v>200</v>
      </c>
      <c r="I5" s="12">
        <f>Table247[[#This Row],[Cost per Unit (Rokkas)]]*Table247[[#This Row],[Quantity]]</f>
        <v>3000</v>
      </c>
      <c r="J5" s="12">
        <f>Table247[[#This Row],[Cost per Unit (BSG)]]*Table247[[#This Row],[Quantity]]</f>
        <v>200</v>
      </c>
      <c r="K5" s="35">
        <f>Table247[[#This Row],[Cost per Unit(Phillipson)]]*Table247[[#This Row],[Quantity]]</f>
        <v>0</v>
      </c>
    </row>
    <row r="6" spans="1:11" x14ac:dyDescent="0.3">
      <c r="A6" s="6" t="s">
        <v>28</v>
      </c>
      <c r="B6" s="6" t="s">
        <v>29</v>
      </c>
      <c r="C6" s="4">
        <v>1.8</v>
      </c>
      <c r="D6" s="4">
        <v>10</v>
      </c>
      <c r="E6" s="4">
        <v>0</v>
      </c>
      <c r="F6" s="4">
        <v>0</v>
      </c>
      <c r="G6" s="4">
        <f>156*2</f>
        <v>312</v>
      </c>
      <c r="H6" s="4">
        <f>Table247[[#This Row],[Cost per Unit (OASE)]]*Table247[[#This Row],[Quantity]]</f>
        <v>561.6</v>
      </c>
      <c r="I6" s="12">
        <f>Table247[[#This Row],[Cost per Unit (Rokkas)]]*Table247[[#This Row],[Quantity]]</f>
        <v>3120</v>
      </c>
      <c r="J6" s="12">
        <f>Table247[[#This Row],[Cost per Unit (BSG)]]*Table247[[#This Row],[Quantity]]</f>
        <v>0</v>
      </c>
      <c r="K6" s="35">
        <f>Table247[[#This Row],[Cost per Unit(Phillipson)]]*Table247[[#This Row],[Quantity]]</f>
        <v>0</v>
      </c>
    </row>
    <row r="7" spans="1:11" x14ac:dyDescent="0.3">
      <c r="A7" s="6" t="s">
        <v>28</v>
      </c>
      <c r="B7" s="6" t="s">
        <v>39</v>
      </c>
      <c r="C7" s="4">
        <v>12</v>
      </c>
      <c r="D7" s="4">
        <v>4</v>
      </c>
      <c r="E7" s="4">
        <v>200</v>
      </c>
      <c r="F7" s="4">
        <v>4</v>
      </c>
      <c r="G7" s="4">
        <f>156*2</f>
        <v>312</v>
      </c>
      <c r="H7" s="4">
        <f>Table247[[#This Row],[Cost per Unit (OASE)]]*Table247[[#This Row],[Quantity]]</f>
        <v>3744</v>
      </c>
      <c r="I7" s="12">
        <f>Table247[[#This Row],[Cost per Unit (Rokkas)]]*Table247[[#This Row],[Quantity]]</f>
        <v>1248</v>
      </c>
      <c r="J7" s="12">
        <f>Table247[[#This Row],[Cost per Unit (BSG)]]*Table247[[#This Row],[Quantity]]</f>
        <v>62400</v>
      </c>
      <c r="K7" s="35">
        <f>Table247[[#This Row],[Cost per Unit(Phillipson)]]*Table247[[#This Row],[Quantity]]</f>
        <v>1248</v>
      </c>
    </row>
    <row r="8" spans="1:11" x14ac:dyDescent="0.3">
      <c r="A8" s="6" t="s">
        <v>30</v>
      </c>
      <c r="B8" s="6" t="s">
        <v>29</v>
      </c>
      <c r="C8" s="4">
        <v>1.8</v>
      </c>
      <c r="D8" s="4">
        <v>10</v>
      </c>
      <c r="E8" s="4">
        <v>2</v>
      </c>
      <c r="F8" s="4">
        <v>0</v>
      </c>
      <c r="G8" s="4">
        <f>610*2</f>
        <v>1220</v>
      </c>
      <c r="H8" s="4">
        <f>Table247[[#This Row],[Cost per Unit (OASE)]]*Table247[[#This Row],[Quantity]]</f>
        <v>2196</v>
      </c>
      <c r="I8" s="12">
        <f>Table247[[#This Row],[Cost per Unit (Rokkas)]]*Table247[[#This Row],[Quantity]]</f>
        <v>12200</v>
      </c>
      <c r="J8" s="12">
        <f>Table247[[#This Row],[Cost per Unit (BSG)]]*Table247[[#This Row],[Quantity]]</f>
        <v>2440</v>
      </c>
      <c r="K8" s="35">
        <f>Table247[[#This Row],[Cost per Unit(Phillipson)]]*Table247[[#This Row],[Quantity]]</f>
        <v>0</v>
      </c>
    </row>
    <row r="9" spans="1:11" x14ac:dyDescent="0.3">
      <c r="A9" s="6" t="s">
        <v>32</v>
      </c>
      <c r="B9" s="6" t="s">
        <v>29</v>
      </c>
      <c r="C9" s="4">
        <v>1.8</v>
      </c>
      <c r="D9" s="4">
        <v>0</v>
      </c>
      <c r="E9" s="4">
        <v>2</v>
      </c>
      <c r="F9" s="4">
        <v>0</v>
      </c>
      <c r="G9" s="4">
        <v>4877</v>
      </c>
      <c r="H9" s="4">
        <f>Table247[[#This Row],[Cost per Unit (OASE)]]*Table247[[#This Row],[Quantity]]</f>
        <v>8778.6</v>
      </c>
      <c r="I9" s="12">
        <f>Table247[[#This Row],[Cost per Unit (Rokkas)]]*Table247[[#This Row],[Quantity]]</f>
        <v>0</v>
      </c>
      <c r="J9" s="12">
        <f>Table247[[#This Row],[Cost per Unit (BSG)]]*Table247[[#This Row],[Quantity]]</f>
        <v>9754</v>
      </c>
      <c r="K9" s="35">
        <f>Table247[[#This Row],[Cost per Unit(Phillipson)]]*Table247[[#This Row],[Quantity]]</f>
        <v>0</v>
      </c>
    </row>
    <row r="10" spans="1:11" x14ac:dyDescent="0.3">
      <c r="A10" s="6" t="s">
        <v>32</v>
      </c>
      <c r="B10" s="6" t="s">
        <v>40</v>
      </c>
      <c r="C10" s="4">
        <f>1.8+2</f>
        <v>3.8</v>
      </c>
      <c r="D10" s="4">
        <f>4+2</f>
        <v>6</v>
      </c>
      <c r="E10" s="4">
        <f>2.7+2</f>
        <v>4.7</v>
      </c>
      <c r="F10" s="4">
        <f>5+2</f>
        <v>7</v>
      </c>
      <c r="G10" s="4">
        <v>30000</v>
      </c>
      <c r="H10" s="4">
        <f>Table247[[#This Row],[Cost per Unit (OASE)]]*Table247[[#This Row],[Quantity]]</f>
        <v>114000</v>
      </c>
      <c r="I10" s="12">
        <f>Table247[[#This Row],[Cost per Unit (Rokkas)]]*Table247[[#This Row],[Quantity]]</f>
        <v>180000</v>
      </c>
      <c r="J10" s="12">
        <f>Table247[[#This Row],[Cost per Unit (BSG)]]*Table247[[#This Row],[Quantity]]</f>
        <v>141000</v>
      </c>
      <c r="K10" s="35">
        <f>Table247[[#This Row],[Cost per Unit(Phillipson)]]*Table247[[#This Row],[Quantity]]</f>
        <v>210000</v>
      </c>
    </row>
    <row r="11" spans="1:11" x14ac:dyDescent="0.3">
      <c r="A11" s="6"/>
      <c r="B11" s="6"/>
      <c r="C11" s="4"/>
      <c r="D11" s="4"/>
      <c r="E11" s="8"/>
      <c r="F11" s="36"/>
    </row>
    <row r="16" spans="1:11" x14ac:dyDescent="0.3">
      <c r="A16" t="s">
        <v>84</v>
      </c>
      <c r="B16" t="s">
        <v>35</v>
      </c>
      <c r="C16" t="s">
        <v>36</v>
      </c>
      <c r="D16" t="s">
        <v>37</v>
      </c>
      <c r="E16" t="s">
        <v>34</v>
      </c>
    </row>
    <row r="17" spans="1:6" ht="15" thickBot="1" x14ac:dyDescent="0.35">
      <c r="A17" t="s">
        <v>85</v>
      </c>
      <c r="B17" s="9">
        <f>SUM(H2:H5)</f>
        <v>12618.666666666666</v>
      </c>
      <c r="C17" s="9">
        <f>SUM(H6:H8)</f>
        <v>6501.6</v>
      </c>
      <c r="D17" s="10">
        <f>SUM(H9:H10)</f>
        <v>122778.6</v>
      </c>
      <c r="E17" s="5">
        <f>SUM(B17:D17)</f>
        <v>141898.86666666667</v>
      </c>
      <c r="F17" s="5"/>
    </row>
    <row r="18" spans="1:6" ht="15.6" thickTop="1" thickBot="1" x14ac:dyDescent="0.35">
      <c r="A18" t="s">
        <v>86</v>
      </c>
      <c r="B18">
        <f>SUM(I2:I5)</f>
        <v>19368</v>
      </c>
      <c r="C18">
        <f>SUM(I6:I8)</f>
        <v>16568</v>
      </c>
      <c r="D18">
        <f>SUM(I9:I10)</f>
        <v>180000</v>
      </c>
      <c r="E18" s="5">
        <f>SUM(B18:D18)</f>
        <v>215936</v>
      </c>
      <c r="F18" s="5"/>
    </row>
    <row r="19" spans="1:6" ht="15.6" thickTop="1" thickBot="1" x14ac:dyDescent="0.35">
      <c r="A19" t="s">
        <v>110</v>
      </c>
      <c r="B19">
        <f>SUM(J2:J5)</f>
        <v>93800</v>
      </c>
      <c r="C19">
        <f>SUM(J6:J8)</f>
        <v>64840</v>
      </c>
      <c r="D19">
        <f>SUM(J9:J10)</f>
        <v>150754</v>
      </c>
      <c r="E19" s="5">
        <f>SUM(B19:D19)</f>
        <v>309394</v>
      </c>
      <c r="F19" s="5"/>
    </row>
    <row r="20" spans="1:6" ht="15.6" thickTop="1" thickBot="1" x14ac:dyDescent="0.35">
      <c r="A20" t="s">
        <v>6</v>
      </c>
      <c r="B20" s="24">
        <f>SUM(K2:K5)</f>
        <v>5940</v>
      </c>
      <c r="C20" s="24">
        <f>SUM(K6:K8)</f>
        <v>1248</v>
      </c>
      <c r="D20" s="24">
        <f>SUM(K9:K10)</f>
        <v>210000</v>
      </c>
      <c r="E20" s="5">
        <f>SUM(B20:D20)</f>
        <v>217188</v>
      </c>
    </row>
    <row r="21" spans="1:6" ht="15" thickTop="1" x14ac:dyDescent="0.3"/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B1" workbookViewId="0">
      <selection activeCell="F7" sqref="F7"/>
    </sheetView>
  </sheetViews>
  <sheetFormatPr defaultRowHeight="14.4" x14ac:dyDescent="0.3"/>
  <cols>
    <col min="1" max="1" width="38.5546875" customWidth="1"/>
    <col min="2" max="2" width="37.44140625" customWidth="1"/>
    <col min="3" max="3" width="28.88671875" customWidth="1"/>
    <col min="4" max="4" width="32.44140625" customWidth="1"/>
    <col min="5" max="5" width="34.33203125" customWidth="1"/>
    <col min="6" max="6" width="34.33203125" style="24" customWidth="1"/>
    <col min="7" max="7" width="16" customWidth="1"/>
    <col min="8" max="8" width="17.44140625" customWidth="1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124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63</v>
      </c>
      <c r="C2" s="4">
        <v>80</v>
      </c>
      <c r="D2" s="4">
        <f>3500/50</f>
        <v>70</v>
      </c>
      <c r="E2" s="4">
        <f>57600/4/50</f>
        <v>288</v>
      </c>
      <c r="F2" s="4">
        <v>50</v>
      </c>
      <c r="G2" s="4">
        <v>54</v>
      </c>
      <c r="H2" s="4">
        <f>Table29[[#This Row],[Cost per Unit (OASE)]]*Table29[[#This Row],[Quantity]]</f>
        <v>4320</v>
      </c>
      <c r="I2" s="12">
        <f t="shared" ref="I2:I11" si="0">D2*G2</f>
        <v>3780</v>
      </c>
      <c r="J2" s="12">
        <f>Table29[[#This Row],[Cost per Unit(BSG)]]*Table29[[#This Row],[Quantity]]</f>
        <v>15552</v>
      </c>
      <c r="K2" s="35">
        <f>Table29[[#This Row],[Cost per Unit (Phillipson)]]*Table29[[#This Row],[Quantity]]</f>
        <v>2700</v>
      </c>
    </row>
    <row r="3" spans="1:11" x14ac:dyDescent="0.3">
      <c r="A3" s="6" t="s">
        <v>27</v>
      </c>
      <c r="B3" s="6" t="s">
        <v>39</v>
      </c>
      <c r="C3" s="4">
        <v>12</v>
      </c>
      <c r="D3" s="4">
        <f>200/50</f>
        <v>4</v>
      </c>
      <c r="E3" s="4">
        <v>0</v>
      </c>
      <c r="F3" s="4">
        <v>0</v>
      </c>
      <c r="G3" s="4">
        <f>156</f>
        <v>156</v>
      </c>
      <c r="H3" s="4">
        <f>Table29[[#This Row],[Cost per Unit (OASE)]]*Table29[[#This Row],[Quantity]]</f>
        <v>1872</v>
      </c>
      <c r="I3" s="12">
        <f t="shared" si="0"/>
        <v>624</v>
      </c>
      <c r="J3" s="12">
        <f>Table29[[#This Row],[Cost per Unit(BSG)]]*Table29[[#This Row],[Quantity]]</f>
        <v>0</v>
      </c>
      <c r="K3" s="35">
        <f>Table29[[#This Row],[Cost per Unit (Phillipson)]]*Table29[[#This Row],[Quantity]]</f>
        <v>0</v>
      </c>
    </row>
    <row r="4" spans="1:11" x14ac:dyDescent="0.3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3120</v>
      </c>
      <c r="H4" s="4">
        <f>Table29[[#This Row],[Cost per Unit (OASE)]]*Table29[[#This Row],[Quantity]]</f>
        <v>34.666666666666671</v>
      </c>
      <c r="I4" s="12">
        <f t="shared" si="0"/>
        <v>0</v>
      </c>
      <c r="J4" s="12">
        <f>Table29[[#This Row],[Cost per Unit(BSG)]]*Table29[[#This Row],[Quantity]]</f>
        <v>0</v>
      </c>
      <c r="K4" s="35">
        <f>Table29[[#This Row],[Cost per Unit (Phillipson)]]*Table29[[#This Row],[Quantity]]</f>
        <v>0</v>
      </c>
    </row>
    <row r="5" spans="1:11" x14ac:dyDescent="0.3">
      <c r="A5" s="6" t="s">
        <v>27</v>
      </c>
      <c r="B5" s="6" t="s">
        <v>26</v>
      </c>
      <c r="C5" s="4">
        <v>200</v>
      </c>
      <c r="D5" s="4">
        <f>150000/50</f>
        <v>3000</v>
      </c>
      <c r="E5" s="4">
        <f>5000/50</f>
        <v>100</v>
      </c>
      <c r="F5" s="4">
        <v>0</v>
      </c>
      <c r="G5" s="4">
        <v>1</v>
      </c>
      <c r="H5" s="4">
        <f>Table29[[#This Row],[Cost per Unit (OASE)]]*Table29[[#This Row],[Quantity]]</f>
        <v>200</v>
      </c>
      <c r="I5" s="12">
        <f t="shared" si="0"/>
        <v>3000</v>
      </c>
      <c r="J5" s="12">
        <f>Table29[[#This Row],[Cost per Unit(BSG)]]*Table29[[#This Row],[Quantity]]</f>
        <v>100</v>
      </c>
      <c r="K5" s="35">
        <f>Table29[[#This Row],[Cost per Unit (Phillipson)]]*Table29[[#This Row],[Quantity]]</f>
        <v>0</v>
      </c>
    </row>
    <row r="6" spans="1:11" x14ac:dyDescent="0.3">
      <c r="A6" s="6" t="s">
        <v>28</v>
      </c>
      <c r="B6" s="6" t="s">
        <v>29</v>
      </c>
      <c r="C6" s="4">
        <v>1.8</v>
      </c>
      <c r="D6" s="4">
        <f>500/50</f>
        <v>10</v>
      </c>
      <c r="E6" s="4">
        <f>70/50</f>
        <v>1.4</v>
      </c>
      <c r="F6" s="4">
        <v>0</v>
      </c>
      <c r="G6" s="4">
        <f>156*2</f>
        <v>312</v>
      </c>
      <c r="H6" s="4">
        <f>Table29[[#This Row],[Cost per Unit (OASE)]]*Table29[[#This Row],[Quantity]]</f>
        <v>561.6</v>
      </c>
      <c r="I6" s="12">
        <f t="shared" si="0"/>
        <v>3120</v>
      </c>
      <c r="J6" s="12">
        <f>Table29[[#This Row],[Cost per Unit(BSG)]]*Table29[[#This Row],[Quantity]]</f>
        <v>436.79999999999995</v>
      </c>
      <c r="K6" s="35">
        <f>Table29[[#This Row],[Cost per Unit (Phillipson)]]*Table29[[#This Row],[Quantity]]</f>
        <v>0</v>
      </c>
    </row>
    <row r="7" spans="1:11" x14ac:dyDescent="0.3">
      <c r="A7" s="6" t="s">
        <v>28</v>
      </c>
      <c r="B7" s="6" t="s">
        <v>39</v>
      </c>
      <c r="C7" s="4">
        <v>12</v>
      </c>
      <c r="D7" s="4">
        <f>200/50</f>
        <v>4</v>
      </c>
      <c r="E7" s="4">
        <v>0</v>
      </c>
      <c r="F7" s="4">
        <v>0</v>
      </c>
      <c r="G7" s="4">
        <f>156*2</f>
        <v>312</v>
      </c>
      <c r="H7" s="4">
        <f>Table29[[#This Row],[Cost per Unit (OASE)]]*Table29[[#This Row],[Quantity]]</f>
        <v>3744</v>
      </c>
      <c r="I7" s="12">
        <f t="shared" si="0"/>
        <v>1248</v>
      </c>
      <c r="J7" s="12">
        <f>Table29[[#This Row],[Cost per Unit(BSG)]]*Table29[[#This Row],[Quantity]]</f>
        <v>0</v>
      </c>
      <c r="K7" s="35">
        <f>Table29[[#This Row],[Cost per Unit (Phillipson)]]*Table29[[#This Row],[Quantity]]</f>
        <v>0</v>
      </c>
    </row>
    <row r="8" spans="1:11" x14ac:dyDescent="0.3">
      <c r="A8" s="6" t="s">
        <v>30</v>
      </c>
      <c r="B8" s="6" t="s">
        <v>31</v>
      </c>
      <c r="C8" s="4">
        <v>1</v>
      </c>
      <c r="D8" s="4">
        <f>100/50</f>
        <v>2</v>
      </c>
      <c r="E8" s="4">
        <f>80/50</f>
        <v>1.6</v>
      </c>
      <c r="F8" s="4">
        <v>5</v>
      </c>
      <c r="G8" s="4">
        <f>1244*4</f>
        <v>4976</v>
      </c>
      <c r="H8" s="4">
        <f>Table29[[#This Row],[Cost per Unit (OASE)]]*Table29[[#This Row],[Quantity]]</f>
        <v>4976</v>
      </c>
      <c r="I8" s="12">
        <f t="shared" si="0"/>
        <v>9952</v>
      </c>
      <c r="J8" s="12">
        <f>Table29[[#This Row],[Cost per Unit(BSG)]]*Table29[[#This Row],[Quantity]]</f>
        <v>7961.6</v>
      </c>
      <c r="K8" s="35">
        <f>Table29[[#This Row],[Cost per Unit (Phillipson)]]*Table29[[#This Row],[Quantity]]</f>
        <v>24880</v>
      </c>
    </row>
    <row r="9" spans="1:11" x14ac:dyDescent="0.3">
      <c r="A9" s="6" t="s">
        <v>30</v>
      </c>
      <c r="B9" s="6" t="s">
        <v>64</v>
      </c>
      <c r="C9" s="4">
        <v>1.2</v>
      </c>
      <c r="D9" s="4">
        <v>10</v>
      </c>
      <c r="E9" s="4">
        <v>1.4</v>
      </c>
      <c r="F9" s="4">
        <v>0</v>
      </c>
      <c r="G9" s="4">
        <v>1244</v>
      </c>
      <c r="H9" s="4">
        <f>Table29[[#This Row],[Cost per Unit (OASE)]]*Table29[[#This Row],[Quantity]]</f>
        <v>1492.8</v>
      </c>
      <c r="I9" s="12">
        <f t="shared" si="0"/>
        <v>12440</v>
      </c>
      <c r="J9" s="12">
        <f>Table29[[#This Row],[Cost per Unit(BSG)]]*Table29[[#This Row],[Quantity]]</f>
        <v>1741.6</v>
      </c>
      <c r="K9" s="35">
        <f>Table29[[#This Row],[Cost per Unit (Phillipson)]]*Table29[[#This Row],[Quantity]]</f>
        <v>0</v>
      </c>
    </row>
    <row r="10" spans="1:11" x14ac:dyDescent="0.3">
      <c r="A10" s="6" t="s">
        <v>30</v>
      </c>
      <c r="B10" s="6" t="s">
        <v>114</v>
      </c>
      <c r="C10" s="4">
        <f>12+(100/4)</f>
        <v>37</v>
      </c>
      <c r="D10" s="4">
        <f>(15000/4)/50</f>
        <v>75</v>
      </c>
      <c r="E10" s="4">
        <f>(1200+(13500/4))/50</f>
        <v>91.5</v>
      </c>
      <c r="F10" s="4">
        <v>10</v>
      </c>
      <c r="G10" s="4">
        <f>1244*4</f>
        <v>4976</v>
      </c>
      <c r="H10" s="4">
        <f>Table29[[#This Row],[Cost per Unit (OASE)]]*Table29[[#This Row],[Quantity]]</f>
        <v>184112</v>
      </c>
      <c r="I10" s="12">
        <f t="shared" si="0"/>
        <v>373200</v>
      </c>
      <c r="J10" s="12">
        <f>Table29[[#This Row],[Cost per Unit(BSG)]]*Table29[[#This Row],[Quantity]]</f>
        <v>455304</v>
      </c>
      <c r="K10" s="35">
        <f>Table29[[#This Row],[Cost per Unit (Phillipson)]]*Table29[[#This Row],[Quantity]]</f>
        <v>49760</v>
      </c>
    </row>
    <row r="11" spans="1:11" x14ac:dyDescent="0.3">
      <c r="A11" s="6" t="s">
        <v>32</v>
      </c>
      <c r="B11" s="6" t="s">
        <v>66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8">
        <f>Table29[[#This Row],[Cost per Unit (OASE)]]*Table29[[#This Row],[Quantity]]</f>
        <v>0</v>
      </c>
      <c r="I11" s="12">
        <f t="shared" si="0"/>
        <v>0</v>
      </c>
      <c r="J11" s="12">
        <f>Table29[[#This Row],[Cost per Unit(BSG)]]*Table29[[#This Row],[Quantity]]</f>
        <v>0</v>
      </c>
      <c r="K11" s="35">
        <f>Table29[[#This Row],[Cost per Unit (Phillipson)]]*Table29[[#This Row],[Quantity]]</f>
        <v>0</v>
      </c>
    </row>
    <row r="12" spans="1:11" x14ac:dyDescent="0.3">
      <c r="A12" s="6"/>
      <c r="B12" s="6"/>
      <c r="C12" s="4"/>
      <c r="D12" s="4"/>
      <c r="E12" s="4"/>
      <c r="F12" s="12"/>
    </row>
    <row r="13" spans="1:11" x14ac:dyDescent="0.3">
      <c r="A13" s="6"/>
      <c r="B13" s="6"/>
      <c r="C13" s="4"/>
      <c r="D13" s="4"/>
      <c r="E13" s="4"/>
      <c r="F13" s="12"/>
    </row>
    <row r="15" spans="1:11" x14ac:dyDescent="0.3">
      <c r="A15" t="s">
        <v>84</v>
      </c>
      <c r="B15" s="19" t="s">
        <v>35</v>
      </c>
      <c r="C15" s="19" t="s">
        <v>36</v>
      </c>
      <c r="D15" s="19" t="s">
        <v>37</v>
      </c>
      <c r="E15" s="19" t="s">
        <v>34</v>
      </c>
    </row>
    <row r="16" spans="1:11" ht="15" thickBot="1" x14ac:dyDescent="0.35">
      <c r="A16" t="s">
        <v>85</v>
      </c>
      <c r="B16" s="20">
        <f>SUM(H1:H5)</f>
        <v>6426.666666666667</v>
      </c>
      <c r="C16" s="20">
        <f>SUM(H5:H10)</f>
        <v>195086.4</v>
      </c>
      <c r="D16" s="10">
        <f>SUM(H11)</f>
        <v>0</v>
      </c>
      <c r="E16" s="5">
        <f>SUM(B16:D16)</f>
        <v>201513.06666666665</v>
      </c>
      <c r="F16" s="5"/>
    </row>
    <row r="17" spans="1:6" ht="15.6" thickTop="1" thickBot="1" x14ac:dyDescent="0.35">
      <c r="A17" t="s">
        <v>86</v>
      </c>
      <c r="B17">
        <f>SUM(I2:I5)</f>
        <v>7404</v>
      </c>
      <c r="C17">
        <f>SUM(I6:I10)</f>
        <v>399960</v>
      </c>
      <c r="D17">
        <v>0</v>
      </c>
      <c r="E17" s="5">
        <f>SUM(B17:D17)</f>
        <v>407364</v>
      </c>
      <c r="F17" s="5"/>
    </row>
    <row r="18" spans="1:6" ht="15.6" thickTop="1" thickBot="1" x14ac:dyDescent="0.35">
      <c r="A18" t="s">
        <v>110</v>
      </c>
      <c r="B18">
        <f>SUM(J2:J5)</f>
        <v>15652</v>
      </c>
      <c r="C18">
        <f>SUM(J6:J10)</f>
        <v>465444</v>
      </c>
      <c r="D18">
        <v>0</v>
      </c>
      <c r="E18" s="5">
        <f>SUM(B18:D18)</f>
        <v>481096</v>
      </c>
      <c r="F18" s="5"/>
    </row>
    <row r="19" spans="1:6" ht="15.6" thickTop="1" thickBot="1" x14ac:dyDescent="0.35">
      <c r="A19" t="s">
        <v>6</v>
      </c>
      <c r="B19" s="24">
        <f>SUM(K2:K5)</f>
        <v>2700</v>
      </c>
      <c r="C19" s="24">
        <f>SUM(K6:K10)</f>
        <v>74640</v>
      </c>
      <c r="D19" s="24">
        <v>0</v>
      </c>
      <c r="E19" s="5">
        <f>SUM(B19:D19)</f>
        <v>77340</v>
      </c>
    </row>
    <row r="20" spans="1:6" ht="15" thickTop="1" x14ac:dyDescent="0.3"/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10" sqref="F10"/>
    </sheetView>
  </sheetViews>
  <sheetFormatPr defaultColWidth="9.109375" defaultRowHeight="14.4" x14ac:dyDescent="0.3"/>
  <cols>
    <col min="1" max="1" width="29.33203125" style="13" customWidth="1"/>
    <col min="2" max="2" width="38" style="13" customWidth="1"/>
    <col min="3" max="3" width="21.33203125" style="13" customWidth="1"/>
    <col min="4" max="4" width="18" style="13" customWidth="1"/>
    <col min="5" max="5" width="17.88671875" style="13" customWidth="1"/>
    <col min="6" max="6" width="17.88671875" style="24" customWidth="1"/>
    <col min="7" max="7" width="24.44140625" style="13" customWidth="1"/>
    <col min="8" max="8" width="25.5546875" style="13" customWidth="1"/>
    <col min="9" max="16384" width="9.109375" style="13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38</v>
      </c>
      <c r="C2" s="4">
        <v>80</v>
      </c>
      <c r="D2" s="4">
        <f>7000/50</f>
        <v>140</v>
      </c>
      <c r="E2" s="4">
        <f>60000/4/50</f>
        <v>300</v>
      </c>
      <c r="F2" s="4">
        <v>55</v>
      </c>
      <c r="G2" s="4">
        <f>54*2</f>
        <v>108</v>
      </c>
      <c r="H2" s="4">
        <f>Table2410[[#This Row],[Cost per Unit (OASE)]]*Table2410[[#This Row],[Quantity]]</f>
        <v>8640</v>
      </c>
      <c r="I2" s="12">
        <f>Table2410[[#This Row],[Cost per Unit (Rokkas)]]*Table2410[[#This Row],[Quantity]]</f>
        <v>15120</v>
      </c>
      <c r="J2" s="12">
        <f>Table2410[[#This Row],[Cost per Unit(BSG)]]*Table2410[[#This Row],[Quantity]]</f>
        <v>32400</v>
      </c>
      <c r="K2" s="35">
        <f>Table2410[[#This Row],[Cost per Unit(Phillipson)]]*Table2410[[#This Row],[Quantity]]</f>
        <v>5940</v>
      </c>
    </row>
    <row r="3" spans="1:11" x14ac:dyDescent="0.3">
      <c r="A3" s="6" t="s">
        <v>27</v>
      </c>
      <c r="B3" s="6" t="s">
        <v>39</v>
      </c>
      <c r="C3" s="4">
        <v>12</v>
      </c>
      <c r="D3" s="4">
        <v>4</v>
      </c>
      <c r="E3" s="4">
        <v>0</v>
      </c>
      <c r="F3" s="4">
        <v>0</v>
      </c>
      <c r="G3" s="4">
        <f>156*2</f>
        <v>312</v>
      </c>
      <c r="H3" s="4">
        <f>Table2410[[#This Row],[Cost per Unit (OASE)]]*Table2410[[#This Row],[Quantity]]</f>
        <v>3744</v>
      </c>
      <c r="I3" s="12">
        <f>Table2410[[#This Row],[Cost per Unit (Rokkas)]]*Table2410[[#This Row],[Quantity]]</f>
        <v>1248</v>
      </c>
      <c r="J3" s="12">
        <f>Table2410[[#This Row],[Cost per Unit(BSG)]]*Table2410[[#This Row],[Quantity]]</f>
        <v>0</v>
      </c>
      <c r="K3" s="35">
        <f>Table2410[[#This Row],[Cost per Unit(Phillipson)]]*Table2410[[#This Row],[Quantity]]</f>
        <v>0</v>
      </c>
    </row>
    <row r="4" spans="1:11" x14ac:dyDescent="0.3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3120</v>
      </c>
      <c r="H4" s="4">
        <f>Table2410[[#This Row],[Cost per Unit (OASE)]]*Table2410[[#This Row],[Quantity]]</f>
        <v>34.666666666666671</v>
      </c>
      <c r="I4" s="12">
        <f>Table2410[[#This Row],[Cost per Unit (Rokkas)]]*Table2410[[#This Row],[Quantity]]</f>
        <v>0</v>
      </c>
      <c r="J4" s="12">
        <f>Table2410[[#This Row],[Cost per Unit(BSG)]]*Table2410[[#This Row],[Quantity]]</f>
        <v>0</v>
      </c>
      <c r="K4" s="35">
        <f>Table2410[[#This Row],[Cost per Unit(Phillipson)]]*Table2410[[#This Row],[Quantity]]</f>
        <v>0</v>
      </c>
    </row>
    <row r="5" spans="1:11" x14ac:dyDescent="0.3">
      <c r="A5" s="6" t="s">
        <v>27</v>
      </c>
      <c r="B5" s="6" t="s">
        <v>26</v>
      </c>
      <c r="C5" s="4">
        <v>400</v>
      </c>
      <c r="D5" s="4">
        <v>3000</v>
      </c>
      <c r="E5" s="4">
        <v>100</v>
      </c>
      <c r="F5" s="4">
        <v>0</v>
      </c>
      <c r="G5" s="4">
        <v>1</v>
      </c>
      <c r="H5" s="4">
        <f>Table2410[[#This Row],[Cost per Unit (OASE)]]*Table2410[[#This Row],[Quantity]]</f>
        <v>400</v>
      </c>
      <c r="I5" s="12">
        <f>Table2410[[#This Row],[Cost per Unit (Rokkas)]]*Table2410[[#This Row],[Quantity]]</f>
        <v>3000</v>
      </c>
      <c r="J5" s="12">
        <f>Table2410[[#This Row],[Cost per Unit(BSG)]]*Table2410[[#This Row],[Quantity]]</f>
        <v>100</v>
      </c>
      <c r="K5" s="35">
        <f>Table2410[[#This Row],[Cost per Unit(Phillipson)]]*Table2410[[#This Row],[Quantity]]</f>
        <v>0</v>
      </c>
    </row>
    <row r="6" spans="1:11" x14ac:dyDescent="0.3">
      <c r="A6" s="6" t="s">
        <v>28</v>
      </c>
      <c r="B6" s="6" t="s">
        <v>29</v>
      </c>
      <c r="C6" s="4">
        <v>1.8</v>
      </c>
      <c r="D6" s="4">
        <v>10</v>
      </c>
      <c r="E6" s="4">
        <f>70/50</f>
        <v>1.4</v>
      </c>
      <c r="F6" s="4">
        <v>0</v>
      </c>
      <c r="G6" s="4">
        <f>156</f>
        <v>156</v>
      </c>
      <c r="H6" s="4">
        <f>Table2410[[#This Row],[Cost per Unit (OASE)]]*Table2410[[#This Row],[Quantity]]</f>
        <v>280.8</v>
      </c>
      <c r="I6" s="12">
        <f>Table2410[[#This Row],[Cost per Unit (Rokkas)]]*Table2410[[#This Row],[Quantity]]</f>
        <v>1560</v>
      </c>
      <c r="J6" s="12">
        <f>Table2410[[#This Row],[Cost per Unit(BSG)]]*Table2410[[#This Row],[Quantity]]</f>
        <v>218.39999999999998</v>
      </c>
      <c r="K6" s="35">
        <f>Table2410[[#This Row],[Cost per Unit(Phillipson)]]*Table2410[[#This Row],[Quantity]]</f>
        <v>0</v>
      </c>
    </row>
    <row r="7" spans="1:11" x14ac:dyDescent="0.3">
      <c r="A7" s="6" t="s">
        <v>28</v>
      </c>
      <c r="B7" s="6" t="s">
        <v>24</v>
      </c>
      <c r="C7" s="4">
        <v>4</v>
      </c>
      <c r="D7" s="4">
        <v>4</v>
      </c>
      <c r="E7" s="4">
        <v>0</v>
      </c>
      <c r="F7" s="4">
        <v>20</v>
      </c>
      <c r="G7" s="4">
        <f>156</f>
        <v>156</v>
      </c>
      <c r="H7" s="4">
        <f>Table2410[[#This Row],[Cost per Unit (OASE)]]*Table2410[[#This Row],[Quantity]]</f>
        <v>624</v>
      </c>
      <c r="I7" s="12">
        <f>Table2410[[#This Row],[Cost per Unit (Rokkas)]]*Table2410[[#This Row],[Quantity]]</f>
        <v>624</v>
      </c>
      <c r="J7" s="12">
        <f>Table2410[[#This Row],[Cost per Unit(BSG)]]*Table2410[[#This Row],[Quantity]]</f>
        <v>0</v>
      </c>
      <c r="K7" s="35">
        <f>Table2410[[#This Row],[Cost per Unit(Phillipson)]]*Table2410[[#This Row],[Quantity]]</f>
        <v>3120</v>
      </c>
    </row>
    <row r="8" spans="1:11" x14ac:dyDescent="0.3">
      <c r="A8" s="6" t="s">
        <v>30</v>
      </c>
      <c r="B8" s="6" t="s">
        <v>29</v>
      </c>
      <c r="C8" s="4">
        <v>1.8</v>
      </c>
      <c r="D8" s="4">
        <v>10</v>
      </c>
      <c r="E8" s="4">
        <f>80/50</f>
        <v>1.6</v>
      </c>
      <c r="F8" s="4">
        <v>0</v>
      </c>
      <c r="G8" s="4">
        <v>610</v>
      </c>
      <c r="H8" s="4">
        <f>Table2410[[#This Row],[Cost per Unit (OASE)]]*Table2410[[#This Row],[Quantity]]</f>
        <v>1098</v>
      </c>
      <c r="I8" s="12">
        <f>Table2410[[#This Row],[Cost per Unit (Rokkas)]]*Table2410[[#This Row],[Quantity]]</f>
        <v>6100</v>
      </c>
      <c r="J8" s="12">
        <f>Table2410[[#This Row],[Cost per Unit(BSG)]]*Table2410[[#This Row],[Quantity]]</f>
        <v>976</v>
      </c>
      <c r="K8" s="35">
        <f>Table2410[[#This Row],[Cost per Unit(Phillipson)]]*Table2410[[#This Row],[Quantity]]</f>
        <v>0</v>
      </c>
    </row>
    <row r="9" spans="1:11" x14ac:dyDescent="0.3">
      <c r="A9" s="6" t="s">
        <v>32</v>
      </c>
      <c r="B9" s="6" t="s">
        <v>65</v>
      </c>
      <c r="C9" s="4">
        <f>10</f>
        <v>10</v>
      </c>
      <c r="D9" s="4">
        <v>10</v>
      </c>
      <c r="E9" s="4">
        <f>24</f>
        <v>24</v>
      </c>
      <c r="F9" s="4">
        <v>10</v>
      </c>
      <c r="G9" s="4">
        <v>4877</v>
      </c>
      <c r="H9" s="4">
        <f>Table2410[[#This Row],[Cost per Unit (OASE)]]*Table2410[[#This Row],[Quantity]]</f>
        <v>48770</v>
      </c>
      <c r="I9" s="12">
        <f>Table2410[[#This Row],[Cost per Unit (Rokkas)]]*Table2410[[#This Row],[Quantity]]</f>
        <v>48770</v>
      </c>
      <c r="J9" s="12">
        <f>Table2410[[#This Row],[Cost per Unit(BSG)]]*Table2410[[#This Row],[Quantity]]</f>
        <v>117048</v>
      </c>
      <c r="K9" s="35">
        <f>Table2410[[#This Row],[Cost per Unit(Phillipson)]]*Table2410[[#This Row],[Quantity]]</f>
        <v>48770</v>
      </c>
    </row>
    <row r="10" spans="1:11" x14ac:dyDescent="0.3">
      <c r="A10" s="6" t="s">
        <v>32</v>
      </c>
      <c r="B10" s="6" t="s">
        <v>40</v>
      </c>
      <c r="C10" s="4">
        <v>2.2999999999999998</v>
      </c>
      <c r="D10" s="4">
        <v>4</v>
      </c>
      <c r="E10" s="4">
        <f>80/50</f>
        <v>1.6</v>
      </c>
      <c r="F10" s="4">
        <v>5</v>
      </c>
      <c r="G10" s="4">
        <v>4877</v>
      </c>
      <c r="H10" s="11">
        <f>Table2410[[#This Row],[Cost per Unit (OASE)]]*Table2410[[#This Row],[Quantity]]</f>
        <v>11217.099999999999</v>
      </c>
      <c r="I10" s="12">
        <f>Table2410[[#This Row],[Cost per Unit (Rokkas)]]*Table2410[[#This Row],[Quantity]]</f>
        <v>19508</v>
      </c>
      <c r="J10" s="12">
        <f>Table2410[[#This Row],[Cost per Unit(BSG)]]*Table2410[[#This Row],[Quantity]]</f>
        <v>7803.2000000000007</v>
      </c>
      <c r="K10" s="35">
        <f>Table2410[[#This Row],[Cost per Unit(Phillipson)]]*Table2410[[#This Row],[Quantity]]</f>
        <v>24385</v>
      </c>
    </row>
    <row r="15" spans="1:11" x14ac:dyDescent="0.3">
      <c r="A15" s="13" t="s">
        <v>84</v>
      </c>
      <c r="B15" s="13" t="s">
        <v>35</v>
      </c>
      <c r="C15" s="13" t="s">
        <v>36</v>
      </c>
      <c r="D15" s="13" t="s">
        <v>37</v>
      </c>
      <c r="E15" s="13" t="s">
        <v>34</v>
      </c>
    </row>
    <row r="16" spans="1:11" ht="15" thickBot="1" x14ac:dyDescent="0.35">
      <c r="A16" s="13" t="s">
        <v>85</v>
      </c>
      <c r="B16" s="14">
        <f>SUM(H2:H5)</f>
        <v>12818.666666666666</v>
      </c>
      <c r="C16" s="14">
        <f>SUM(H6:H8)</f>
        <v>2002.8</v>
      </c>
      <c r="D16" s="10">
        <f>SUM(H9:H10)</f>
        <v>59987.1</v>
      </c>
      <c r="E16" s="5">
        <f>SUM(B16:D16)</f>
        <v>74808.566666666666</v>
      </c>
      <c r="F16" s="5"/>
    </row>
    <row r="17" spans="1:6" ht="15.6" thickTop="1" thickBot="1" x14ac:dyDescent="0.35">
      <c r="A17" s="13" t="s">
        <v>86</v>
      </c>
      <c r="B17" s="13">
        <f>SUM(I2:I5)</f>
        <v>19368</v>
      </c>
      <c r="C17" s="13">
        <f>SUM(I6:I8)</f>
        <v>8284</v>
      </c>
      <c r="D17" s="13">
        <f>SUM(I9:I10)</f>
        <v>68278</v>
      </c>
      <c r="E17" s="5">
        <f>SUM(B17:D17)</f>
        <v>95930</v>
      </c>
      <c r="F17" s="5"/>
    </row>
    <row r="18" spans="1:6" ht="15.6" thickTop="1" thickBot="1" x14ac:dyDescent="0.35">
      <c r="A18" s="13" t="s">
        <v>110</v>
      </c>
      <c r="B18" s="13">
        <f>SUM(J2:J5)</f>
        <v>32500</v>
      </c>
      <c r="C18" s="13">
        <f>SUM(J6:J8)</f>
        <v>1194.4000000000001</v>
      </c>
      <c r="D18" s="13">
        <f>SUM(J9:J10)</f>
        <v>124851.2</v>
      </c>
      <c r="E18" s="5">
        <f>SUM(B18:D18)</f>
        <v>158545.60000000001</v>
      </c>
      <c r="F18" s="5"/>
    </row>
    <row r="19" spans="1:6" ht="15.6" thickTop="1" thickBot="1" x14ac:dyDescent="0.35">
      <c r="A19" s="13" t="s">
        <v>6</v>
      </c>
      <c r="B19" s="24">
        <f>SUM(K2:K5)</f>
        <v>5940</v>
      </c>
      <c r="C19" s="24">
        <f>SUM(K6:K8)</f>
        <v>3120</v>
      </c>
      <c r="D19" s="24">
        <f>SUM(K9:K10)</f>
        <v>73155</v>
      </c>
      <c r="E19" s="5">
        <f>SUM(B19:D19)</f>
        <v>82215</v>
      </c>
    </row>
    <row r="20" spans="1:6" ht="15" thickTop="1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Papers and Reports</vt:lpstr>
      <vt:lpstr>Results_Visual</vt:lpstr>
      <vt:lpstr>FTTCab GPON 26 Mbps</vt:lpstr>
      <vt:lpstr>FTTB XGPON 50 Mbps</vt:lpstr>
      <vt:lpstr>FTTB WR-WDMPON 50 Mbps</vt:lpstr>
      <vt:lpstr>FTTH WR-WDMPON 100 Mbps</vt:lpstr>
      <vt:lpstr>FTTH XGPON 100 Mbps</vt:lpstr>
      <vt:lpstr>FTTCab_GPON_100</vt:lpstr>
      <vt:lpstr>FTTB_XGPON_100</vt:lpstr>
      <vt:lpstr>FTTB_WRWDM_100</vt:lpstr>
      <vt:lpstr>FTTCab_Hybridpon_25</vt:lpstr>
      <vt:lpstr>FTTB_Hybridpon_50</vt:lpstr>
      <vt:lpstr>FTTH_Hybridpon_100</vt:lpstr>
      <vt:lpstr>FTTC_Hybridpon_100</vt:lpstr>
      <vt:lpstr>FTTB_Hybridpon_100</vt:lpstr>
      <vt:lpstr>CAPEX_Euros_OASE</vt:lpstr>
      <vt:lpstr>CAPEX_Euros_Rokkas</vt:lpstr>
      <vt:lpstr>CAPEX_Euros_BSG</vt:lpstr>
      <vt:lpstr>CAPEX_Euros_Phillipson</vt:lpstr>
    </vt:vector>
  </TitlesOfParts>
  <Company>Technische Universität München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lastModifiedBy>Ahmadzay</cp:lastModifiedBy>
  <dcterms:created xsi:type="dcterms:W3CDTF">2018-06-18T12:55:08Z</dcterms:created>
  <dcterms:modified xsi:type="dcterms:W3CDTF">2018-06-23T15:38:12Z</dcterms:modified>
</cp:coreProperties>
</file>