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 firstSheet="10" activeTab="14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J53" i="16" l="1"/>
  <c r="J52" i="16"/>
  <c r="J51" i="16"/>
  <c r="J50" i="16"/>
  <c r="J49" i="16"/>
  <c r="J48" i="16"/>
  <c r="J47" i="16"/>
  <c r="J46" i="16"/>
  <c r="J45" i="16"/>
  <c r="J44" i="16"/>
  <c r="J43" i="16"/>
  <c r="J42" i="16"/>
  <c r="J41" i="16"/>
  <c r="L10" i="8" l="1"/>
  <c r="H3" i="8"/>
  <c r="H4" i="8"/>
  <c r="H5" i="8"/>
  <c r="H6" i="8"/>
  <c r="H7" i="8"/>
  <c r="H9" i="8"/>
  <c r="H10" i="8"/>
  <c r="M61" i="16" l="1"/>
  <c r="M60" i="16"/>
  <c r="M59" i="16"/>
  <c r="M58" i="16"/>
  <c r="M57" i="16"/>
  <c r="M56" i="16"/>
  <c r="M55" i="16"/>
  <c r="M54" i="16"/>
  <c r="M53" i="16"/>
  <c r="M51" i="16"/>
  <c r="M50" i="16"/>
  <c r="M49" i="16"/>
  <c r="Q33" i="16"/>
  <c r="P33" i="16"/>
  <c r="O33" i="16"/>
  <c r="N33" i="16"/>
  <c r="M33" i="16"/>
  <c r="L33" i="16"/>
  <c r="J33" i="16"/>
  <c r="G33" i="16"/>
  <c r="F33" i="16"/>
  <c r="E33" i="16"/>
  <c r="E2" i="2"/>
  <c r="M22" i="15"/>
  <c r="M21" i="15"/>
  <c r="N20" i="14"/>
  <c r="N19" i="14"/>
  <c r="P21" i="13"/>
  <c r="P20" i="13"/>
  <c r="P19" i="13"/>
  <c r="P23" i="13"/>
  <c r="P21" i="12"/>
  <c r="P20" i="12"/>
  <c r="P23" i="11"/>
  <c r="P22" i="11"/>
  <c r="M23" i="10"/>
  <c r="M22" i="10"/>
  <c r="M23" i="9"/>
  <c r="M22" i="9"/>
  <c r="M23" i="7"/>
  <c r="L4" i="7"/>
  <c r="L4" i="6"/>
  <c r="M4" i="6" s="1"/>
  <c r="O4" i="6" s="1"/>
  <c r="L6" i="6"/>
  <c r="L3" i="6"/>
  <c r="N24" i="5"/>
  <c r="N23" i="5"/>
  <c r="N28" i="3"/>
  <c r="N27" i="3"/>
  <c r="I28" i="2"/>
  <c r="I27" i="2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N9" i="15"/>
  <c r="L9" i="15"/>
  <c r="M9" i="15" s="1"/>
  <c r="O9" i="15" s="1"/>
  <c r="I9" i="15"/>
  <c r="F9" i="15"/>
  <c r="H9" i="15" s="1"/>
  <c r="W8" i="15"/>
  <c r="T8" i="15"/>
  <c r="S8" i="15"/>
  <c r="R8" i="15"/>
  <c r="N8" i="15"/>
  <c r="L8" i="15"/>
  <c r="M8" i="15" s="1"/>
  <c r="O8" i="15" s="1"/>
  <c r="I8" i="15"/>
  <c r="F8" i="15"/>
  <c r="H8" i="15" s="1"/>
  <c r="T7" i="15"/>
  <c r="W7" i="15" s="1"/>
  <c r="S7" i="15"/>
  <c r="R7" i="15"/>
  <c r="N7" i="15"/>
  <c r="O7" i="15" s="1"/>
  <c r="M7" i="15"/>
  <c r="I7" i="15"/>
  <c r="F7" i="15"/>
  <c r="H7" i="15" s="1"/>
  <c r="S6" i="15"/>
  <c r="T6" i="15" s="1"/>
  <c r="R6" i="15"/>
  <c r="W6" i="15" s="1"/>
  <c r="N6" i="15"/>
  <c r="M6" i="15"/>
  <c r="O6" i="15" s="1"/>
  <c r="I6" i="15"/>
  <c r="H6" i="15"/>
  <c r="F6" i="15"/>
  <c r="C6" i="15"/>
  <c r="W5" i="15"/>
  <c r="T5" i="15"/>
  <c r="S5" i="15"/>
  <c r="R5" i="15"/>
  <c r="O5" i="15"/>
  <c r="N5" i="15"/>
  <c r="M5" i="15"/>
  <c r="F5" i="15"/>
  <c r="H5" i="15" s="1"/>
  <c r="S4" i="15"/>
  <c r="T4" i="15" s="1"/>
  <c r="R4" i="15"/>
  <c r="W4" i="15" s="1"/>
  <c r="N4" i="15"/>
  <c r="L4" i="15"/>
  <c r="M4" i="15" s="1"/>
  <c r="O4" i="15" s="1"/>
  <c r="F4" i="15"/>
  <c r="H4" i="15" s="1"/>
  <c r="C4" i="15"/>
  <c r="W3" i="15"/>
  <c r="T3" i="15"/>
  <c r="S3" i="15"/>
  <c r="R3" i="15"/>
  <c r="N3" i="15"/>
  <c r="L3" i="15"/>
  <c r="M3" i="15" s="1"/>
  <c r="O3" i="15" s="1"/>
  <c r="I3" i="15"/>
  <c r="F3" i="15"/>
  <c r="H3" i="15" s="1"/>
  <c r="T2" i="15"/>
  <c r="W2" i="15" s="1"/>
  <c r="S2" i="15"/>
  <c r="R2" i="15"/>
  <c r="N2" i="15"/>
  <c r="L2" i="15"/>
  <c r="M2" i="15" s="1"/>
  <c r="I2" i="15"/>
  <c r="F2" i="15"/>
  <c r="H2" i="15" s="1"/>
  <c r="D9" i="14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N10" i="14"/>
  <c r="M10" i="14"/>
  <c r="O10" i="14" s="1"/>
  <c r="H10" i="14"/>
  <c r="F10" i="14"/>
  <c r="S9" i="14"/>
  <c r="T9" i="14" s="1"/>
  <c r="R9" i="14"/>
  <c r="N9" i="14"/>
  <c r="M9" i="14"/>
  <c r="O9" i="14" s="1"/>
  <c r="L9" i="14"/>
  <c r="I9" i="14"/>
  <c r="F9" i="14"/>
  <c r="H9" i="14" s="1"/>
  <c r="S8" i="14"/>
  <c r="T8" i="14" s="1"/>
  <c r="R8" i="14"/>
  <c r="W8" i="14" s="1"/>
  <c r="N8" i="14"/>
  <c r="L8" i="14"/>
  <c r="M8" i="14" s="1"/>
  <c r="O8" i="14" s="1"/>
  <c r="I8" i="14"/>
  <c r="F8" i="14"/>
  <c r="H8" i="14" s="1"/>
  <c r="S7" i="14"/>
  <c r="T7" i="14" s="1"/>
  <c r="R7" i="14"/>
  <c r="N7" i="14"/>
  <c r="L7" i="14"/>
  <c r="M7" i="14" s="1"/>
  <c r="O7" i="14" s="1"/>
  <c r="I7" i="14"/>
  <c r="F7" i="14"/>
  <c r="H7" i="14" s="1"/>
  <c r="T6" i="14"/>
  <c r="S6" i="14"/>
  <c r="R6" i="14"/>
  <c r="N6" i="14"/>
  <c r="O6" i="14" s="1"/>
  <c r="M6" i="14"/>
  <c r="I6" i="14"/>
  <c r="F6" i="14"/>
  <c r="H6" i="14" s="1"/>
  <c r="S5" i="14"/>
  <c r="T5" i="14" s="1"/>
  <c r="R5" i="14"/>
  <c r="W5" i="14" s="1"/>
  <c r="N5" i="14"/>
  <c r="M5" i="14"/>
  <c r="O5" i="14" s="1"/>
  <c r="I5" i="14"/>
  <c r="F5" i="14"/>
  <c r="H5" i="14" s="1"/>
  <c r="T4" i="14"/>
  <c r="S4" i="14"/>
  <c r="R4" i="14"/>
  <c r="N4" i="14"/>
  <c r="L4" i="14"/>
  <c r="M4" i="14" s="1"/>
  <c r="O4" i="14" s="1"/>
  <c r="F4" i="14"/>
  <c r="H4" i="14" s="1"/>
  <c r="S3" i="14"/>
  <c r="T3" i="14" s="1"/>
  <c r="R3" i="14"/>
  <c r="W3" i="14" s="1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N9" i="13"/>
  <c r="I9" i="13"/>
  <c r="F9" i="13"/>
  <c r="H9" i="13" s="1"/>
  <c r="S8" i="13"/>
  <c r="T8" i="13" s="1"/>
  <c r="R8" i="13"/>
  <c r="N8" i="13"/>
  <c r="M8" i="13"/>
  <c r="O8" i="13" s="1"/>
  <c r="I8" i="13"/>
  <c r="F8" i="13"/>
  <c r="H8" i="13" s="1"/>
  <c r="T7" i="13"/>
  <c r="S7" i="13"/>
  <c r="R7" i="13"/>
  <c r="W7" i="13" s="1"/>
  <c r="O7" i="13"/>
  <c r="N7" i="13"/>
  <c r="M7" i="13"/>
  <c r="I7" i="13"/>
  <c r="F7" i="13"/>
  <c r="H7" i="13" s="1"/>
  <c r="S6" i="13"/>
  <c r="T6" i="13" s="1"/>
  <c r="R6" i="13"/>
  <c r="W6" i="13" s="1"/>
  <c r="N6" i="13"/>
  <c r="M6" i="13"/>
  <c r="O6" i="13" s="1"/>
  <c r="I6" i="13"/>
  <c r="F6" i="13"/>
  <c r="H6" i="13" s="1"/>
  <c r="C6" i="13"/>
  <c r="S5" i="13"/>
  <c r="T5" i="13" s="1"/>
  <c r="R5" i="13"/>
  <c r="W5" i="13" s="1"/>
  <c r="N5" i="13"/>
  <c r="M5" i="13"/>
  <c r="O5" i="13" s="1"/>
  <c r="H5" i="13"/>
  <c r="F5" i="13"/>
  <c r="S4" i="13"/>
  <c r="T4" i="13" s="1"/>
  <c r="R4" i="13"/>
  <c r="N4" i="13"/>
  <c r="M4" i="13"/>
  <c r="O4" i="13" s="1"/>
  <c r="L4" i="13"/>
  <c r="F4" i="13"/>
  <c r="H4" i="13" s="1"/>
  <c r="C4" i="13"/>
  <c r="S3" i="13"/>
  <c r="T3" i="13" s="1"/>
  <c r="R3" i="13"/>
  <c r="N3" i="13"/>
  <c r="L3" i="13"/>
  <c r="M3" i="13" s="1"/>
  <c r="O3" i="13" s="1"/>
  <c r="I3" i="13"/>
  <c r="F3" i="13"/>
  <c r="H3" i="13" s="1"/>
  <c r="W2" i="13"/>
  <c r="T2" i="13"/>
  <c r="S2" i="13"/>
  <c r="R2" i="13"/>
  <c r="N2" i="13"/>
  <c r="L2" i="13"/>
  <c r="M2" i="13" s="1"/>
  <c r="O2" i="13" s="1"/>
  <c r="I2" i="13"/>
  <c r="F2" i="13"/>
  <c r="H2" i="13" s="1"/>
  <c r="H10" i="13" s="1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W9" i="9"/>
  <c r="R9" i="11"/>
  <c r="W9" i="11" s="1"/>
  <c r="W11" i="11" s="1"/>
  <c r="W3" i="12"/>
  <c r="W4" i="12"/>
  <c r="W5" i="12"/>
  <c r="W6" i="12"/>
  <c r="W7" i="12"/>
  <c r="W8" i="12"/>
  <c r="W9" i="12"/>
  <c r="W2" i="12"/>
  <c r="R9" i="12"/>
  <c r="R3" i="12"/>
  <c r="R4" i="12"/>
  <c r="R5" i="12"/>
  <c r="R6" i="12"/>
  <c r="R7" i="12"/>
  <c r="R8" i="12"/>
  <c r="R2" i="12"/>
  <c r="O10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N3" i="12"/>
  <c r="N4" i="12"/>
  <c r="N5" i="12"/>
  <c r="N6" i="12"/>
  <c r="N7" i="12"/>
  <c r="N8" i="12"/>
  <c r="N9" i="12"/>
  <c r="N2" i="12"/>
  <c r="M4" i="12"/>
  <c r="O4" i="12" s="1"/>
  <c r="M5" i="12"/>
  <c r="O5" i="12" s="1"/>
  <c r="M6" i="12"/>
  <c r="O6" i="12" s="1"/>
  <c r="M7" i="12"/>
  <c r="O7" i="12" s="1"/>
  <c r="M2" i="12"/>
  <c r="O2" i="12" s="1"/>
  <c r="L9" i="12"/>
  <c r="M9" i="12" s="1"/>
  <c r="O9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F3" i="12"/>
  <c r="F4" i="12"/>
  <c r="F5" i="12"/>
  <c r="F6" i="12"/>
  <c r="F7" i="12"/>
  <c r="F8" i="12"/>
  <c r="F9" i="12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O11" i="1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N3" i="11"/>
  <c r="N4" i="11"/>
  <c r="N5" i="11"/>
  <c r="N6" i="11"/>
  <c r="N7" i="11"/>
  <c r="N8" i="11"/>
  <c r="N9" i="11"/>
  <c r="N10" i="11"/>
  <c r="N2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9" i="11"/>
  <c r="H2" i="11"/>
  <c r="F3" i="11"/>
  <c r="F4" i="11"/>
  <c r="H4" i="11" s="1"/>
  <c r="F5" i="11"/>
  <c r="F6" i="11"/>
  <c r="H6" i="11" s="1"/>
  <c r="F7" i="11"/>
  <c r="F8" i="11"/>
  <c r="H8" i="11" s="1"/>
  <c r="F9" i="1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J19" i="10" s="1"/>
  <c r="H18" i="10"/>
  <c r="I18" i="10" s="1"/>
  <c r="C18" i="10"/>
  <c r="J18" i="10" s="1"/>
  <c r="J20" i="10" s="1"/>
  <c r="B18" i="10"/>
  <c r="S10" i="10"/>
  <c r="T10" i="10" s="1"/>
  <c r="R10" i="10"/>
  <c r="N10" i="10"/>
  <c r="L10" i="10"/>
  <c r="M10" i="10" s="1"/>
  <c r="O10" i="10" s="1"/>
  <c r="I10" i="10"/>
  <c r="F10" i="10"/>
  <c r="H10" i="10" s="1"/>
  <c r="S9" i="10"/>
  <c r="T9" i="10" s="1"/>
  <c r="R9" i="10"/>
  <c r="N9" i="10"/>
  <c r="L9" i="10"/>
  <c r="M9" i="10" s="1"/>
  <c r="O9" i="10" s="1"/>
  <c r="I9" i="10"/>
  <c r="F9" i="10"/>
  <c r="H9" i="10" s="1"/>
  <c r="S8" i="10"/>
  <c r="T8" i="10" s="1"/>
  <c r="W8" i="10" s="1"/>
  <c r="R8" i="10"/>
  <c r="O8" i="10"/>
  <c r="N8" i="10"/>
  <c r="M8" i="10"/>
  <c r="I8" i="10"/>
  <c r="F8" i="10"/>
  <c r="H8" i="10" s="1"/>
  <c r="T7" i="10"/>
  <c r="W7" i="10" s="1"/>
  <c r="S7" i="10"/>
  <c r="R7" i="10"/>
  <c r="N7" i="10"/>
  <c r="O7" i="10" s="1"/>
  <c r="M7" i="10"/>
  <c r="F7" i="10"/>
  <c r="H7" i="10" s="1"/>
  <c r="S6" i="10"/>
  <c r="T6" i="10" s="1"/>
  <c r="W6" i="10" s="1"/>
  <c r="R6" i="10"/>
  <c r="N6" i="10"/>
  <c r="L6" i="10"/>
  <c r="M6" i="10" s="1"/>
  <c r="O6" i="10" s="1"/>
  <c r="H6" i="10"/>
  <c r="F6" i="10"/>
  <c r="T5" i="10"/>
  <c r="W5" i="10" s="1"/>
  <c r="S5" i="10"/>
  <c r="R5" i="10"/>
  <c r="N5" i="10"/>
  <c r="O5" i="10" s="1"/>
  <c r="M5" i="10"/>
  <c r="F5" i="10"/>
  <c r="H5" i="10" s="1"/>
  <c r="S4" i="10"/>
  <c r="T4" i="10" s="1"/>
  <c r="W4" i="10" s="1"/>
  <c r="R4" i="10"/>
  <c r="N4" i="10"/>
  <c r="L4" i="10"/>
  <c r="M4" i="10" s="1"/>
  <c r="O4" i="10" s="1"/>
  <c r="H4" i="10"/>
  <c r="F4" i="10"/>
  <c r="S3" i="10"/>
  <c r="T3" i="10" s="1"/>
  <c r="W3" i="10" s="1"/>
  <c r="R3" i="10"/>
  <c r="N3" i="10"/>
  <c r="L3" i="10"/>
  <c r="M3" i="10" s="1"/>
  <c r="O3" i="10" s="1"/>
  <c r="I3" i="10"/>
  <c r="F3" i="10"/>
  <c r="H3" i="10" s="1"/>
  <c r="S2" i="10"/>
  <c r="T2" i="10" s="1"/>
  <c r="R2" i="10"/>
  <c r="N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I22" i="9" s="1"/>
  <c r="B16" i="9"/>
  <c r="B21" i="9" s="1"/>
  <c r="I21" i="9" s="1"/>
  <c r="B15" i="9"/>
  <c r="B20" i="9" s="1"/>
  <c r="I20" i="9" s="1"/>
  <c r="V10" i="9"/>
  <c r="S10" i="9"/>
  <c r="T10" i="9" s="1"/>
  <c r="R10" i="9"/>
  <c r="N10" i="9"/>
  <c r="L10" i="9"/>
  <c r="M10" i="9" s="1"/>
  <c r="O10" i="9" s="1"/>
  <c r="I10" i="9"/>
  <c r="F10" i="9"/>
  <c r="H10" i="9" s="1"/>
  <c r="V9" i="9"/>
  <c r="S9" i="9"/>
  <c r="T9" i="9" s="1"/>
  <c r="R9" i="9"/>
  <c r="N9" i="9"/>
  <c r="L9" i="9"/>
  <c r="M9" i="9" s="1"/>
  <c r="O9" i="9" s="1"/>
  <c r="I9" i="9"/>
  <c r="F9" i="9"/>
  <c r="H9" i="9" s="1"/>
  <c r="V8" i="9"/>
  <c r="S8" i="9"/>
  <c r="T8" i="9" s="1"/>
  <c r="R8" i="9"/>
  <c r="N8" i="9"/>
  <c r="L8" i="9"/>
  <c r="M8" i="9" s="1"/>
  <c r="O8" i="9" s="1"/>
  <c r="I8" i="9"/>
  <c r="F8" i="9"/>
  <c r="H8" i="9" s="1"/>
  <c r="V7" i="9"/>
  <c r="S7" i="9"/>
  <c r="T7" i="9" s="1"/>
  <c r="R7" i="9"/>
  <c r="N7" i="9"/>
  <c r="L7" i="9"/>
  <c r="M7" i="9" s="1"/>
  <c r="O7" i="9" s="1"/>
  <c r="F7" i="9"/>
  <c r="H7" i="9" s="1"/>
  <c r="V6" i="9"/>
  <c r="T6" i="9"/>
  <c r="S6" i="9"/>
  <c r="R6" i="9"/>
  <c r="W6" i="9" s="1"/>
  <c r="N6" i="9"/>
  <c r="L6" i="9"/>
  <c r="M6" i="9" s="1"/>
  <c r="O6" i="9" s="1"/>
  <c r="I6" i="9"/>
  <c r="V5" i="9"/>
  <c r="T5" i="9"/>
  <c r="S5" i="9"/>
  <c r="R5" i="9"/>
  <c r="W5" i="9" s="1"/>
  <c r="N5" i="9"/>
  <c r="L5" i="9"/>
  <c r="M5" i="9" s="1"/>
  <c r="O5" i="9" s="1"/>
  <c r="F5" i="9"/>
  <c r="H5" i="9" s="1"/>
  <c r="V4" i="9"/>
  <c r="S4" i="9"/>
  <c r="T4" i="9" s="1"/>
  <c r="R4" i="9"/>
  <c r="N4" i="9"/>
  <c r="L4" i="9"/>
  <c r="M4" i="9" s="1"/>
  <c r="O4" i="9" s="1"/>
  <c r="H4" i="9"/>
  <c r="F4" i="9"/>
  <c r="V3" i="9"/>
  <c r="T3" i="9"/>
  <c r="S3" i="9"/>
  <c r="N3" i="9"/>
  <c r="L3" i="9"/>
  <c r="M3" i="9" s="1"/>
  <c r="O3" i="9" s="1"/>
  <c r="F3" i="9"/>
  <c r="H3" i="9" s="1"/>
  <c r="V2" i="9"/>
  <c r="S2" i="9"/>
  <c r="T2" i="9" s="1"/>
  <c r="N2" i="9"/>
  <c r="F2" i="9"/>
  <c r="H2" i="9" s="1"/>
  <c r="D8" i="8"/>
  <c r="R8" i="8" s="1"/>
  <c r="D10" i="8"/>
  <c r="M10" i="8" s="1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Z10" i="8"/>
  <c r="Y10" i="8"/>
  <c r="V10" i="8"/>
  <c r="S10" i="8"/>
  <c r="T10" i="8" s="1"/>
  <c r="R10" i="8"/>
  <c r="N10" i="8"/>
  <c r="F10" i="8"/>
  <c r="Z9" i="8"/>
  <c r="Y9" i="8"/>
  <c r="V9" i="8"/>
  <c r="S9" i="8"/>
  <c r="T9" i="8" s="1"/>
  <c r="R9" i="8"/>
  <c r="N9" i="8"/>
  <c r="L9" i="8"/>
  <c r="M9" i="8" s="1"/>
  <c r="O9" i="8" s="1"/>
  <c r="F9" i="8"/>
  <c r="Z8" i="8"/>
  <c r="Y8" i="8"/>
  <c r="V8" i="8"/>
  <c r="S8" i="8"/>
  <c r="T8" i="8" s="1"/>
  <c r="N8" i="8"/>
  <c r="Z7" i="8"/>
  <c r="Y7" i="8"/>
  <c r="V7" i="8"/>
  <c r="S7" i="8"/>
  <c r="T7" i="8" s="1"/>
  <c r="N7" i="8"/>
  <c r="Z6" i="8"/>
  <c r="Y6" i="8"/>
  <c r="V6" i="8"/>
  <c r="S6" i="8"/>
  <c r="T6" i="8" s="1"/>
  <c r="R6" i="8"/>
  <c r="N6" i="8"/>
  <c r="M6" i="8"/>
  <c r="O6" i="8" s="1"/>
  <c r="F6" i="8"/>
  <c r="Z5" i="8"/>
  <c r="Y5" i="8"/>
  <c r="V5" i="8"/>
  <c r="W5" i="8" s="1"/>
  <c r="T5" i="8"/>
  <c r="S5" i="8"/>
  <c r="R5" i="8"/>
  <c r="O5" i="8"/>
  <c r="N5" i="8"/>
  <c r="M5" i="8"/>
  <c r="F5" i="8"/>
  <c r="Z4" i="8"/>
  <c r="Y4" i="8"/>
  <c r="V4" i="8"/>
  <c r="S4" i="8"/>
  <c r="T4" i="8" s="1"/>
  <c r="R4" i="8"/>
  <c r="N4" i="8"/>
  <c r="L4" i="8"/>
  <c r="M4" i="8" s="1"/>
  <c r="O4" i="8" s="1"/>
  <c r="F4" i="8"/>
  <c r="Z3" i="8"/>
  <c r="Y3" i="8"/>
  <c r="V3" i="8"/>
  <c r="S3" i="8"/>
  <c r="T3" i="8" s="1"/>
  <c r="N3" i="8"/>
  <c r="Z2" i="8"/>
  <c r="Y2" i="8"/>
  <c r="V2" i="8"/>
  <c r="S2" i="8"/>
  <c r="T2" i="8" s="1"/>
  <c r="R2" i="8"/>
  <c r="N2" i="8"/>
  <c r="M2" i="8"/>
  <c r="O2" i="8" s="1"/>
  <c r="L2" i="8"/>
  <c r="G2" i="8"/>
  <c r="F2" i="8"/>
  <c r="L7" i="7"/>
  <c r="B17" i="6"/>
  <c r="B17" i="7"/>
  <c r="L3" i="7"/>
  <c r="L5" i="7"/>
  <c r="M5" i="7" s="1"/>
  <c r="O5" i="7" s="1"/>
  <c r="M6" i="7"/>
  <c r="O6" i="7" s="1"/>
  <c r="M9" i="7"/>
  <c r="O9" i="7" s="1"/>
  <c r="M10" i="7"/>
  <c r="O10" i="7" s="1"/>
  <c r="L2" i="7"/>
  <c r="D8" i="7"/>
  <c r="R8" i="7" s="1"/>
  <c r="D7" i="7"/>
  <c r="D6" i="7"/>
  <c r="D3" i="7"/>
  <c r="D2" i="7"/>
  <c r="F2" i="7" s="1"/>
  <c r="H2" i="7" s="1"/>
  <c r="I4" i="6"/>
  <c r="I5" i="6"/>
  <c r="I6" i="6"/>
  <c r="I7" i="6"/>
  <c r="I8" i="6"/>
  <c r="I9" i="6"/>
  <c r="I10" i="6"/>
  <c r="I3" i="6"/>
  <c r="W4" i="6"/>
  <c r="W6" i="6"/>
  <c r="W7" i="6"/>
  <c r="W8" i="6"/>
  <c r="W9" i="6"/>
  <c r="W10" i="6"/>
  <c r="T3" i="6"/>
  <c r="T4" i="6"/>
  <c r="T5" i="6"/>
  <c r="T6" i="6"/>
  <c r="T7" i="6"/>
  <c r="T8" i="6"/>
  <c r="T9" i="6"/>
  <c r="T10" i="6"/>
  <c r="T2" i="6"/>
  <c r="S3" i="6"/>
  <c r="S4" i="6"/>
  <c r="S5" i="6"/>
  <c r="S6" i="6"/>
  <c r="S7" i="6"/>
  <c r="S8" i="6"/>
  <c r="S9" i="6"/>
  <c r="S10" i="6"/>
  <c r="R3" i="6"/>
  <c r="W3" i="6" s="1"/>
  <c r="R4" i="6"/>
  <c r="R5" i="6"/>
  <c r="W5" i="6" s="1"/>
  <c r="R6" i="6"/>
  <c r="R7" i="6"/>
  <c r="R8" i="6"/>
  <c r="R9" i="6"/>
  <c r="R10" i="6"/>
  <c r="S2" i="6"/>
  <c r="R2" i="6"/>
  <c r="W2" i="6" s="1"/>
  <c r="O5" i="6"/>
  <c r="O6" i="6"/>
  <c r="O7" i="6"/>
  <c r="O8" i="6"/>
  <c r="O9" i="6"/>
  <c r="O10" i="6"/>
  <c r="O2" i="6"/>
  <c r="M3" i="6"/>
  <c r="O3" i="6" s="1"/>
  <c r="M5" i="6"/>
  <c r="M6" i="6"/>
  <c r="M7" i="6"/>
  <c r="M8" i="6"/>
  <c r="M9" i="6"/>
  <c r="M10" i="6"/>
  <c r="M2" i="6"/>
  <c r="H22" i="7"/>
  <c r="G22" i="7"/>
  <c r="I21" i="7"/>
  <c r="H21" i="7"/>
  <c r="G21" i="7"/>
  <c r="B21" i="7"/>
  <c r="H20" i="7"/>
  <c r="G20" i="7"/>
  <c r="B22" i="7"/>
  <c r="I22" i="7" s="1"/>
  <c r="B16" i="7"/>
  <c r="B15" i="7"/>
  <c r="B20" i="7" s="1"/>
  <c r="I20" i="7" s="1"/>
  <c r="V10" i="7"/>
  <c r="T10" i="7"/>
  <c r="S10" i="7"/>
  <c r="R10" i="7"/>
  <c r="N10" i="7"/>
  <c r="I10" i="7"/>
  <c r="F10" i="7"/>
  <c r="H10" i="7" s="1"/>
  <c r="V9" i="7"/>
  <c r="T9" i="7"/>
  <c r="S9" i="7"/>
  <c r="R9" i="7"/>
  <c r="N9" i="7"/>
  <c r="I9" i="7"/>
  <c r="F9" i="7"/>
  <c r="H9" i="7" s="1"/>
  <c r="V8" i="7"/>
  <c r="T8" i="7"/>
  <c r="S8" i="7"/>
  <c r="N8" i="7"/>
  <c r="I8" i="7"/>
  <c r="V7" i="7"/>
  <c r="T7" i="7"/>
  <c r="S7" i="7"/>
  <c r="R7" i="7"/>
  <c r="N7" i="7"/>
  <c r="M7" i="7"/>
  <c r="O7" i="7" s="1"/>
  <c r="F7" i="7"/>
  <c r="H7" i="7" s="1"/>
  <c r="V6" i="7"/>
  <c r="T6" i="7"/>
  <c r="S6" i="7"/>
  <c r="R6" i="7"/>
  <c r="N6" i="7"/>
  <c r="I6" i="7"/>
  <c r="F6" i="7"/>
  <c r="H6" i="7" s="1"/>
  <c r="V5" i="7"/>
  <c r="T5" i="7"/>
  <c r="S5" i="7"/>
  <c r="R5" i="7"/>
  <c r="N5" i="7"/>
  <c r="F5" i="7"/>
  <c r="H5" i="7" s="1"/>
  <c r="V4" i="7"/>
  <c r="S4" i="7"/>
  <c r="T4" i="7" s="1"/>
  <c r="R4" i="7"/>
  <c r="N4" i="7"/>
  <c r="M4" i="7"/>
  <c r="O4" i="7" s="1"/>
  <c r="F4" i="7"/>
  <c r="H4" i="7" s="1"/>
  <c r="V3" i="7"/>
  <c r="S3" i="7"/>
  <c r="T3" i="7" s="1"/>
  <c r="R3" i="7"/>
  <c r="N3" i="7"/>
  <c r="M3" i="7"/>
  <c r="O3" i="7" s="1"/>
  <c r="F3" i="7"/>
  <c r="H3" i="7" s="1"/>
  <c r="V2" i="7"/>
  <c r="T2" i="7"/>
  <c r="S2" i="7"/>
  <c r="R2" i="7"/>
  <c r="N2" i="7"/>
  <c r="B19" i="5"/>
  <c r="C19" i="5" s="1"/>
  <c r="J19" i="5" s="1"/>
  <c r="J20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N10" i="6"/>
  <c r="L10" i="6"/>
  <c r="N9" i="6"/>
  <c r="L9" i="6"/>
  <c r="N8" i="6"/>
  <c r="N7" i="6"/>
  <c r="N6" i="6"/>
  <c r="N5" i="6"/>
  <c r="N4" i="6"/>
  <c r="N3" i="6"/>
  <c r="N2" i="6"/>
  <c r="L2" i="6"/>
  <c r="J18" i="5"/>
  <c r="I19" i="5"/>
  <c r="I18" i="5"/>
  <c r="H19" i="5"/>
  <c r="H18" i="5"/>
  <c r="C18" i="5"/>
  <c r="B18" i="5"/>
  <c r="O11" i="5"/>
  <c r="T4" i="5"/>
  <c r="W4" i="5" s="1"/>
  <c r="T6" i="5"/>
  <c r="W6" i="5" s="1"/>
  <c r="T8" i="5"/>
  <c r="W8" i="5" s="1"/>
  <c r="T10" i="5"/>
  <c r="W10" i="5" s="1"/>
  <c r="S3" i="5"/>
  <c r="T3" i="5" s="1"/>
  <c r="W3" i="5" s="1"/>
  <c r="S4" i="5"/>
  <c r="S5" i="5"/>
  <c r="T5" i="5" s="1"/>
  <c r="W5" i="5" s="1"/>
  <c r="S6" i="5"/>
  <c r="S7" i="5"/>
  <c r="T7" i="5" s="1"/>
  <c r="W7" i="5" s="1"/>
  <c r="S8" i="5"/>
  <c r="S9" i="5"/>
  <c r="T9" i="5" s="1"/>
  <c r="W9" i="5" s="1"/>
  <c r="S10" i="5"/>
  <c r="S2" i="5"/>
  <c r="T2" i="5" s="1"/>
  <c r="W2" i="5" s="1"/>
  <c r="W11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O5" i="5"/>
  <c r="O7" i="5"/>
  <c r="O9" i="5"/>
  <c r="O2" i="5"/>
  <c r="N3" i="5"/>
  <c r="N4" i="5"/>
  <c r="N5" i="5"/>
  <c r="N6" i="5"/>
  <c r="N7" i="5"/>
  <c r="N8" i="5"/>
  <c r="N9" i="5"/>
  <c r="N10" i="5"/>
  <c r="N2" i="5"/>
  <c r="N2" i="3"/>
  <c r="N3" i="3"/>
  <c r="N4" i="3"/>
  <c r="N5" i="3"/>
  <c r="N6" i="3"/>
  <c r="N7" i="3"/>
  <c r="N8" i="3"/>
  <c r="N9" i="3"/>
  <c r="N10" i="3"/>
  <c r="M3" i="5"/>
  <c r="M4" i="5"/>
  <c r="O4" i="5" s="1"/>
  <c r="M5" i="5"/>
  <c r="M6" i="5"/>
  <c r="O6" i="5" s="1"/>
  <c r="M7" i="5"/>
  <c r="M8" i="5"/>
  <c r="O8" i="5" s="1"/>
  <c r="M9" i="5"/>
  <c r="M10" i="5"/>
  <c r="O10" i="5" s="1"/>
  <c r="M2" i="5"/>
  <c r="L10" i="5"/>
  <c r="L9" i="5"/>
  <c r="L6" i="5"/>
  <c r="L4" i="5"/>
  <c r="L2" i="5"/>
  <c r="L3" i="5"/>
  <c r="I10" i="5"/>
  <c r="I9" i="5"/>
  <c r="I9" i="3"/>
  <c r="I8" i="5"/>
  <c r="I3" i="5"/>
  <c r="H3" i="5"/>
  <c r="H4" i="5"/>
  <c r="H5" i="5"/>
  <c r="H6" i="5"/>
  <c r="H7" i="5"/>
  <c r="H8" i="5"/>
  <c r="H9" i="5"/>
  <c r="H10" i="5"/>
  <c r="H11" i="5" s="1"/>
  <c r="N22" i="5" s="1"/>
  <c r="H2" i="5"/>
  <c r="F3" i="5"/>
  <c r="F4" i="5"/>
  <c r="F5" i="5"/>
  <c r="F6" i="5"/>
  <c r="F7" i="5"/>
  <c r="F8" i="5"/>
  <c r="F9" i="5"/>
  <c r="F10" i="5"/>
  <c r="F2" i="5"/>
  <c r="C8" i="5"/>
  <c r="C6" i="5"/>
  <c r="H10" i="12" l="1"/>
  <c r="H11" i="6"/>
  <c r="N21" i="6"/>
  <c r="W11" i="6"/>
  <c r="M17" i="5"/>
  <c r="K33" i="16"/>
  <c r="I33" i="16"/>
  <c r="M23" i="15"/>
  <c r="M24" i="15"/>
  <c r="P22" i="13"/>
  <c r="P24" i="13" s="1"/>
  <c r="M25" i="10"/>
  <c r="L3" i="8"/>
  <c r="M3" i="8" s="1"/>
  <c r="O3" i="8" s="1"/>
  <c r="L16" i="8"/>
  <c r="O7" i="8"/>
  <c r="W3" i="8"/>
  <c r="F3" i="8"/>
  <c r="F8" i="8"/>
  <c r="H8" i="8" s="1"/>
  <c r="L15" i="8"/>
  <c r="L17" i="8"/>
  <c r="L20" i="8" s="1"/>
  <c r="O11" i="6"/>
  <c r="N25" i="5"/>
  <c r="N26" i="5"/>
  <c r="N27" i="5" s="1"/>
  <c r="H10" i="15"/>
  <c r="M20" i="15" s="1"/>
  <c r="O2" i="15"/>
  <c r="W10" i="15"/>
  <c r="O10" i="15"/>
  <c r="H11" i="11"/>
  <c r="W2" i="14"/>
  <c r="W4" i="14"/>
  <c r="W9" i="14"/>
  <c r="W7" i="14"/>
  <c r="W6" i="14"/>
  <c r="O11" i="14"/>
  <c r="H11" i="14"/>
  <c r="N18" i="14" s="1"/>
  <c r="N22" i="14" s="1"/>
  <c r="J20" i="14"/>
  <c r="W9" i="13"/>
  <c r="W4" i="13"/>
  <c r="W8" i="13"/>
  <c r="W3" i="13"/>
  <c r="W10" i="13" s="1"/>
  <c r="J19" i="13"/>
  <c r="L9" i="13"/>
  <c r="M9" i="13" s="1"/>
  <c r="O9" i="13" s="1"/>
  <c r="O10" i="13" s="1"/>
  <c r="J17" i="12"/>
  <c r="W10" i="12"/>
  <c r="H11" i="10"/>
  <c r="M21" i="10" s="1"/>
  <c r="M24" i="10" s="1"/>
  <c r="W2" i="10"/>
  <c r="W10" i="10"/>
  <c r="W9" i="10"/>
  <c r="O11" i="10"/>
  <c r="H11" i="9"/>
  <c r="M21" i="9" s="1"/>
  <c r="I2" i="9"/>
  <c r="R2" i="9"/>
  <c r="W2" i="9" s="1"/>
  <c r="W3" i="9"/>
  <c r="O11" i="9"/>
  <c r="W4" i="9"/>
  <c r="W7" i="9"/>
  <c r="W8" i="9"/>
  <c r="W10" i="9"/>
  <c r="I23" i="9"/>
  <c r="L8" i="8"/>
  <c r="M8" i="8" s="1"/>
  <c r="O8" i="8" s="1"/>
  <c r="W10" i="8"/>
  <c r="W8" i="8"/>
  <c r="H2" i="8"/>
  <c r="F7" i="8"/>
  <c r="R7" i="8"/>
  <c r="W7" i="8" s="1"/>
  <c r="W9" i="8"/>
  <c r="W2" i="8"/>
  <c r="W4" i="8"/>
  <c r="W6" i="8"/>
  <c r="O11" i="8"/>
  <c r="P25" i="8" s="1"/>
  <c r="I23" i="7"/>
  <c r="I2" i="7"/>
  <c r="M8" i="7"/>
  <c r="O8" i="7" s="1"/>
  <c r="M2" i="7"/>
  <c r="O2" i="7" s="1"/>
  <c r="O11" i="7" s="1"/>
  <c r="F8" i="7"/>
  <c r="H8" i="7" s="1"/>
  <c r="W10" i="7"/>
  <c r="W4" i="7"/>
  <c r="W2" i="7"/>
  <c r="W6" i="7"/>
  <c r="W7" i="7"/>
  <c r="W8" i="7"/>
  <c r="W3" i="7"/>
  <c r="W5" i="7"/>
  <c r="W9" i="7"/>
  <c r="H11" i="7"/>
  <c r="M22" i="7" s="1"/>
  <c r="M16" i="15" l="1"/>
  <c r="N21" i="14"/>
  <c r="N23" i="14" s="1"/>
  <c r="M16" i="12"/>
  <c r="P19" i="12"/>
  <c r="P16" i="11"/>
  <c r="P21" i="11"/>
  <c r="M26" i="10"/>
  <c r="M26" i="9"/>
  <c r="M25" i="9"/>
  <c r="M24" i="9"/>
  <c r="N22" i="6"/>
  <c r="N24" i="6" s="1"/>
  <c r="O16" i="6"/>
  <c r="N23" i="6"/>
  <c r="M25" i="15"/>
  <c r="W11" i="14"/>
  <c r="P16" i="14" s="1"/>
  <c r="M16" i="13"/>
  <c r="W11" i="10"/>
  <c r="M17" i="10" s="1"/>
  <c r="W11" i="9"/>
  <c r="M18" i="9" s="1"/>
  <c r="H11" i="8"/>
  <c r="W11" i="8"/>
  <c r="P26" i="8" s="1"/>
  <c r="W11" i="7"/>
  <c r="P23" i="12" l="1"/>
  <c r="P24" i="12" s="1"/>
  <c r="P22" i="12"/>
  <c r="P26" i="11"/>
  <c r="P24" i="11"/>
  <c r="P25" i="11"/>
  <c r="M18" i="7"/>
  <c r="M24" i="7"/>
  <c r="M52" i="16"/>
  <c r="N25" i="6"/>
  <c r="N26" i="6" s="1"/>
  <c r="H33" i="16"/>
  <c r="Q19" i="8"/>
  <c r="P24" i="8"/>
  <c r="M25" i="7" l="1"/>
  <c r="M26" i="7"/>
  <c r="M27" i="7" s="1"/>
  <c r="P27" i="8"/>
  <c r="P28" i="8"/>
  <c r="P29" i="8" l="1"/>
  <c r="I23" i="3"/>
  <c r="I21" i="3"/>
  <c r="I22" i="3"/>
  <c r="I20" i="3"/>
  <c r="H21" i="3"/>
  <c r="H22" i="3"/>
  <c r="H20" i="3"/>
  <c r="G21" i="3"/>
  <c r="G22" i="3"/>
  <c r="G20" i="3"/>
  <c r="B17" i="3" l="1"/>
  <c r="B22" i="3" s="1"/>
  <c r="B16" i="3"/>
  <c r="B21" i="3" s="1"/>
  <c r="B15" i="3"/>
  <c r="B20" i="3" s="1"/>
  <c r="B17" i="2"/>
  <c r="B16" i="2"/>
  <c r="L16" i="2" s="1"/>
  <c r="B15" i="2"/>
  <c r="L10" i="3"/>
  <c r="M10" i="3" s="1"/>
  <c r="L9" i="3"/>
  <c r="M9" i="3" s="1"/>
  <c r="L8" i="3"/>
  <c r="L7" i="3"/>
  <c r="M7" i="3" s="1"/>
  <c r="O7" i="3" s="1"/>
  <c r="L6" i="3"/>
  <c r="M6" i="3" s="1"/>
  <c r="L5" i="3"/>
  <c r="L3" i="3"/>
  <c r="L2" i="3"/>
  <c r="M2" i="3" s="1"/>
  <c r="O2" i="3" s="1"/>
  <c r="V3" i="3"/>
  <c r="V4" i="3"/>
  <c r="V5" i="3"/>
  <c r="V6" i="3"/>
  <c r="V7" i="3"/>
  <c r="V8" i="3"/>
  <c r="V9" i="3"/>
  <c r="V10" i="3"/>
  <c r="V2" i="3"/>
  <c r="T7" i="3"/>
  <c r="W7" i="3" s="1"/>
  <c r="S3" i="3"/>
  <c r="T3" i="3" s="1"/>
  <c r="S4" i="3"/>
  <c r="T4" i="3" s="1"/>
  <c r="S5" i="3"/>
  <c r="T5" i="3" s="1"/>
  <c r="W5" i="3" s="1"/>
  <c r="S6" i="3"/>
  <c r="T6" i="3" s="1"/>
  <c r="S7" i="3"/>
  <c r="S8" i="3"/>
  <c r="T8" i="3" s="1"/>
  <c r="W8" i="3" s="1"/>
  <c r="S9" i="3"/>
  <c r="T9" i="3" s="1"/>
  <c r="W9" i="3" s="1"/>
  <c r="S10" i="3"/>
  <c r="T10" i="3" s="1"/>
  <c r="W10" i="3" s="1"/>
  <c r="S2" i="3"/>
  <c r="T2" i="3" s="1"/>
  <c r="O8" i="3"/>
  <c r="N2" i="2"/>
  <c r="M3" i="3"/>
  <c r="M5" i="3"/>
  <c r="O5" i="3" s="1"/>
  <c r="M8" i="3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Z2" i="2"/>
  <c r="Y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N3" i="2"/>
  <c r="N4" i="2"/>
  <c r="N5" i="2"/>
  <c r="N6" i="2"/>
  <c r="N7" i="2"/>
  <c r="N8" i="2"/>
  <c r="N9" i="2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L15" i="2" l="1"/>
  <c r="O3" i="3"/>
  <c r="W4" i="3"/>
  <c r="O8" i="2"/>
  <c r="H2" i="2"/>
  <c r="W2" i="3"/>
  <c r="W3" i="3"/>
  <c r="O9" i="3"/>
  <c r="H11" i="3"/>
  <c r="N26" i="3" s="1"/>
  <c r="W6" i="3"/>
  <c r="O6" i="3"/>
  <c r="O10" i="3"/>
  <c r="L20" i="2"/>
  <c r="O11" i="3"/>
  <c r="H11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N30" i="3" l="1"/>
  <c r="N29" i="3"/>
  <c r="N31" i="3" s="1"/>
  <c r="I26" i="2"/>
  <c r="W11" i="3"/>
  <c r="M18" i="3" s="1"/>
  <c r="W11" i="2"/>
  <c r="Q19" i="2" s="1"/>
  <c r="O11" i="2"/>
  <c r="I30" i="2" l="1"/>
  <c r="I29" i="2"/>
  <c r="I31" i="2" s="1"/>
</calcChain>
</file>

<file path=xl/sharedStrings.xml><?xml version="1.0" encoding="utf-8"?>
<sst xmlns="http://schemas.openxmlformats.org/spreadsheetml/2006/main" count="873" uniqueCount="113">
  <si>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</si>
  <si>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</si>
  <si>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</si>
  <si>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</si>
  <si>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</si>
  <si>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</si>
  <si>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</si>
  <si>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</si>
  <si>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</si>
  <si>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</si>
  <si>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</si>
  <si>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</si>
  <si>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</si>
  <si>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</si>
  <si>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</si>
  <si>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</si>
  <si>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</si>
  <si>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</si>
  <si>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</si>
  <si>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</si>
  <si>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</si>
  <si>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</si>
  <si>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</si>
  <si>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</si>
  <si>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</si>
  <si>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</si>
  <si>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</si>
  <si>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</si>
  <si>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</si>
  <si>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</si>
  <si>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</si>
  <si>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</si>
  <si>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Residential</t>
  </si>
  <si>
    <t>FM Penalty Business</t>
  </si>
  <si>
    <t>FM Penalty ITS</t>
  </si>
  <si>
    <t>Column1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</si>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</sst>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33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1" fillId="2" borderId="0" xfId="0" applyFont="1" applyFill="1"/>
    <xf numFmtId="0" fontId="5" fillId="5" borderId="8" xfId="0" applyFont="1" applyFill="1" applyBorder="1"/>
    <xf numFmtId="0" fontId="0" fillId="5" borderId="8" xfId="0" applyFont="1" applyFill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0" borderId="8" xfId="0" applyFont="1" applyBorder="1"/>
    <xf numFmtId="0" fontId="8" fillId="6" borderId="0" xfId="0" applyFont="1" applyFill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6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84992"/>
        <c:axId val="163586048"/>
      </c:barChart>
      <c:catAx>
        <c:axId val="968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86048"/>
        <c:crosses val="autoZero"/>
        <c:auto val="1"/>
        <c:lblAlgn val="ctr"/>
        <c:lblOffset val="100"/>
        <c:noMultiLvlLbl val="0"/>
      </c:catAx>
      <c:valAx>
        <c:axId val="1635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</a:t>
            </a:r>
            <a:r>
              <a:rPr lang="en-US" baseline="0"/>
              <a:t> Year OPEX for different Technologies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4598528"/>
        <c:axId val="144600448"/>
      </c:barChart>
      <c:catAx>
        <c:axId val="1445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0448"/>
        <c:crosses val="autoZero"/>
        <c:auto val="1"/>
        <c:lblAlgn val="ctr"/>
        <c:lblOffset val="100"/>
        <c:noMultiLvlLbl val="0"/>
      </c:catAx>
      <c:valAx>
        <c:axId val="1446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0</xdr:row>
      <xdr:rowOff>0</xdr:rowOff>
    </xdr:from>
    <xdr:to>
      <xdr:col>13</xdr:col>
      <xdr:colOff>822960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64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63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62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W11" totalsRowCount="1">
  <autoFilter ref="B1:W10"/>
  <tableColumns count="22">
    <tableColumn id="1" name="Component Name" dataDxfId="123" totalsRowDxfId="122"/>
    <tableColumn id="2" name="Cost per Unit (OASE)" dataDxfId="121" totalsRowDxfId="120"/>
    <tableColumn id="3" name="Quantity" dataDxfId="119" totalsRowDxfId="118"/>
    <tableColumn id="4" name="Floor Space per component" totalsRowDxfId="117"/>
    <tableColumn id="5" name="Total Floor Space" totalsRowDxfId="116">
      <calculatedColumnFormula>E2*D2</calculatedColumnFormula>
    </tableColumn>
    <tableColumn id="6" name="Rent per sqm per year" totalsRowDxfId="115"/>
    <tableColumn id="7" name="Total Rent cost per year" totalsRowFunction="sum" totalsRowDxfId="114">
      <calculatedColumnFormula>G2*F2</calculatedColumnFormula>
    </tableColumn>
    <tableColumn id="8" name="Installation Time in hours" totalsRowDxfId="113"/>
    <tableColumn id="9" name="MTTR" totalsRowDxfId="112"/>
    <tableColumn id="10" name="FIT" totalsRowDxfId="111"/>
    <tableColumn id="11" name="Energy consumption in W" totalsRowDxfId="110"/>
    <tableColumn id="12" name="Yearly Energy Consumption in kWh" totalsRowDxfId="109">
      <calculatedColumnFormula>Table19[[#This Row],[Energy consumption in W]]*24*365/1000</calculatedColumnFormula>
    </tableColumn>
    <tableColumn id="13" name="CU/kWh" totalsRowDxfId="108">
      <calculatedColumnFormula>0.3048/50</calculatedColumnFormula>
    </tableColumn>
    <tableColumn id="14" name="Energy Cost per year in CU" totalsRowFunction="sum" totalsRowDxfId="107">
      <calculatedColumnFormula>Table19[[#This Row],[Yearly Energy Consumption in kWh]]*Table19[[#This Row],[CU/kWh]]</calculatedColumnFormula>
    </tableColumn>
    <tableColumn id="15" name="Mean dist in km from CO" totalsRowDxfId="106"/>
    <tableColumn id="16" name="Avg Travel Speed" totalsRowDxfId="105"/>
    <tableColumn id="17" name="Failures per year" totalsRowDxfId="104">
      <calculatedColumnFormula>Table19[[#This Row],[Quantity]]*Table19[[#This Row],[FIT]]*24*365/1000000000</calculatedColumnFormula>
    </tableColumn>
    <tableColumn id="18" name="Twice Travel Time" totalsRowDxfId="103">
      <calculatedColumnFormula>2*Table19[[#This Row],[Mean dist in km from CO]]/Table19[[#This Row],[Avg Travel Speed]]</calculatedColumnFormula>
    </tableColumn>
    <tableColumn id="19" name="Total Time to Repair(h)" totalsRowDxfId="102">
      <calculatedColumnFormula>Table19[[#This Row],[MTTR]]+Table19[[#This Row],[Twice Travel Time]]</calculatedColumnFormula>
    </tableColumn>
    <tableColumn id="20" name="No. Of technicians" totalsRowDxfId="101"/>
    <tableColumn id="21" name="Cost per hour" totalsRowDxfId="100"/>
    <tableColumn id="22" name="FM Cost" totalsRowFunction="custom" totalsRowDxfId="99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20:M26" totalsRowCount="1">
  <autoFilter ref="L20:M25"/>
  <tableColumns count="2">
    <tableColumn id="1" name="Component"/>
    <tableColumn id="2" name="Cost" totalsRowFunction="custom">
      <totalsRowFormula>SUM(Table141617[Cost])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98" totalsRowDxfId="97"/>
    <tableColumn id="2" name="Component Name" dataDxfId="96" totalsRowDxfId="95"/>
    <tableColumn id="3" name="Cost per Unit (OASE)" dataDxfId="94" totalsRowDxfId="93"/>
    <tableColumn id="4" name="Quantity" dataDxfId="92" totalsRowDxfId="91"/>
    <tableColumn id="5" name="Floor Space per component" totalsRowDxfId="90"/>
    <tableColumn id="6" name="Total Floor Space" totalsRowDxfId="89">
      <calculatedColumnFormula>E2*D2</calculatedColumnFormula>
    </tableColumn>
    <tableColumn id="7" name="Rent per sqm per year" totalsRowDxfId="88"/>
    <tableColumn id="8" name="Total Rent cost per year" totalsRowFunction="custom" totalsRowDxfId="87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86"/>
    <tableColumn id="10" name="MTTR" totalsRowDxfId="85"/>
    <tableColumn id="11" name="FIT" totalsRowDxfId="84"/>
    <tableColumn id="12" name="Energy consumption in W" totalsRowDxfId="83"/>
    <tableColumn id="13" name="Yearly Energy Consumption in kWh" totalsRowDxfId="82">
      <calculatedColumnFormula>Table10[[#This Row],[Energy consumption in W]]*24*365/1000</calculatedColumnFormula>
    </tableColumn>
    <tableColumn id="14" name="CU/kWh" totalsRowDxfId="81">
      <calculatedColumnFormula>0.3084/50</calculatedColumnFormula>
    </tableColumn>
    <tableColumn id="15" name="Energy Cost per year in CU" totalsRowFunction="sum" totalsRowDxfId="80">
      <calculatedColumnFormula>Table10[[#This Row],[Yearly Energy Consumption in kWh]]*Table10[[#This Row],[CU/kWh]]</calculatedColumnFormula>
    </tableColumn>
    <tableColumn id="16" name="Mean dist in km from CO" totalsRowDxfId="79"/>
    <tableColumn id="17" name="Avg Travel Speed" totalsRowDxfId="78"/>
    <tableColumn id="18" name="Failures per year" totalsRowDxfId="77">
      <calculatedColumnFormula>Table10[[#This Row],[FIT]]*Table10[[#This Row],[Quantity]]*24*365/1000000000</calculatedColumnFormula>
    </tableColumn>
    <tableColumn id="19" name="Twice Travel Time" totalsRowDxfId="76">
      <calculatedColumnFormula>2*Table10[[#This Row],[Mean dist in km from CO]]/Table10[[#This Row],[Avg Travel Speed]]</calculatedColumnFormula>
    </tableColumn>
    <tableColumn id="20" name="Total Time to Repair(h)" totalsRowDxfId="75">
      <calculatedColumnFormula>Table10[[#This Row],[MTTR]]+Table10[[#This Row],[Twice Travel Time]]</calculatedColumnFormula>
    </tableColumn>
    <tableColumn id="21" name="No. Of technicians" totalsRowDxfId="74"/>
    <tableColumn id="22" name="Cost per hour" totalsRowDxfId="73"/>
    <tableColumn id="23" name="FM Cost" totalsRowFunction="sum" totalsRowDxfId="72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71" totalsRowDxfId="70"/>
    <tableColumn id="2" name="Component Name" dataDxfId="69" totalsRowDxfId="68"/>
    <tableColumn id="3" name="Cost per Unit (OASE)" dataDxfId="67" totalsRowDxfId="66"/>
    <tableColumn id="4" name="Quantity" dataDxfId="65" totalsRowDxfId="64"/>
    <tableColumn id="5" name="Floor Space per component" totalsRowDxfId="63"/>
    <tableColumn id="6" name="Total Floor Space" totalsRowDxfId="62">
      <calculatedColumnFormula>E2*D2</calculatedColumnFormula>
    </tableColumn>
    <tableColumn id="7" name="Rent per sqm per year" totalsRowDxfId="61"/>
    <tableColumn id="8" name="Total Rent cost per year" totalsRowFunction="custom" totalsRowDxfId="60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59"/>
    <tableColumn id="10" name="MTTR" totalsRowDxfId="58"/>
    <tableColumn id="11" name="FIT" totalsRowDxfId="57"/>
    <tableColumn id="12" name="Energy consumption in W" totalsRowDxfId="56"/>
    <tableColumn id="13" name="Yearly Energy Consumption in kWh" totalsRowDxfId="55">
      <calculatedColumnFormula>Table1012[[#This Row],[Energy consumption in W]]*24*365/1000</calculatedColumnFormula>
    </tableColumn>
    <tableColumn id="14" name="CU/kWh" totalsRowDxfId="54">
      <calculatedColumnFormula>0.3084/50</calculatedColumnFormula>
    </tableColumn>
    <tableColumn id="15" name="Energy Cost per year in CU" totalsRowFunction="sum" totalsRowDxfId="53">
      <calculatedColumnFormula>Table1012[[#This Row],[Yearly Energy Consumption in kWh]]*Table1012[[#This Row],[CU/kWh]]</calculatedColumnFormula>
    </tableColumn>
    <tableColumn id="16" name="Mean dist in km from CO" totalsRowDxfId="52"/>
    <tableColumn id="17" name="Avg Travel Speed" totalsRowDxfId="51"/>
    <tableColumn id="18" name="Failures per year" totalsRowDxfId="50">
      <calculatedColumnFormula>Table1012[[#This Row],[FIT]]*Table1012[[#This Row],[Quantity]]*24*365/1000000000</calculatedColumnFormula>
    </tableColumn>
    <tableColumn id="19" name="Twice Travel Time" totalsRowDxfId="49">
      <calculatedColumnFormula>2*Table1012[[#This Row],[Mean dist in km from CO]]/Table1012[[#This Row],[Avg Travel Speed]]</calculatedColumnFormula>
    </tableColumn>
    <tableColumn id="20" name="Total Time to Repair(h)" totalsRowDxfId="48">
      <calculatedColumnFormula>Table1012[[#This Row],[MTTR]]+Table1012[[#This Row],[Twice Travel Time]]</calculatedColumnFormula>
    </tableColumn>
    <tableColumn id="21" name="No. Of technicians" totalsRowDxfId="47"/>
    <tableColumn id="22" name="Cost per hour" totalsRowDxfId="46"/>
    <tableColumn id="23" name="FM Cost" totalsRowFunction="sum" totalsRowDxfId="45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44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43" totalsRowDxfId="42"/>
    <tableColumn id="2" name="Component Name" dataDxfId="41" totalsRowDxfId="40"/>
    <tableColumn id="3" name="Cost per Unit (OASE)" dataDxfId="39" totalsRowDxfId="38"/>
    <tableColumn id="4" name="Quantity" dataDxfId="37" totalsRowDxfId="36"/>
    <tableColumn id="5" name="Floor Space per component" totalsRowDxfId="35"/>
    <tableColumn id="6" name="Total Floor Space" totalsRowDxfId="34">
      <calculatedColumnFormula>E2*D2</calculatedColumnFormula>
    </tableColumn>
    <tableColumn id="7" name="Rent per sqm per year" totalsRowDxfId="33"/>
    <tableColumn id="8" name="Total Rent cost per year" totalsRowFunction="custom" totalsRowDxfId="32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31"/>
    <tableColumn id="10" name="MTTR" totalsRowDxfId="30"/>
    <tableColumn id="11" name="FIT" totalsRowDxfId="29"/>
    <tableColumn id="12" name="Energy consumption in W" totalsRowDxfId="28"/>
    <tableColumn id="13" name="Yearly Energy Consumption in kWh" totalsRowDxfId="27">
      <calculatedColumnFormula>Table1014[[#This Row],[Energy consumption in W]]*24*365/1000</calculatedColumnFormula>
    </tableColumn>
    <tableColumn id="14" name="CU/kWh" totalsRowDxfId="26">
      <calculatedColumnFormula>0.3084/50</calculatedColumnFormula>
    </tableColumn>
    <tableColumn id="15" name="Energy Cost per year in CU" totalsRowFunction="sum" totalsRowDxfId="25">
      <calculatedColumnFormula>Table1014[[#This Row],[Yearly Energy Consumption in kWh]]*Table1014[[#This Row],[CU/kWh]]</calculatedColumnFormula>
    </tableColumn>
    <tableColumn id="16" name="Mean dist in km from CO" totalsRowDxfId="24"/>
    <tableColumn id="17" name="Avg Travel Speed" totalsRowDxfId="23"/>
    <tableColumn id="18" name="Failures per year" totalsRowDxfId="22">
      <calculatedColumnFormula>Table1014[[#This Row],[FIT]]*Table1014[[#This Row],[Quantity]]*24*365/1000000000</calculatedColumnFormula>
    </tableColumn>
    <tableColumn id="19" name="Twice Travel Time" totalsRowDxfId="21">
      <calculatedColumnFormula>2*Table1014[[#This Row],[Mean dist in km from CO]]/Table1014[[#This Row],[Avg Travel Speed]]</calculatedColumnFormula>
    </tableColumn>
    <tableColumn id="20" name="Total Time to Repair(h)" totalsRowDxfId="20">
      <calculatedColumnFormula>Table1014[[#This Row],[MTTR]]+Table1014[[#This Row],[Twice Travel Time]]</calculatedColumnFormula>
    </tableColumn>
    <tableColumn id="21" name="No. Of technicians" totalsRowDxfId="19"/>
    <tableColumn id="22" name="Cost per hour" totalsRowDxfId="18"/>
    <tableColumn id="23" name="FM Cost" totalsRowFunction="sum" totalsRowDxfId="17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6"/>
    <tableColumn id="2" name="FTTC_GPON_25" totalsRowFunction="custom" totalsRowDxfId="15">
      <totalsRowFormula>SUM(Table22[FTTC_GPON_25])</totalsRowFormula>
    </tableColumn>
    <tableColumn id="3" name="FTTB_XGPON_50" totalsRowFunction="sum" totalsRowDxfId="14"/>
    <tableColumn id="4" name="FTTB_DWDM_50" totalsRowFunction="sum" totalsRowDxfId="13"/>
    <tableColumn id="5" name="FTTH_DWDM_100" totalsRowFunction="sum" totalsRowDxfId="12"/>
    <tableColumn id="6" name="FTTH_XGPON_100" totalsRowFunction="sum" totalsRowDxfId="11"/>
    <tableColumn id="7" name="FTTC_GPON_100" totalsRowFunction="sum" totalsRowDxfId="10"/>
    <tableColumn id="8" name="FTTB_XGPON_100" totalsRowFunction="sum" dataDxfId="9" totalsRowDxfId="8"/>
    <tableColumn id="9" name="FTTB_DWDM_100" totalsRowFunction="sum" dataDxfId="7" totalsRowDxfId="6"/>
    <tableColumn id="10" name="FTTC_Hybridpon_25" totalsRowFunction="sum" dataDxfId="5" totalsRowDxfId="4"/>
    <tableColumn id="11" name="FTTB_Hybridpon_50" totalsRowFunction="sum" totalsRowDxfId="3"/>
    <tableColumn id="12" name="FTTH_Hybridpon_100" totalsRowFunction="sum" totalsRowDxfId="2"/>
    <tableColumn id="13" name="FTTC_Hybridpon_100" totalsRowFunction="sum" totalsRowDxfId="1"/>
    <tableColumn id="14" name="FTTB_Hybridpon_100" totalsRowFunction="sum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W11" totalsRowCount="1">
  <autoFilter ref="B1:W10"/>
  <tableColumns count="22">
    <tableColumn id="1" name="Component Name" dataDxfId="161" totalsRowDxfId="160"/>
    <tableColumn id="2" name="Cost per Unit (OASE)" dataDxfId="159" totalsRowDxfId="158"/>
    <tableColumn id="3" name="Quantity" dataDxfId="157" totalsRowDxfId="156"/>
    <tableColumn id="4" name="Floor Space per component" totalsRowDxfId="155"/>
    <tableColumn id="5" name="Total Floor Space" totalsRowDxfId="154">
      <calculatedColumnFormula>E2*D2</calculatedColumnFormula>
    </tableColumn>
    <tableColumn id="6" name="Rent per sqm per year" totalsRowDxfId="153"/>
    <tableColumn id="7" name="Total Rent cost per year" totalsRowFunction="sum" totalsRowDxfId="152">
      <calculatedColumnFormula>G2*F2</calculatedColumnFormula>
    </tableColumn>
    <tableColumn id="8" name="Installation Time in hours" totalsRowDxfId="151"/>
    <tableColumn id="9" name="MTTR" totalsRowDxfId="150"/>
    <tableColumn id="10" name="FIT" totalsRowDxfId="149"/>
    <tableColumn id="11" name="Energy consumption in W" totalsRowDxfId="148"/>
    <tableColumn id="12" name="Yearly Energy Consumption in kWh" totalsRowDxfId="147">
      <calculatedColumnFormula>Table1[[#This Row],[Energy consumption in W]]*24*365/1000</calculatedColumnFormula>
    </tableColumn>
    <tableColumn id="13" name="CU/kWh" totalsRowDxfId="146">
      <calculatedColumnFormula>0.3048/50</calculatedColumnFormula>
    </tableColumn>
    <tableColumn id="14" name="Energy Cost per year in CU" totalsRowFunction="sum" totalsRowDxfId="145">
      <calculatedColumnFormula>Table1[[#This Row],[Yearly Energy Consumption in kWh]]*Table1[[#This Row],[CU/kWh]]</calculatedColumnFormula>
    </tableColumn>
    <tableColumn id="15" name="Mean dist in km from CO" totalsRowDxfId="144"/>
    <tableColumn id="16" name="Avg Travel Speed" totalsRowDxfId="143"/>
    <tableColumn id="17" name="Failures per year" totalsRowDxfId="142">
      <calculatedColumnFormula>Table1[[#This Row],[Quantity]]*Table1[[#This Row],[FIT]]*24*365/1000000000</calculatedColumnFormula>
    </tableColumn>
    <tableColumn id="18" name="Twice Travel Time" totalsRowDxfId="141">
      <calculatedColumnFormula>2*Table1[[#This Row],[Mean dist in km from CO]]/Table1[[#This Row],[Avg Travel Speed]]</calculatedColumnFormula>
    </tableColumn>
    <tableColumn id="19" name="Total Time to Repair(h)" totalsRowDxfId="140">
      <calculatedColumnFormula>Table1[[#This Row],[MTTR]]+Table1[[#This Row],[Twice Travel Time]]</calculatedColumnFormula>
    </tableColumn>
    <tableColumn id="20" name="No. Of technicians" totalsRowDxfId="139"/>
    <tableColumn id="21" name="Cost per hour" totalsRowDxfId="138"/>
    <tableColumn id="22" name="FM Cost" totalsRowFunction="custom" totalsRowDxfId="137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W11" totalsRowCount="1">
  <autoFilter ref="A1:W10"/>
  <tableColumns count="23">
    <tableColumn id="1" name="Position of component"/>
    <tableColumn id="2" name="Component Name" dataDxfId="136"/>
    <tableColumn id="3" name="Cost per Unit (OASE)"/>
    <tableColumn id="4" name="Quantity" dataDxfId="135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0.3048/50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A11" totalsRowCount="1">
  <autoFilter ref="A1:AA10"/>
  <tableColumns count="27">
    <tableColumn id="1" name="Position of component"/>
    <tableColumn id="2" name="Component Name" dataDxfId="134"/>
    <tableColumn id="3" name="Cost per Unit (OASE)"/>
    <tableColumn id="4" name="Quantity" dataDxfId="133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A11" totalsRowCount="1">
  <autoFilter ref="A1:AA10"/>
  <tableColumns count="27">
    <tableColumn id="1" name="Position of component"/>
    <tableColumn id="2" name="Component Name" dataDxfId="132" totalsRowDxfId="131"/>
    <tableColumn id="3" name="Cost per Unit (OASE)" dataDxfId="130"/>
    <tableColumn id="4" name="Quantity" dataDxfId="129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128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27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26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P28" totalsRowShown="0">
  <autoFilter ref="O23:P28"/>
  <tableColumns count="2">
    <tableColumn id="1" name="Component"/>
    <tableColumn id="2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A11" totalsRowCount="1">
  <autoFilter ref="A1:AA10"/>
  <tableColumns count="27">
    <tableColumn id="1" name="Position of component"/>
    <tableColumn id="2" name="Component Name"/>
    <tableColumn id="3" name="Cost per Unit (OASE)" dataDxfId="125"/>
    <tableColumn id="4" name="Quantity" dataDxfId="124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20:M26" totalsRowCount="1">
  <autoFilter ref="L20:M25"/>
  <tableColumns count="2">
    <tableColumn id="1" name="Component"/>
    <tableColumn id="2" name="Cost" totalsRowFunction="custom">
      <totalsRowFormula>SUM(Table1416[Cost])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3" workbookViewId="0">
      <selection activeCell="E21" sqref="E2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55</v>
      </c>
      <c r="B3" s="1" t="s">
        <v>57</v>
      </c>
      <c r="C3" s="1" t="s">
        <v>59</v>
      </c>
      <c r="D3" s="1" t="s">
        <v>58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56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F1" zoomScale="70" zoomScaleNormal="70" workbookViewId="0">
      <selection activeCell="P21" sqref="P21:P25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0.3084/50</f>
        <v>6.1679999999999999E-3</v>
      </c>
      <c r="O2">
        <f>Table9[[#This Row],[Yearly Energy Consumption in kWh]]*Table9[[#This Row],[CU/kWh]]</f>
        <v>21.612672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25">
      <c r="A3" t="s">
        <v>3</v>
      </c>
      <c r="B3" t="s">
        <v>86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0.3084/50</f>
        <v>6.1679999999999999E-3</v>
      </c>
      <c r="O3" s="8">
        <f>Table9[[#This Row],[Yearly Energy Consumption in kWh]]*Table9[[#This Row],[CU/kWh]]</f>
        <v>43.225344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2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6.1679999999999999E-3</v>
      </c>
      <c r="O4" s="8">
        <f>Table9[[#This Row],[Yearly Energy Consumption in kWh]]*Table9[[#This Row],[CU/kWh]]</f>
        <v>32.419007999999998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25">
      <c r="A5" t="s">
        <v>3</v>
      </c>
      <c r="B5" t="s">
        <v>77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6.1679999999999999E-3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25">
      <c r="A6" t="s">
        <v>8</v>
      </c>
      <c r="B6" t="s">
        <v>78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6.1679999999999999E-3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25">
      <c r="A7" t="s">
        <v>10</v>
      </c>
      <c r="B7" t="s">
        <v>87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6.1679999999999999E-3</v>
      </c>
      <c r="O7" s="8">
        <f>Table9[[#This Row],[Yearly Energy Consumption in kWh]]*Table9[[#This Row],[CU/kWh]]</f>
        <v>1647.96624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25">
      <c r="A8" t="s">
        <v>10</v>
      </c>
      <c r="B8" t="s">
        <v>88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6.1679999999999999E-3</v>
      </c>
      <c r="O8" s="8">
        <f>Table9[[#This Row],[Yearly Energy Consumption in kWh]]*Table9[[#This Row],[CU/kWh]]</f>
        <v>543.8288591999999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25">
      <c r="A9" t="s">
        <v>10</v>
      </c>
      <c r="B9" t="s">
        <v>89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4</v>
      </c>
      <c r="H9" s="8">
        <f>Table9[[#This Row],[Total Floor Space]]*Table9[[#This Row],[Rent per sqm per year]]</f>
        <v>7320</v>
      </c>
      <c r="I9">
        <f>(0.5+1/6*16)*Table9[[#This Row],[Quantity]]</f>
        <v>5795</v>
      </c>
      <c r="J9">
        <v>24</v>
      </c>
      <c r="K9">
        <v>5000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6.1679999999999999E-3</v>
      </c>
      <c r="O9" s="8">
        <f>Table9[[#This Row],[Yearly Energy Consumption in kWh]]*Table9[[#This Row],[CU/kWh]]</f>
        <v>4943.8987200000001</v>
      </c>
      <c r="P9">
        <v>2</v>
      </c>
      <c r="Q9" s="8">
        <v>20</v>
      </c>
      <c r="R9" s="8">
        <f>Table9[[#This Row],[FIT]]*Table9[[#This Row],[Quantity]]*24*365/1000000000</f>
        <v>80.153999999999996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7370.961839999999</v>
      </c>
    </row>
    <row r="10" spans="1:23" x14ac:dyDescent="0.25">
      <c r="A10" t="s">
        <v>90</v>
      </c>
      <c r="B10" t="s">
        <v>85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6.1679999999999999E-3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25">
      <c r="H11">
        <f>SUM(Table9[Total Rent cost per year])</f>
        <v>16202.8</v>
      </c>
      <c r="O11">
        <f>SUBTOTAL(109,Table9[Energy Cost per year in CU])</f>
        <v>7232.9508432000002</v>
      </c>
      <c r="W11">
        <f>SUBTOTAL(109,Table9[FM Cost])</f>
        <v>9920.9868164159998</v>
      </c>
    </row>
    <row r="15" spans="1:23" x14ac:dyDescent="0.25">
      <c r="P15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>
        <f>Table9[[#Totals],[Total Rent cost per year]]+Table9[[#Totals],[Energy Cost per year in CU]]+Table9[[#Totals],[FM Cost]]+J20</f>
        <v>33645.417601357185</v>
      </c>
    </row>
    <row r="17" spans="1:16" x14ac:dyDescent="0.25">
      <c r="A17" t="s">
        <v>43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25">
      <c r="A18" t="s">
        <v>44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25">
      <c r="A19" t="s">
        <v>64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25">
      <c r="J20">
        <f>SUM(J17:J19)</f>
        <v>288.67994174118155</v>
      </c>
      <c r="O20" s="8" t="s">
        <v>99</v>
      </c>
      <c r="P20" s="8" t="s">
        <v>68</v>
      </c>
    </row>
    <row r="21" spans="1:16" x14ac:dyDescent="0.25">
      <c r="O21" s="8" t="s">
        <v>94</v>
      </c>
      <c r="P21" s="8">
        <f>Table9[[#Totals],[Total Rent cost per year]]</f>
        <v>16202.8</v>
      </c>
    </row>
    <row r="22" spans="1:16" x14ac:dyDescent="0.25">
      <c r="O22" s="8" t="s">
        <v>95</v>
      </c>
      <c r="P22" s="8">
        <f>Table9[[#Totals],[Energy Cost per year in CU]]</f>
        <v>7232.9508432000002</v>
      </c>
    </row>
    <row r="23" spans="1:16" x14ac:dyDescent="0.25">
      <c r="O23" s="8" t="s">
        <v>96</v>
      </c>
      <c r="P23" s="8">
        <f>Table9[[#Totals],[FM Cost]]+J20</f>
        <v>10209.666758157182</v>
      </c>
    </row>
    <row r="24" spans="1:16" x14ac:dyDescent="0.25">
      <c r="O24" s="8" t="s">
        <v>97</v>
      </c>
      <c r="P24" s="8">
        <f>0.05*SUM(P21:P23)</f>
        <v>1682.2708800678593</v>
      </c>
    </row>
    <row r="25" spans="1:16" x14ac:dyDescent="0.25">
      <c r="O25" s="8" t="s">
        <v>98</v>
      </c>
      <c r="P25" s="8">
        <f>0.07*SUM(P21:P23)</f>
        <v>2355.179232095003</v>
      </c>
    </row>
    <row r="26" spans="1:16" x14ac:dyDescent="0.25">
      <c r="O26" s="8"/>
      <c r="P26" s="8">
        <f>SUM(Table14161718[Cost])</f>
        <v>37682.867713520049</v>
      </c>
    </row>
    <row r="29" spans="1:16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J1" workbookViewId="0">
      <selection activeCell="P19" sqref="P19:P23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0.3084/50</f>
        <v>6.1679999999999999E-3</v>
      </c>
      <c r="O2">
        <f>Table10[[#This Row],[Yearly Energy Consumption in kWh]]*Table10[[#This Row],[CU/kWh]]</f>
        <v>129.67603199999999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25">
      <c r="A3" s="19" t="s">
        <v>3</v>
      </c>
      <c r="B3" s="20" t="s">
        <v>86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0.3084/50</f>
        <v>6.1679999999999999E-3</v>
      </c>
      <c r="O3" s="8">
        <f>Table10[[#This Row],[Yearly Energy Consumption in kWh]]*Table10[[#This Row],[CU/kWh]]</f>
        <v>43.225344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6.1679999999999999E-3</v>
      </c>
      <c r="O4" s="8">
        <f>Table10[[#This Row],[Yearly Energy Consumption in kWh]]*Table10[[#This Row],[CU/kWh]]</f>
        <v>32.419007999999998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6.1679999999999999E-3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6.1679999999999999E-3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6.1679999999999999E-3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6.1679999999999999E-3</v>
      </c>
      <c r="O8" s="8">
        <f>Table10[[#This Row],[Yearly Energy Consumption in kWh]]*Table10[[#This Row],[CU/kWh]]</f>
        <v>1485.8712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7500</v>
      </c>
      <c r="J9">
        <v>24</v>
      </c>
      <c r="K9">
        <v>5000</v>
      </c>
      <c r="L9">
        <f>50*Table10[[#This Row],[Total Floor Space]]</f>
        <v>250000</v>
      </c>
      <c r="M9" s="8">
        <f>Table10[[#This Row],[Energy consumption in W]]*24*365/1000</f>
        <v>2190000</v>
      </c>
      <c r="N9" s="8">
        <f t="shared" si="1"/>
        <v>6.1679999999999999E-3</v>
      </c>
      <c r="O9" s="8">
        <f>Table10[[#This Row],[Yearly Energy Consumption in kWh]]*Table10[[#This Row],[CU/kWh]]</f>
        <v>13507.92</v>
      </c>
      <c r="P9">
        <v>4</v>
      </c>
      <c r="Q9">
        <v>20</v>
      </c>
      <c r="R9" s="8">
        <f>Table10[[#This Row],[FIT]]*Table10[[#This Row],[Quantity]]*24*365/1000000000</f>
        <v>219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20305.679999999997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SUM(Table10[Total Rent cost per year])</f>
        <v>4240</v>
      </c>
      <c r="I10" s="25"/>
      <c r="J10" s="25"/>
      <c r="K10" s="25"/>
      <c r="L10" s="25"/>
      <c r="M10" s="25"/>
      <c r="N10" s="25"/>
      <c r="O10" s="25">
        <f>SUBTOTAL(109,Table10[Energy Cost per year in CU])</f>
        <v>15199.111584</v>
      </c>
      <c r="P10" s="25"/>
      <c r="Q10" s="25"/>
      <c r="R10" s="25"/>
      <c r="S10" s="25"/>
      <c r="T10" s="25"/>
      <c r="U10" s="25"/>
      <c r="V10" s="25"/>
      <c r="W10" s="25">
        <f>SUBTOTAL(109,Table10[FM Cost])</f>
        <v>20585.774219759998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40304.782696752547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>
        <f>SUM(J16:J18)</f>
        <v>279.89689299254849</v>
      </c>
      <c r="O19" s="8" t="s">
        <v>94</v>
      </c>
      <c r="P19" s="8">
        <f>Table10[[#Totals],[Total Rent cost per year]]</f>
        <v>4240</v>
      </c>
    </row>
    <row r="20" spans="1:16" x14ac:dyDescent="0.25">
      <c r="O20" s="8" t="s">
        <v>95</v>
      </c>
      <c r="P20" s="8">
        <f>Table10[[#Totals],[Energy Cost per year in CU]]</f>
        <v>15199.111584</v>
      </c>
    </row>
    <row r="21" spans="1:16" x14ac:dyDescent="0.25">
      <c r="O21" s="8" t="s">
        <v>96</v>
      </c>
      <c r="P21" s="8">
        <f>Table10[[#Totals],[FM Cost]]</f>
        <v>20585.774219759998</v>
      </c>
    </row>
    <row r="22" spans="1:16" x14ac:dyDescent="0.25">
      <c r="O22" s="8" t="s">
        <v>97</v>
      </c>
      <c r="P22" s="8">
        <f>0.05*SUM(P19:P21)</f>
        <v>2001.2442901880002</v>
      </c>
    </row>
    <row r="23" spans="1:16" x14ac:dyDescent="0.25">
      <c r="O23" s="8" t="s">
        <v>98</v>
      </c>
      <c r="P23" s="8">
        <f>0.07*SUM(P19:P21)</f>
        <v>2801.7420062632004</v>
      </c>
    </row>
    <row r="24" spans="1:16" x14ac:dyDescent="0.25">
      <c r="O24" s="8"/>
      <c r="P24" s="8">
        <f>SUM(Table1416171819[Cost])</f>
        <v>44827.8721002112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P19" sqref="P19:P23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2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0.3084/50</f>
        <v>6.1679999999999999E-3</v>
      </c>
      <c r="O2" s="8">
        <f>Table1012[[#This Row],[Yearly Energy Consumption in kWh]]*Table1012[[#This Row],[CU/kWh]]</f>
        <v>259.35206399999998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25">
      <c r="A3" s="19" t="s">
        <v>3</v>
      </c>
      <c r="B3" s="27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0.3084/50</f>
        <v>6.1679999999999999E-3</v>
      </c>
      <c r="O3" s="8">
        <f>Table1012[[#This Row],[Yearly Energy Consumption in kWh]]*Table1012[[#This Row],[CU/kWh]]</f>
        <v>86.450688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25">
      <c r="A4" s="16" t="s">
        <v>3</v>
      </c>
      <c r="B4" s="2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6.1679999999999999E-3</v>
      </c>
      <c r="O4" s="8">
        <f>Table1012[[#This Row],[Yearly Energy Consumption in kWh]]*Table1012[[#This Row],[CU/kWh]]</f>
        <v>32.419007999999998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25">
      <c r="A5" s="19" t="s">
        <v>3</v>
      </c>
      <c r="B5" s="27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6.1679999999999999E-3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25">
      <c r="A6" s="16" t="s">
        <v>8</v>
      </c>
      <c r="B6" s="2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6.1679999999999999E-3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25">
      <c r="A7" s="19" t="s">
        <v>10</v>
      </c>
      <c r="B7" s="27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6.1679999999999999E-3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25">
      <c r="A8" s="16" t="s">
        <v>90</v>
      </c>
      <c r="B8" s="27" t="s">
        <v>88</v>
      </c>
      <c r="C8" s="18">
        <v>3.1</v>
      </c>
      <c r="D8" s="26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6.1679999999999999E-3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25">
      <c r="A9" s="19" t="s">
        <v>90</v>
      </c>
      <c r="B9" s="27" t="s">
        <v>80</v>
      </c>
      <c r="C9" s="21">
        <v>8</v>
      </c>
      <c r="D9" s="26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6.1679999999999999E-3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SUM(Table1012[Total Rent cost per year])</f>
        <v>8480</v>
      </c>
      <c r="I10" s="25"/>
      <c r="J10" s="25"/>
      <c r="K10" s="25"/>
      <c r="L10" s="25"/>
      <c r="M10" s="25"/>
      <c r="N10" s="25"/>
      <c r="O10" s="25">
        <f>SUBTOTAL(109,Table1012[Energy Cost per year in CU])</f>
        <v>378.22176000000002</v>
      </c>
      <c r="P10" s="25"/>
      <c r="Q10" s="25"/>
      <c r="R10" s="25"/>
      <c r="S10" s="25"/>
      <c r="T10" s="25"/>
      <c r="U10" s="25"/>
      <c r="V10" s="25"/>
      <c r="W10" s="25">
        <f>SUBTOTAL(109,Table1012[FM Cost])</f>
        <v>1701.0018203999996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10839.120473392548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 s="8">
        <f>SUM(J16:J18)</f>
        <v>279.89689299254849</v>
      </c>
      <c r="O19" s="8" t="s">
        <v>94</v>
      </c>
      <c r="P19" s="8">
        <f>Table1012[[#Totals],[Total Rent cost per year]]</f>
        <v>8480</v>
      </c>
    </row>
    <row r="20" spans="1:16" x14ac:dyDescent="0.25">
      <c r="O20" s="8" t="s">
        <v>95</v>
      </c>
      <c r="P20" s="8">
        <f>Table1012[[#Totals],[Energy Cost per year in CU]]</f>
        <v>378.22176000000002</v>
      </c>
    </row>
    <row r="21" spans="1:16" x14ac:dyDescent="0.25">
      <c r="O21" s="8" t="s">
        <v>96</v>
      </c>
      <c r="P21" s="8">
        <f>Table1012[[#Totals],[FM Cost]]+J19</f>
        <v>1980.898713392548</v>
      </c>
    </row>
    <row r="22" spans="1:16" x14ac:dyDescent="0.25">
      <c r="O22" s="8" t="s">
        <v>97</v>
      </c>
      <c r="P22" s="8">
        <f>0.05*SUM(P19:P21)</f>
        <v>541.95602366962737</v>
      </c>
    </row>
    <row r="23" spans="1:16" x14ac:dyDescent="0.25">
      <c r="O23" s="8" t="s">
        <v>98</v>
      </c>
      <c r="P23" s="8">
        <f>0.07*SUM(P19:P21)</f>
        <v>758.73843313747841</v>
      </c>
    </row>
    <row r="24" spans="1:16" x14ac:dyDescent="0.25">
      <c r="P24" s="8">
        <f>SUM(Table141617181920[Cost])</f>
        <v>12139.814930199653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N18" sqref="N18:N22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8" t="s">
        <v>3</v>
      </c>
      <c r="B2" s="8" t="s">
        <v>4</v>
      </c>
      <c r="C2" s="8">
        <v>80</v>
      </c>
      <c r="D2" s="26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0.3084/50</f>
        <v>6.1679999999999999E-3</v>
      </c>
      <c r="O2" s="8">
        <f>Table913[[#This Row],[Yearly Energy Consumption in kWh]]*Table913[[#This Row],[CU/kWh]]</f>
        <v>86.450688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25">
      <c r="A3" s="8" t="s">
        <v>3</v>
      </c>
      <c r="B3" s="8" t="s">
        <v>86</v>
      </c>
      <c r="C3" s="8">
        <v>40</v>
      </c>
      <c r="D3" s="26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0.3084/50</f>
        <v>6.1679999999999999E-3</v>
      </c>
      <c r="O3" s="8">
        <f>Table913[[#This Row],[Yearly Energy Consumption in kWh]]*Table913[[#This Row],[CU/kWh]]</f>
        <v>172.901376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25">
      <c r="A4" s="8" t="s">
        <v>3</v>
      </c>
      <c r="B4" s="8" t="s">
        <v>6</v>
      </c>
      <c r="C4" s="8">
        <v>0.1</v>
      </c>
      <c r="D4" s="26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6.1679999999999999E-3</v>
      </c>
      <c r="O4" s="8">
        <f>Table913[[#This Row],[Yearly Energy Consumption in kWh]]*Table913[[#This Row],[CU/kWh]]</f>
        <v>32.419007999999998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25">
      <c r="A5" s="8" t="s">
        <v>3</v>
      </c>
      <c r="B5" s="8" t="s">
        <v>77</v>
      </c>
      <c r="C5" s="8">
        <v>400</v>
      </c>
      <c r="D5" s="26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6.1679999999999999E-3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25">
      <c r="A6" s="8" t="s">
        <v>8</v>
      </c>
      <c r="B6" s="8" t="s">
        <v>78</v>
      </c>
      <c r="C6" s="8">
        <v>24</v>
      </c>
      <c r="D6" s="26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6.1679999999999999E-3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25">
      <c r="A7" s="8" t="s">
        <v>10</v>
      </c>
      <c r="B7" s="8" t="s">
        <v>87</v>
      </c>
      <c r="C7" s="8">
        <v>112</v>
      </c>
      <c r="D7" s="26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5000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6.1679999999999999E-3</v>
      </c>
      <c r="O7" s="8">
        <f>Table913[[#This Row],[Yearly Energy Consumption in kWh]]*Table913[[#This Row],[CU/kWh]]</f>
        <v>1647.96624</v>
      </c>
      <c r="P7" s="8">
        <v>1.5</v>
      </c>
      <c r="Q7" s="8">
        <v>20</v>
      </c>
      <c r="R7" s="8">
        <f>Table913[[#This Row],[FIT]]*Table913[[#This Row],[Quantity]]*24*365/1000000000</f>
        <v>26.718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2451.91086</v>
      </c>
    </row>
    <row r="8" spans="1:23" x14ac:dyDescent="0.25">
      <c r="A8" s="8" t="s">
        <v>10</v>
      </c>
      <c r="B8" s="8" t="s">
        <v>88</v>
      </c>
      <c r="C8" s="8">
        <v>3.1</v>
      </c>
      <c r="D8" s="26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6.1679999999999999E-3</v>
      </c>
      <c r="O8" s="8">
        <f>Table913[[#This Row],[Yearly Energy Consumption in kWh]]*Table913[[#This Row],[CU/kWh]]</f>
        <v>725.10514560000001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25">
      <c r="A9" s="8" t="s">
        <v>10</v>
      </c>
      <c r="B9" s="8" t="s">
        <v>89</v>
      </c>
      <c r="C9" s="8">
        <v>12</v>
      </c>
      <c r="D9" s="26">
        <f>610*4</f>
        <v>2440</v>
      </c>
      <c r="E9" s="8">
        <v>1</v>
      </c>
      <c r="F9" s="8">
        <f>Table913[[#This Row],[Floor Space per component]]*Table913[[#This Row],[Quantity]]</f>
        <v>2440</v>
      </c>
      <c r="G9" s="8">
        <v>2</v>
      </c>
      <c r="H9" s="8">
        <f>Table913[[#This Row],[Total Floor Space]]*Table913[[#This Row],[Rent per sqm per year]]</f>
        <v>4880</v>
      </c>
      <c r="I9" s="8">
        <f>(0.5+1/6*16)*Table913[[#This Row],[Quantity]]</f>
        <v>7726.6666666666661</v>
      </c>
      <c r="J9" s="8">
        <v>24</v>
      </c>
      <c r="K9" s="8">
        <v>5000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6.1679999999999999E-3</v>
      </c>
      <c r="O9" s="8">
        <f>Table913[[#This Row],[Yearly Energy Consumption in kWh]]*Table913[[#This Row],[CU/kWh]]</f>
        <v>6591.8649599999999</v>
      </c>
      <c r="P9" s="8">
        <v>2</v>
      </c>
      <c r="Q9" s="8">
        <v>20</v>
      </c>
      <c r="R9" s="8">
        <f>Table913[[#This Row],[FIT]]*Table913[[#This Row],[Quantity]]*24*365/1000000000</f>
        <v>106.872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9827.9491199999993</v>
      </c>
    </row>
    <row r="10" spans="1:23" x14ac:dyDescent="0.25">
      <c r="A10" s="8" t="s">
        <v>90</v>
      </c>
      <c r="B10" s="8" t="s">
        <v>85</v>
      </c>
      <c r="C10" s="8">
        <v>0</v>
      </c>
      <c r="D10" s="26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6.1679999999999999E-3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25">
      <c r="H11" s="8">
        <f>SUM(Table913[Total Rent cost per year])</f>
        <v>20377.2</v>
      </c>
      <c r="O11" s="8">
        <f>SUBTOTAL(109,Table913[Energy Cost per year in CU])</f>
        <v>9256.7074175999987</v>
      </c>
      <c r="W11" s="8">
        <f>SUBTOTAL(109,Table913[FM Cost])</f>
        <v>12416.318676767998</v>
      </c>
    </row>
    <row r="15" spans="1:23" x14ac:dyDescent="0.25">
      <c r="P15" s="8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 s="8">
        <f>Table913[[#Totals],[Total Rent cost per year]]+Table913[[#Totals],[Energy Cost per year in CU]]+Table913[[#Totals],[FM Cost]]+J20</f>
        <v>42338.906036109183</v>
      </c>
    </row>
    <row r="17" spans="1:14" x14ac:dyDescent="0.25">
      <c r="A17" s="8" t="s">
        <v>43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99</v>
      </c>
      <c r="N17" s="8" t="s">
        <v>68</v>
      </c>
    </row>
    <row r="18" spans="1:14" x14ac:dyDescent="0.25">
      <c r="A18" s="8" t="s">
        <v>44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94</v>
      </c>
      <c r="N18" s="8">
        <f>Table913[[#Totals],[Total Rent cost per year]]</f>
        <v>20377.2</v>
      </c>
    </row>
    <row r="19" spans="1:14" x14ac:dyDescent="0.25">
      <c r="A19" s="8" t="s">
        <v>64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95</v>
      </c>
      <c r="N19" s="8">
        <f>Table913[[#Totals],[Energy Cost per year in CU]]</f>
        <v>9256.7074175999987</v>
      </c>
    </row>
    <row r="20" spans="1:14" x14ac:dyDescent="0.25">
      <c r="J20" s="8">
        <f>SUM(J17:J19)</f>
        <v>288.67994174118155</v>
      </c>
      <c r="M20" s="8" t="s">
        <v>96</v>
      </c>
      <c r="N20" s="8">
        <f>Table913[[#Totals],[FM Cost]]+J20</f>
        <v>12704.99861850918</v>
      </c>
    </row>
    <row r="21" spans="1:14" x14ac:dyDescent="0.25">
      <c r="M21" s="8" t="s">
        <v>97</v>
      </c>
      <c r="N21" s="8">
        <f>0.05*SUM(N18:N20)</f>
        <v>2116.9453018054592</v>
      </c>
    </row>
    <row r="22" spans="1:14" x14ac:dyDescent="0.25">
      <c r="M22" s="8" t="s">
        <v>98</v>
      </c>
      <c r="N22" s="8">
        <f>0.07*SUM(N18:N20)</f>
        <v>2963.7234225276429</v>
      </c>
    </row>
    <row r="23" spans="1:14" x14ac:dyDescent="0.25">
      <c r="N23" s="8">
        <f>SUM(Table14161718192021[Cost])</f>
        <v>47419.574760442287</v>
      </c>
    </row>
    <row r="29" spans="1:14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4" workbookViewId="0">
      <selection activeCell="M20" sqref="M20:M24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0.3084/50</f>
        <v>6.1679999999999999E-3</v>
      </c>
      <c r="O2" s="8">
        <f>Table1014[[#This Row],[Yearly Energy Consumption in kWh]]*Table1014[[#This Row],[CU/kWh]]</f>
        <v>259.35206399999998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25">
      <c r="A3" s="19" t="s">
        <v>3</v>
      </c>
      <c r="B3" s="20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0.3084/50</f>
        <v>6.1679999999999999E-3</v>
      </c>
      <c r="O3" s="8">
        <f>Table1014[[#This Row],[Yearly Energy Consumption in kWh]]*Table1014[[#This Row],[CU/kWh]]</f>
        <v>86.450688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6.1679999999999999E-3</v>
      </c>
      <c r="O4" s="8">
        <f>Table1014[[#This Row],[Yearly Energy Consumption in kWh]]*Table1014[[#This Row],[CU/kWh]]</f>
        <v>32.419007999999998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6.1679999999999999E-3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6.1679999999999999E-3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6.1679999999999999E-3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26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6.1679999999999999E-3</v>
      </c>
      <c r="O8" s="8">
        <f>Table1014[[#This Row],[Yearly Energy Consumption in kWh]]*Table1014[[#This Row],[CU/kWh]]</f>
        <v>1485.8712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6">
        <v>5000</v>
      </c>
      <c r="E9" s="8">
        <v>1</v>
      </c>
      <c r="F9" s="8">
        <f t="shared" si="0"/>
        <v>5000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7500</v>
      </c>
      <c r="J9" s="8">
        <v>24</v>
      </c>
      <c r="K9" s="8">
        <v>5000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6.1679999999999999E-3</v>
      </c>
      <c r="O9" s="8">
        <f>Table1014[[#This Row],[Yearly Energy Consumption in kWh]]*Table1014[[#This Row],[CU/kWh]]</f>
        <v>13507.92</v>
      </c>
      <c r="P9" s="8">
        <v>4</v>
      </c>
      <c r="Q9" s="8">
        <v>20</v>
      </c>
      <c r="R9" s="8">
        <f>Table1014[[#This Row],[FIT]]*Table1014[[#This Row],[Quantity]]*24*365/1000000000</f>
        <v>219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20305.679999999997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SUM(Table1014[Total Rent cost per year])</f>
        <v>8480</v>
      </c>
      <c r="I10" s="25"/>
      <c r="J10" s="25"/>
      <c r="K10" s="25"/>
      <c r="L10" s="25"/>
      <c r="M10" s="25"/>
      <c r="N10" s="25"/>
      <c r="O10" s="25">
        <f>SUBTOTAL(109,Table1014[Energy Cost per year in CU])</f>
        <v>15372.01296</v>
      </c>
      <c r="P10" s="25"/>
      <c r="Q10" s="25"/>
      <c r="R10" s="25"/>
      <c r="S10" s="25"/>
      <c r="T10" s="25"/>
      <c r="U10" s="25"/>
      <c r="V10" s="25"/>
      <c r="W10" s="25">
        <f>SUBTOTAL(109,Table1014[FM Cost])</f>
        <v>20589.944540399996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44721.854393392539</v>
      </c>
    </row>
    <row r="17" spans="1:13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25">
      <c r="J19" s="8">
        <f>SUM(J16:J18)</f>
        <v>279.89689299254849</v>
      </c>
      <c r="L19" s="8" t="s">
        <v>99</v>
      </c>
      <c r="M19" s="8" t="s">
        <v>68</v>
      </c>
    </row>
    <row r="20" spans="1:13" x14ac:dyDescent="0.25">
      <c r="L20" s="8" t="s">
        <v>94</v>
      </c>
      <c r="M20" s="8">
        <f>Table1014[[#Totals],[Total Rent cost per year]]</f>
        <v>8480</v>
      </c>
    </row>
    <row r="21" spans="1:13" x14ac:dyDescent="0.25">
      <c r="L21" s="8" t="s">
        <v>95</v>
      </c>
      <c r="M21" s="8">
        <f>Table1014[[#Totals],[Energy Cost per year in CU]]</f>
        <v>15372.01296</v>
      </c>
    </row>
    <row r="22" spans="1:13" x14ac:dyDescent="0.25">
      <c r="L22" s="8" t="s">
        <v>96</v>
      </c>
      <c r="M22" s="8">
        <f>Table1014[[#Totals],[FM Cost]]+J19</f>
        <v>20869.841433392543</v>
      </c>
    </row>
    <row r="23" spans="1:13" x14ac:dyDescent="0.25">
      <c r="L23" s="8" t="s">
        <v>97</v>
      </c>
      <c r="M23" s="8">
        <f>0.05*SUM(M20:M22)</f>
        <v>2236.0927196696271</v>
      </c>
    </row>
    <row r="24" spans="1:13" x14ac:dyDescent="0.25">
      <c r="L24" s="8" t="s">
        <v>98</v>
      </c>
      <c r="M24" s="8">
        <f>0.07*SUM(M20:M22)</f>
        <v>3130.5298075374781</v>
      </c>
    </row>
    <row r="25" spans="1:13" x14ac:dyDescent="0.25">
      <c r="M25" s="8">
        <f>SUM(Table1416171819202122[Cost])</f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Q61"/>
  <sheetViews>
    <sheetView tabSelected="1" topLeftCell="E1" workbookViewId="0">
      <selection activeCell="E12" sqref="E12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27" spans="4:17" x14ac:dyDescent="0.25"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 t="s">
        <v>104</v>
      </c>
      <c r="J27" t="s">
        <v>105</v>
      </c>
      <c r="K27" t="s">
        <v>106</v>
      </c>
      <c r="L27" t="s">
        <v>108</v>
      </c>
      <c r="M27" t="s">
        <v>107</v>
      </c>
      <c r="N27" t="s">
        <v>109</v>
      </c>
      <c r="O27" t="s">
        <v>110</v>
      </c>
      <c r="P27" t="s">
        <v>112</v>
      </c>
      <c r="Q27" t="s">
        <v>111</v>
      </c>
    </row>
    <row r="28" spans="4:17" x14ac:dyDescent="0.25">
      <c r="D28" s="8" t="s">
        <v>94</v>
      </c>
      <c r="E28" s="8">
        <v>7308</v>
      </c>
      <c r="F28" s="8">
        <v>3074</v>
      </c>
      <c r="G28" s="8">
        <v>3869</v>
      </c>
      <c r="H28" s="8">
        <v>3869</v>
      </c>
      <c r="I28" s="8">
        <v>5936</v>
      </c>
      <c r="J28" s="8">
        <v>13074</v>
      </c>
      <c r="K28" s="12">
        <v>5936</v>
      </c>
      <c r="L28" s="12">
        <v>7314</v>
      </c>
      <c r="M28" s="12">
        <v>16202.8</v>
      </c>
      <c r="N28">
        <v>4240</v>
      </c>
      <c r="O28">
        <v>8480</v>
      </c>
      <c r="P28">
        <v>20377.2</v>
      </c>
      <c r="Q28">
        <v>8480</v>
      </c>
    </row>
    <row r="29" spans="4:17" x14ac:dyDescent="0.25">
      <c r="D29" s="8" t="s">
        <v>95</v>
      </c>
      <c r="E29" s="8">
        <v>3900.4488391680002</v>
      </c>
      <c r="F29" s="8">
        <v>15518.532579840001</v>
      </c>
      <c r="G29" s="8">
        <v>14871.900355200003</v>
      </c>
      <c r="H29" s="8">
        <v>3279.3529536000001</v>
      </c>
      <c r="I29" s="8">
        <v>2489.7663590400002</v>
      </c>
      <c r="J29" s="8">
        <v>11115.468565056002</v>
      </c>
      <c r="K29" s="13">
        <v>15946.915080960001</v>
      </c>
      <c r="L29" s="13">
        <v>14972.561164800003</v>
      </c>
      <c r="M29" s="13">
        <v>7232.9508432000002</v>
      </c>
      <c r="N29">
        <v>15199.111584</v>
      </c>
      <c r="O29">
        <v>378.22176000000002</v>
      </c>
      <c r="P29">
        <v>9256.7074175999987</v>
      </c>
      <c r="Q29">
        <v>15372.01296</v>
      </c>
    </row>
    <row r="30" spans="4:17" x14ac:dyDescent="0.25">
      <c r="D30" s="8" t="s">
        <v>96</v>
      </c>
      <c r="E30" s="8">
        <v>6008.5530527698265</v>
      </c>
      <c r="F30" s="8">
        <v>20434.095716784002</v>
      </c>
      <c r="G30" s="8">
        <v>20766.619334565716</v>
      </c>
      <c r="H30" s="8">
        <v>2263.0546533337124</v>
      </c>
      <c r="I30" s="8">
        <v>2233.9824704598395</v>
      </c>
      <c r="J30" s="8">
        <v>21331.706543720222</v>
      </c>
      <c r="K30" s="12">
        <v>20730.355811899841</v>
      </c>
      <c r="L30" s="12">
        <v>20767.268450565716</v>
      </c>
      <c r="M30" s="12">
        <v>10209.666758157182</v>
      </c>
      <c r="N30">
        <v>20585.774219759998</v>
      </c>
      <c r="O30">
        <v>1980.898713392548</v>
      </c>
      <c r="P30">
        <v>12704.99861850918</v>
      </c>
      <c r="Q30">
        <v>20869.841433392543</v>
      </c>
    </row>
    <row r="31" spans="4:17" x14ac:dyDescent="0.25">
      <c r="D31" s="8" t="s">
        <v>97</v>
      </c>
      <c r="E31" s="8">
        <v>860.85009459689138</v>
      </c>
      <c r="F31" s="8">
        <v>1951.3314148312002</v>
      </c>
      <c r="G31" s="8">
        <v>1975.3759844882859</v>
      </c>
      <c r="H31" s="8">
        <v>470.57038034668568</v>
      </c>
      <c r="I31" s="8">
        <v>532.98744147499201</v>
      </c>
      <c r="J31" s="8">
        <v>2276.0587554388112</v>
      </c>
      <c r="K31" s="13">
        <v>2130.6635446429923</v>
      </c>
      <c r="L31" s="13">
        <v>2152.6914807682861</v>
      </c>
      <c r="M31" s="13">
        <v>1682.2708800678593</v>
      </c>
      <c r="N31">
        <v>2001.2442901880002</v>
      </c>
      <c r="O31">
        <v>541.95602366962737</v>
      </c>
      <c r="P31">
        <v>2116.9453018054592</v>
      </c>
      <c r="Q31">
        <v>2236.0927196696271</v>
      </c>
    </row>
    <row r="32" spans="4:17" x14ac:dyDescent="0.25">
      <c r="D32" s="8" t="s">
        <v>98</v>
      </c>
      <c r="E32" s="8">
        <v>1205.1901324356479</v>
      </c>
      <c r="F32" s="8">
        <v>2731.8639807636805</v>
      </c>
      <c r="G32" s="8">
        <v>2765.5263782836005</v>
      </c>
      <c r="H32" s="8">
        <v>658.79853248536006</v>
      </c>
      <c r="I32" s="8">
        <v>746.18241806498884</v>
      </c>
      <c r="J32" s="8">
        <v>3186.482257614336</v>
      </c>
      <c r="K32" s="12">
        <v>2982.9289625001893</v>
      </c>
      <c r="L32" s="12">
        <v>3013.7680730756006</v>
      </c>
      <c r="M32" s="12">
        <v>2355.179232095003</v>
      </c>
      <c r="N32">
        <v>2801.7420062632004</v>
      </c>
      <c r="O32">
        <v>758.73843313747841</v>
      </c>
      <c r="P32">
        <v>2963.7234225276429</v>
      </c>
      <c r="Q32">
        <v>3130.5298075374781</v>
      </c>
    </row>
    <row r="33" spans="4:17" x14ac:dyDescent="0.25">
      <c r="D33" s="25"/>
      <c r="E33" s="25">
        <f>SUM(Table22[FTTC_GPON_25])</f>
        <v>19283.042118970367</v>
      </c>
      <c r="F33" s="25">
        <f>SUBTOTAL(109,Table22[FTTB_XGPON_50])</f>
        <v>43709.823692218881</v>
      </c>
      <c r="G33" s="25">
        <f>SUBTOTAL(109,Table22[FTTB_DWDM_50])</f>
        <v>44248.4220525376</v>
      </c>
      <c r="H33" s="25">
        <f>SUBTOTAL(109,Table22[FTTH_DWDM_100])</f>
        <v>10540.776519765759</v>
      </c>
      <c r="I33" s="25">
        <f>SUBTOTAL(109,Table22[FTTH_XGPON_100])</f>
        <v>11938.918689039821</v>
      </c>
      <c r="J33" s="25">
        <f>SUBTOTAL(109,Table22[FTTC_GPON_100])</f>
        <v>50983.71612182937</v>
      </c>
      <c r="K33" s="30">
        <f>SUBTOTAL(109,Table22[FTTB_XGPON_100])</f>
        <v>47726.863400003029</v>
      </c>
      <c r="L33" s="30">
        <f>SUBTOTAL(109,Table22[FTTB_DWDM_100])</f>
        <v>48220.289169209609</v>
      </c>
      <c r="M33" s="30">
        <f>SUBTOTAL(109,Table22[FTTC_Hybridpon_25])</f>
        <v>37682.867713520049</v>
      </c>
      <c r="N33" s="25">
        <f>SUBTOTAL(109,Table22[FTTB_Hybridpon_50])</f>
        <v>44827.8721002112</v>
      </c>
      <c r="O33" s="25">
        <f>SUBTOTAL(109,Table22[FTTH_Hybridpon_100])</f>
        <v>12139.814930199653</v>
      </c>
      <c r="P33" s="25">
        <f>SUBTOTAL(109,Table22[FTTC_Hybridpon_100])</f>
        <v>47419.574760442287</v>
      </c>
      <c r="Q33" s="25">
        <f>SUBTOTAL(109,Table22[FTTB_Hybridpon_100])</f>
        <v>50088.476920599649</v>
      </c>
    </row>
    <row r="40" spans="4:17" ht="15.75" thickBot="1" x14ac:dyDescent="0.3"/>
    <row r="41" spans="4:17" ht="16.5" thickTop="1" thickBot="1" x14ac:dyDescent="0.3">
      <c r="J41" s="11">
        <f>SUM(Table22[FTTC_GPON_25])</f>
        <v>19283.042118970367</v>
      </c>
    </row>
    <row r="42" spans="4:17" ht="16.5" thickTop="1" thickBot="1" x14ac:dyDescent="0.3">
      <c r="J42" s="11">
        <f>SUBTOTAL(109,Table22[FTTB_XGPON_50])</f>
        <v>43709.823692218881</v>
      </c>
    </row>
    <row r="43" spans="4:17" ht="16.5" thickTop="1" thickBot="1" x14ac:dyDescent="0.3">
      <c r="J43" s="11">
        <f>SUBTOTAL(109,Table22[FTTB_DWDM_50])</f>
        <v>44248.4220525376</v>
      </c>
    </row>
    <row r="44" spans="4:17" ht="16.5" thickTop="1" thickBot="1" x14ac:dyDescent="0.3">
      <c r="J44" s="11">
        <f>SUBTOTAL(109,Table22[FTTH_DWDM_100])</f>
        <v>10540.776519765759</v>
      </c>
    </row>
    <row r="45" spans="4:17" ht="16.5" thickTop="1" thickBot="1" x14ac:dyDescent="0.3">
      <c r="J45" s="11">
        <f>SUBTOTAL(109,Table22[FTTH_XGPON_100])</f>
        <v>11938.918689039821</v>
      </c>
    </row>
    <row r="46" spans="4:17" ht="15.75" thickTop="1" x14ac:dyDescent="0.25">
      <c r="J46" s="11">
        <f>SUBTOTAL(109,Table22[FTTC_GPON_100])</f>
        <v>50983.71612182937</v>
      </c>
    </row>
    <row r="47" spans="4:17" x14ac:dyDescent="0.25">
      <c r="J47" s="29">
        <f>SUBTOTAL(109,Table22[FTTB_XGPON_100])</f>
        <v>47726.863400003029</v>
      </c>
    </row>
    <row r="48" spans="4:17" ht="15.75" thickBot="1" x14ac:dyDescent="0.3">
      <c r="J48" s="29">
        <f>SUBTOTAL(109,Table22[FTTB_DWDM_100])</f>
        <v>48220.289169209609</v>
      </c>
    </row>
    <row r="49" spans="10:13" ht="16.5" thickTop="1" thickBot="1" x14ac:dyDescent="0.3">
      <c r="J49" s="29">
        <f>SUBTOTAL(109,Table22[FTTC_Hybridpon_25])</f>
        <v>37682.867713520049</v>
      </c>
      <c r="M49" s="11">
        <f>SUM(Table22[FTTC_GPON_25])</f>
        <v>19283.042118970367</v>
      </c>
    </row>
    <row r="50" spans="10:13" ht="16.5" thickTop="1" thickBot="1" x14ac:dyDescent="0.3">
      <c r="J50" s="11">
        <f>SUBTOTAL(109,Table22[FTTB_Hybridpon_50])</f>
        <v>44827.8721002112</v>
      </c>
      <c r="M50" s="11">
        <f>SUBTOTAL(109,Table22[FTTB_XGPON_50])</f>
        <v>43709.823692218881</v>
      </c>
    </row>
    <row r="51" spans="10:13" ht="16.5" thickTop="1" thickBot="1" x14ac:dyDescent="0.3">
      <c r="J51" s="11">
        <f>SUBTOTAL(109,Table22[FTTH_Hybridpon_100])</f>
        <v>12139.814930199653</v>
      </c>
      <c r="M51" s="11">
        <f>SUBTOTAL(109,Table22[FTTB_DWDM_50])</f>
        <v>44248.4220525376</v>
      </c>
    </row>
    <row r="52" spans="10:13" ht="16.5" thickTop="1" thickBot="1" x14ac:dyDescent="0.3">
      <c r="J52" s="11">
        <f>SUBTOTAL(109,Table22[FTTC_Hybridpon_100])</f>
        <v>47419.574760442287</v>
      </c>
      <c r="M52" s="11">
        <f>SUBTOTAL(109,Table22[FTTH_DWDM_100])</f>
        <v>10540.776519765759</v>
      </c>
    </row>
    <row r="53" spans="10:13" ht="16.5" thickTop="1" thickBot="1" x14ac:dyDescent="0.3">
      <c r="J53" s="14">
        <f>SUBTOTAL(109,Table22[FTTB_Hybridpon_100])</f>
        <v>50088.476920599649</v>
      </c>
      <c r="M53" s="11">
        <f>SUBTOTAL(109,Table22[FTTH_XGPON_100])</f>
        <v>11938.918689039821</v>
      </c>
    </row>
    <row r="54" spans="10:13" ht="15.75" thickTop="1" x14ac:dyDescent="0.25">
      <c r="M54" s="11">
        <f>SUBTOTAL(109,Table22[FTTC_GPON_100])</f>
        <v>50983.71612182937</v>
      </c>
    </row>
    <row r="55" spans="10:13" x14ac:dyDescent="0.25">
      <c r="M55" s="29">
        <f>SUBTOTAL(109,Table22[FTTB_XGPON_100])</f>
        <v>47726.863400003029</v>
      </c>
    </row>
    <row r="56" spans="10:13" x14ac:dyDescent="0.25">
      <c r="M56" s="29">
        <f>SUBTOTAL(109,Table22[FTTB_DWDM_100])</f>
        <v>48220.289169209609</v>
      </c>
    </row>
    <row r="57" spans="10:13" ht="15.75" thickBot="1" x14ac:dyDescent="0.3">
      <c r="M57" s="29">
        <f>SUBTOTAL(109,Table22[FTTC_Hybridpon_25])</f>
        <v>37682.867713520049</v>
      </c>
    </row>
    <row r="58" spans="10:13" ht="16.5" thickTop="1" thickBot="1" x14ac:dyDescent="0.3">
      <c r="M58" s="11">
        <f>SUBTOTAL(109,Table22[FTTB_Hybridpon_50])</f>
        <v>44827.8721002112</v>
      </c>
    </row>
    <row r="59" spans="10:13" ht="16.5" thickTop="1" thickBot="1" x14ac:dyDescent="0.3">
      <c r="M59" s="11">
        <f>SUBTOTAL(109,Table22[FTTH_Hybridpon_100])</f>
        <v>12139.814930199653</v>
      </c>
    </row>
    <row r="60" spans="10:13" ht="16.5" thickTop="1" thickBot="1" x14ac:dyDescent="0.3">
      <c r="M60" s="11">
        <f>SUBTOTAL(109,Table22[FTTC_Hybridpon_100])</f>
        <v>47419.574760442287</v>
      </c>
    </row>
    <row r="61" spans="10:13" ht="15.75" thickTop="1" x14ac:dyDescent="0.25">
      <c r="M61" s="14">
        <f>SUBTOTAL(109,Table22[FTTB_Hybridpon_100])</f>
        <v>50088.476920599649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>
      <selection activeCell="I26" sqref="I26:I30"/>
    </sheetView>
  </sheetViews>
  <sheetFormatPr defaultRowHeight="15" x14ac:dyDescent="0.25"/>
  <cols>
    <col min="1" max="1" width="23.28515625" customWidth="1"/>
    <col min="2" max="2" width="19.28515625" customWidth="1"/>
    <col min="3" max="3" width="21.28515625" customWidth="1"/>
    <col min="4" max="4" width="10.85546875" customWidth="1"/>
    <col min="5" max="5" width="18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6" max="26" width="14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s="1" t="s">
        <v>36</v>
      </c>
      <c r="G1" s="1" t="s">
        <v>38</v>
      </c>
      <c r="H1" s="2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0</v>
      </c>
      <c r="Y2">
        <f>1200/50</f>
        <v>24</v>
      </c>
      <c r="Z2">
        <f>2000/50</f>
        <v>40</v>
      </c>
    </row>
    <row r="3" spans="1:27" x14ac:dyDescent="0.2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1">
        <f t="shared" ref="N3:N10" si="0">0.3048/50</f>
        <v>6.0960000000000007E-3</v>
      </c>
      <c r="O3" s="2">
        <f>Table2[[#This Row],[Yearly Energy Consumption in kWh]]*Table2[[#This Row],[CU/kWh]]</f>
        <v>19.993319423999999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0</v>
      </c>
      <c r="Y3" s="1">
        <f t="shared" ref="Y3:Y10" si="2">1200/50</f>
        <v>24</v>
      </c>
      <c r="Z3" s="1">
        <f t="shared" ref="Z3:Z10" si="3">2000/50</f>
        <v>40</v>
      </c>
    </row>
    <row r="4" spans="1:27" x14ac:dyDescent="0.2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1">
        <f t="shared" si="0"/>
        <v>6.0960000000000007E-3</v>
      </c>
      <c r="O4" s="2">
        <f>Table2[[#This Row],[Yearly Energy Consumption in kWh]]*Table2[[#This Row],[CU/kWh]]</f>
        <v>4.2720768000000007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0</v>
      </c>
      <c r="Y4" s="1">
        <f t="shared" si="2"/>
        <v>24</v>
      </c>
      <c r="Z4" s="1">
        <f t="shared" si="3"/>
        <v>40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1">
        <f t="shared" si="0"/>
        <v>6.0960000000000007E-3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0</v>
      </c>
      <c r="Y5" s="1">
        <f t="shared" si="2"/>
        <v>24</v>
      </c>
      <c r="Z5" s="1">
        <f t="shared" si="3"/>
        <v>40</v>
      </c>
    </row>
    <row r="6" spans="1:27" x14ac:dyDescent="0.2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1">
        <f t="shared" si="0"/>
        <v>6.0960000000000007E-3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0</v>
      </c>
      <c r="Y6" s="1">
        <f t="shared" si="2"/>
        <v>24</v>
      </c>
      <c r="Z6" s="1">
        <f t="shared" si="3"/>
        <v>40</v>
      </c>
    </row>
    <row r="7" spans="1:27" x14ac:dyDescent="0.2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1">
        <f t="shared" si="0"/>
        <v>6.0960000000000007E-3</v>
      </c>
      <c r="O7" s="2">
        <f>Table2[[#This Row],[Yearly Energy Consumption in kWh]]*Table2[[#This Row],[CU/kWh]]</f>
        <v>19.993319423999999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0</v>
      </c>
      <c r="Y7" s="1">
        <f t="shared" si="2"/>
        <v>24</v>
      </c>
      <c r="Z7" s="1">
        <f t="shared" si="3"/>
        <v>40</v>
      </c>
    </row>
    <row r="8" spans="1:27" x14ac:dyDescent="0.2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1">
        <v>4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1">
        <f t="shared" si="0"/>
        <v>6.0960000000000007E-3</v>
      </c>
      <c r="O8" s="2">
        <f>Table2[[#This Row],[Yearly Energy Consumption in kWh]]*Table2[[#This Row],[CU/kWh]]</f>
        <v>531.44635392000009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0</v>
      </c>
      <c r="Y8" s="1">
        <f t="shared" si="2"/>
        <v>24</v>
      </c>
      <c r="Z8" s="1">
        <f t="shared" si="3"/>
        <v>40</v>
      </c>
    </row>
    <row r="9" spans="1:27" x14ac:dyDescent="0.25">
      <c r="A9" t="s">
        <v>10</v>
      </c>
      <c r="B9" t="s">
        <v>12</v>
      </c>
      <c r="C9">
        <v>124</v>
      </c>
      <c r="D9">
        <v>1244</v>
      </c>
      <c r="E9">
        <v>1</v>
      </c>
      <c r="F9" s="1">
        <f>Table2[[#This Row],[Floor Space per component]]*Table2[[#This Row],[Quantity]]</f>
        <v>1244</v>
      </c>
      <c r="G9" s="1">
        <v>4</v>
      </c>
      <c r="H9" s="2">
        <f>Table2[[#This Row],[Rent per sqm per year]]*Table2[[#This Row],[Total Floor Space]]</f>
        <v>4976</v>
      </c>
      <c r="I9">
        <v>207.83333333333331</v>
      </c>
      <c r="J9">
        <v>24</v>
      </c>
      <c r="K9">
        <v>5000</v>
      </c>
      <c r="L9">
        <f>50*Table2[[#This Row],[Quantity]]</f>
        <v>62200</v>
      </c>
      <c r="M9" s="1">
        <f>Table2[[#This Row],[Energy consumption in W]]*24*365/1000</f>
        <v>544872</v>
      </c>
      <c r="N9" s="1">
        <f t="shared" si="0"/>
        <v>6.0960000000000007E-3</v>
      </c>
      <c r="O9" s="2">
        <f>Table2[[#This Row],[Yearly Energy Consumption in kWh]]*Table2[[#This Row],[CU/kWh]]</f>
        <v>3321.5397120000002</v>
      </c>
      <c r="P9">
        <v>1.5</v>
      </c>
      <c r="Q9">
        <v>20</v>
      </c>
      <c r="R9" s="8">
        <f>Table2[[#This Row],[Quantity]]*(Table2[[#This Row],[FIT]]*24*365)/1000000000</f>
        <v>54.487200000000001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5000.290344</v>
      </c>
      <c r="X9" s="1">
        <v>0</v>
      </c>
      <c r="Y9" s="1">
        <f t="shared" si="2"/>
        <v>24</v>
      </c>
      <c r="Z9" s="1">
        <f t="shared" si="3"/>
        <v>40</v>
      </c>
    </row>
    <row r="10" spans="1:27" x14ac:dyDescent="0.2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si="0"/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0</v>
      </c>
      <c r="Y10" s="1">
        <f t="shared" si="2"/>
        <v>24</v>
      </c>
      <c r="Z10" s="1">
        <f t="shared" si="3"/>
        <v>40</v>
      </c>
    </row>
    <row r="11" spans="1:27" x14ac:dyDescent="0.25">
      <c r="H11" s="22">
        <f>SUM(Table2[Total Rent cost per year])</f>
        <v>7308</v>
      </c>
      <c r="O11" s="22">
        <f>SUM(Table2[Energy Cost per year in CU])</f>
        <v>3900.4488391680002</v>
      </c>
      <c r="W11" s="22">
        <f>SUM(Table2[FM Cost])+L20</f>
        <v>5573.7289654697133</v>
      </c>
    </row>
    <row r="14" spans="1:27" x14ac:dyDescent="0.25">
      <c r="A14" t="s">
        <v>41</v>
      </c>
      <c r="B14" t="s">
        <v>17</v>
      </c>
      <c r="C14" t="s">
        <v>16</v>
      </c>
      <c r="D14" t="s">
        <v>42</v>
      </c>
      <c r="E14" t="s">
        <v>30</v>
      </c>
      <c r="F14" s="1" t="s">
        <v>46</v>
      </c>
      <c r="G14" s="1" t="s">
        <v>47</v>
      </c>
      <c r="H14" s="1" t="s">
        <v>49</v>
      </c>
      <c r="I14" t="s">
        <v>48</v>
      </c>
      <c r="J14" t="s">
        <v>50</v>
      </c>
      <c r="K14" t="s">
        <v>51</v>
      </c>
      <c r="L14" t="s">
        <v>52</v>
      </c>
    </row>
    <row r="15" spans="1:27" x14ac:dyDescent="0.25">
      <c r="A15" t="s">
        <v>43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</row>
    <row r="16" spans="1:27" x14ac:dyDescent="0.25">
      <c r="A16" t="s">
        <v>44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 t="shared" ref="L16:L17" si="8">B16*24*365*J16*E16/1000000000</f>
        <v>39.297377489463415</v>
      </c>
    </row>
    <row r="17" spans="1:19" x14ac:dyDescent="0.25">
      <c r="A17" t="s">
        <v>45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 t="shared" si="8"/>
        <v>317.30646582172432</v>
      </c>
    </row>
    <row r="18" spans="1:19" x14ac:dyDescent="0.25">
      <c r="Q18" t="s">
        <v>54</v>
      </c>
    </row>
    <row r="19" spans="1:19" x14ac:dyDescent="0.25">
      <c r="Q19">
        <f>Table2[[#Totals],[Total Rent cost per year]]+Table2[[#Totals],[Energy Cost per year in CU]]+Table2[[#Totals],[FM Cost]]+L20</f>
        <v>17217.001891937827</v>
      </c>
    </row>
    <row r="20" spans="1:19" x14ac:dyDescent="0.25">
      <c r="K20" t="s">
        <v>53</v>
      </c>
      <c r="L20">
        <f>SUM(L15:L17)</f>
        <v>434.82408730011286</v>
      </c>
    </row>
    <row r="25" spans="1:19" x14ac:dyDescent="0.25">
      <c r="H25" s="1" t="s">
        <v>93</v>
      </c>
    </row>
    <row r="26" spans="1:19" x14ac:dyDescent="0.25">
      <c r="H26" s="1" t="s">
        <v>94</v>
      </c>
      <c r="I26">
        <f>Table2[[#Totals],[Total Rent cost per year]]</f>
        <v>7308</v>
      </c>
    </row>
    <row r="27" spans="1:19" x14ac:dyDescent="0.25">
      <c r="H27" s="1" t="s">
        <v>95</v>
      </c>
      <c r="I27">
        <f>Table2[[#Totals],[Energy Cost per year in CU]]</f>
        <v>3900.4488391680002</v>
      </c>
    </row>
    <row r="28" spans="1:19" x14ac:dyDescent="0.25">
      <c r="H28" s="1" t="s">
        <v>96</v>
      </c>
      <c r="I28">
        <f>Table2[[#Totals],[FM Cost]]+L20</f>
        <v>6008.5530527698265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97</v>
      </c>
      <c r="I29">
        <f>0.05*SUM(I26:I28)</f>
        <v>860.85009459689138</v>
      </c>
      <c r="S29">
        <v>11727.88547395296</v>
      </c>
    </row>
    <row r="30" spans="1:19" x14ac:dyDescent="0.25">
      <c r="H30" s="1" t="s">
        <v>98</v>
      </c>
      <c r="I30">
        <f>0.07*SUM(I26:I28)</f>
        <v>1205.1901324356479</v>
      </c>
    </row>
    <row r="31" spans="1:19" x14ac:dyDescent="0.25">
      <c r="I31">
        <f>SUM(I26:I30)</f>
        <v>19283.042118970367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N26" sqref="N26:N30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60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0.3048/50</f>
        <v>6.0960000000000007E-3</v>
      </c>
      <c r="O2">
        <f>Table3[[#This Row],[Yearly Energy Consumption in kWh]]*Table3[[#This Row],[CU/kWh]]</f>
        <v>288.36518400000006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</row>
    <row r="3" spans="1:27" x14ac:dyDescent="0.25">
      <c r="A3" t="s">
        <v>3</v>
      </c>
      <c r="B3" t="s">
        <v>61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6">
        <f t="shared" ref="N3:N10" si="0">0.3048/50</f>
        <v>6.0960000000000007E-3</v>
      </c>
      <c r="O3" s="6">
        <f>Table3[[#This Row],[Yearly Energy Consumption in kWh]]*Table3[[#This Row],[CU/kWh]]</f>
        <v>37.487473920000006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</row>
    <row r="4" spans="1:27" x14ac:dyDescent="0.2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6">
        <f t="shared" si="0"/>
        <v>6.0960000000000007E-3</v>
      </c>
      <c r="O4" s="6">
        <f>Table3[[#This Row],[Yearly Energy Consumption in kWh]]*Table3[[#This Row],[CU/kWh]]</f>
        <v>64.081152000000003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6">
        <f t="shared" si="0"/>
        <v>6.0960000000000007E-3</v>
      </c>
      <c r="O5" s="6">
        <f>Table3[[#This Row],[Yearly Energy Consumption in kWh]]*Table3[[#This Row],[CU/kWh]]</f>
        <v>5.3400960000000008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</row>
    <row r="6" spans="1:27" x14ac:dyDescent="0.25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6">
        <f t="shared" si="0"/>
        <v>6.0960000000000007E-3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</row>
    <row r="7" spans="1:27" x14ac:dyDescent="0.25">
      <c r="A7" t="s">
        <v>8</v>
      </c>
      <c r="B7" t="s">
        <v>61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6">
        <f t="shared" si="0"/>
        <v>6.0960000000000007E-3</v>
      </c>
      <c r="O7" s="6">
        <f>Table3[[#This Row],[Yearly Energy Consumption in kWh]]*Table3[[#This Row],[CU/kWh]]</f>
        <v>37.487473920000006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</row>
    <row r="8" spans="1:27" x14ac:dyDescent="0.25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6">
        <f t="shared" si="0"/>
        <v>6.0960000000000007E-3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</row>
    <row r="9" spans="1:27" x14ac:dyDescent="0.25">
      <c r="A9" t="s">
        <v>13</v>
      </c>
      <c r="B9" t="s">
        <v>62</v>
      </c>
      <c r="C9">
        <v>10</v>
      </c>
      <c r="D9">
        <v>5000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9166.6666666666661</v>
      </c>
      <c r="J9">
        <v>24</v>
      </c>
      <c r="K9">
        <v>5000</v>
      </c>
      <c r="L9">
        <f>50*Table3[[#This Row],[Quantity]]</f>
        <v>250000</v>
      </c>
      <c r="M9" s="6">
        <f>Table3[[#This Row],[Energy consumption in W]]*24*365/1000</f>
        <v>2190000</v>
      </c>
      <c r="N9" s="6">
        <f t="shared" si="0"/>
        <v>6.0960000000000007E-3</v>
      </c>
      <c r="O9" s="6">
        <f>Table3[[#This Row],[Yearly Energy Consumption in kWh]]*Table3[[#This Row],[CU/kWh]]</f>
        <v>13350.240000000002</v>
      </c>
      <c r="P9">
        <v>2.25</v>
      </c>
      <c r="Q9" s="6">
        <v>20</v>
      </c>
      <c r="R9" s="8">
        <f>Table3[[#This Row],[Quantity]]*(Table3[[#This Row],[FIT]]*24*365)/1000000000</f>
        <v>219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20160.045000000002</v>
      </c>
    </row>
    <row r="10" spans="1:27" x14ac:dyDescent="0.25">
      <c r="A10" t="s">
        <v>13</v>
      </c>
      <c r="B10" t="s">
        <v>63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6">
        <f t="shared" si="0"/>
        <v>6.0960000000000007E-3</v>
      </c>
      <c r="O10" s="6">
        <f>Table3[[#This Row],[Yearly Energy Consumption in kWh]]*Table3[[#This Row],[CU/kWh]]</f>
        <v>1735.5312000000001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</row>
    <row r="11" spans="1:27" x14ac:dyDescent="0.25">
      <c r="H11">
        <f>SUM(Table3[Total Rent cost per year])</f>
        <v>3074</v>
      </c>
      <c r="O11">
        <f>SUBTOTAL(109,Table3[Energy Cost per year in CU])</f>
        <v>15518.532579840001</v>
      </c>
      <c r="W11">
        <f>SUBTOTAL(109,Table3[FM Cost])</f>
        <v>20434.095716784002</v>
      </c>
    </row>
    <row r="14" spans="1:27" x14ac:dyDescent="0.25">
      <c r="A14" t="s">
        <v>40</v>
      </c>
      <c r="B14" t="s">
        <v>65</v>
      </c>
      <c r="C14" t="s">
        <v>66</v>
      </c>
      <c r="D14" t="s">
        <v>17</v>
      </c>
      <c r="E14" t="s">
        <v>67</v>
      </c>
      <c r="F14" t="s">
        <v>26</v>
      </c>
      <c r="G14" t="s">
        <v>68</v>
      </c>
      <c r="H14" t="s">
        <v>69</v>
      </c>
      <c r="I14" t="s">
        <v>70</v>
      </c>
    </row>
    <row r="15" spans="1:27" x14ac:dyDescent="0.25">
      <c r="B15" s="7">
        <f>171056.493544313/1000</f>
        <v>171.05649354431301</v>
      </c>
      <c r="C15">
        <v>570</v>
      </c>
      <c r="E15">
        <v>20</v>
      </c>
    </row>
    <row r="16" spans="1:27" x14ac:dyDescent="0.25">
      <c r="B16" s="7">
        <f>85582.6331149716/1000</f>
        <v>85.5826331149716</v>
      </c>
      <c r="C16">
        <v>570</v>
      </c>
      <c r="E16">
        <v>20</v>
      </c>
    </row>
    <row r="17" spans="1:14" x14ac:dyDescent="0.25">
      <c r="B17" s="7">
        <f>384090.367674523/1000</f>
        <v>384.09036767452295</v>
      </c>
      <c r="C17">
        <v>570</v>
      </c>
      <c r="E17">
        <v>20</v>
      </c>
      <c r="M17" t="s">
        <v>71</v>
      </c>
    </row>
    <row r="18" spans="1:14" x14ac:dyDescent="0.25">
      <c r="M18">
        <f>Table3[[#Totals],[Total Rent cost per year]]+Table3[[#Totals],[Energy Cost per year in CU]]+Table3[[#Totals],[FM Cost]]+I23</f>
        <v>39321.968045115842</v>
      </c>
    </row>
    <row r="19" spans="1:14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  <c r="K19" s="8"/>
    </row>
    <row r="20" spans="1:14" x14ac:dyDescent="0.25">
      <c r="A20" t="s">
        <v>43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</row>
    <row r="21" spans="1:14" x14ac:dyDescent="0.25">
      <c r="A21" t="s">
        <v>44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</row>
    <row r="22" spans="1:14" x14ac:dyDescent="0.25">
      <c r="A22" t="s">
        <v>64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</row>
    <row r="23" spans="1:14" x14ac:dyDescent="0.25">
      <c r="I23">
        <f>SUM(I20:I22)</f>
        <v>295.33974849184011</v>
      </c>
    </row>
    <row r="25" spans="1:14" x14ac:dyDescent="0.25">
      <c r="M25" s="8" t="s">
        <v>93</v>
      </c>
      <c r="N25" s="8"/>
    </row>
    <row r="26" spans="1:14" x14ac:dyDescent="0.25">
      <c r="M26" s="8" t="s">
        <v>94</v>
      </c>
      <c r="N26" s="8">
        <f>Table3[[#Totals],[Total Rent cost per year]]</f>
        <v>3074</v>
      </c>
    </row>
    <row r="27" spans="1:14" x14ac:dyDescent="0.25">
      <c r="M27" s="8" t="s">
        <v>95</v>
      </c>
      <c r="N27" s="8">
        <f>Table3[[#Totals],[Energy Cost per year in CU]]</f>
        <v>15518.532579840001</v>
      </c>
    </row>
    <row r="28" spans="1:14" x14ac:dyDescent="0.25">
      <c r="M28" s="8" t="s">
        <v>96</v>
      </c>
      <c r="N28" s="8">
        <f>Table3[[#Totals],[FM Cost]]+Q20</f>
        <v>20434.095716784002</v>
      </c>
    </row>
    <row r="29" spans="1:14" x14ac:dyDescent="0.25">
      <c r="M29" s="8" t="s">
        <v>97</v>
      </c>
      <c r="N29" s="8">
        <f>0.05*SUM(N26:N28)</f>
        <v>1951.3314148312002</v>
      </c>
    </row>
    <row r="30" spans="1:14" x14ac:dyDescent="0.25">
      <c r="M30" s="8" t="s">
        <v>98</v>
      </c>
      <c r="N30" s="8">
        <f>0.07*SUM(N26:N28)</f>
        <v>2731.8639807636805</v>
      </c>
    </row>
    <row r="31" spans="1:14" x14ac:dyDescent="0.25">
      <c r="N31">
        <f>SUM(N26:N30)</f>
        <v>43709.823692218881</v>
      </c>
    </row>
    <row r="32" spans="1:14" x14ac:dyDescent="0.25">
      <c r="B32" s="7"/>
      <c r="C32" s="7"/>
      <c r="D32" s="7"/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N22" sqref="N22:N26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A2" s="16" t="s">
        <v>3</v>
      </c>
      <c r="B2" s="17" t="s">
        <v>72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0.3048/50</f>
        <v>6.0960000000000007E-3</v>
      </c>
      <c r="O2">
        <f>Table1[[#This Row],[Yearly Energy Consumption in kWh]]*Table1[[#This Row],[CU/kWh]]</f>
        <v>1.9224345600000003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0.3048/50</f>
        <v>6.0960000000000007E-3</v>
      </c>
      <c r="O3" s="8">
        <f>Table1[[#This Row],[Yearly Energy Consumption in kWh]]*Table1[[#This Row],[CU/kWh]]</f>
        <v>17.355312000000001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</row>
    <row r="4" spans="1:24" x14ac:dyDescent="0.25">
      <c r="A4" s="16" t="s">
        <v>3</v>
      </c>
      <c r="B4" s="17" t="s">
        <v>74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6.0960000000000007E-3</v>
      </c>
      <c r="O4" s="8">
        <f>Table1[[#This Row],[Yearly Energy Consumption in kWh]]*Table1[[#This Row],[CU/kWh]]</f>
        <v>161.48450304000002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</row>
    <row r="5" spans="1:24" x14ac:dyDescent="0.25">
      <c r="A5" s="19" t="s">
        <v>3</v>
      </c>
      <c r="B5" s="20" t="s">
        <v>75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6.0960000000000007E-3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</row>
    <row r="6" spans="1:24" x14ac:dyDescent="0.25">
      <c r="A6" s="16" t="s">
        <v>3</v>
      </c>
      <c r="B6" s="17" t="s">
        <v>76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6.0960000000000007E-3</v>
      </c>
      <c r="O6" s="8">
        <f>Table1[[#This Row],[Yearly Energy Consumption in kWh]]*Table1[[#This Row],[CU/kWh]]</f>
        <v>83.30549760000001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</row>
    <row r="7" spans="1:24" x14ac:dyDescent="0.25">
      <c r="A7" s="19" t="s">
        <v>3</v>
      </c>
      <c r="B7" s="20" t="s">
        <v>77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6.0960000000000007E-3</v>
      </c>
      <c r="O7" s="8">
        <f>Table1[[#This Row],[Yearly Energy Consumption in kWh]]*Table1[[#This Row],[CU/kWh]]</f>
        <v>2.6700480000000004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</row>
    <row r="8" spans="1:24" x14ac:dyDescent="0.25">
      <c r="A8" s="16" t="s">
        <v>8</v>
      </c>
      <c r="B8" s="17" t="s">
        <v>78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6.0960000000000007E-3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</row>
    <row r="9" spans="1:24" x14ac:dyDescent="0.25">
      <c r="A9" s="19" t="s">
        <v>13</v>
      </c>
      <c r="B9" s="20" t="s">
        <v>62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 t="shared" si="1"/>
        <v>0</v>
      </c>
      <c r="I9">
        <f>D9*(0.5+(1/6*8))</f>
        <v>9166.6666666666661</v>
      </c>
      <c r="J9">
        <v>24</v>
      </c>
      <c r="K9">
        <v>5000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6.0960000000000007E-3</v>
      </c>
      <c r="O9" s="8">
        <f>Table1[[#This Row],[Yearly Energy Consumption in kWh]]*Table1[[#This Row],[CU/kWh]]</f>
        <v>13350.240000000002</v>
      </c>
      <c r="P9">
        <v>2.25</v>
      </c>
      <c r="Q9">
        <v>20</v>
      </c>
      <c r="R9" s="8">
        <f>Table1[[#This Row],[Quantity]]*Table1[[#This Row],[FIT]]*24*365/1000000000</f>
        <v>219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20160.045000000002</v>
      </c>
    </row>
    <row r="10" spans="1:24" x14ac:dyDescent="0.25">
      <c r="A10" s="16" t="s">
        <v>13</v>
      </c>
      <c r="B10" s="17" t="s">
        <v>79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6.0960000000000007E-3</v>
      </c>
      <c r="O10" s="8">
        <f>Table1[[#This Row],[Yearly Energy Consumption in kWh]]*Table1[[#This Row],[CU/kWh]]</f>
        <v>1254.9225600000002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SUBTOTAL(109,Table1[Total Rent cost per year])</f>
        <v>3869</v>
      </c>
      <c r="I11" s="25"/>
      <c r="J11" s="25"/>
      <c r="K11" s="25"/>
      <c r="L11" s="25"/>
      <c r="M11" s="25"/>
      <c r="N11" s="25"/>
      <c r="O11" s="25">
        <f>SUBTOTAL(109,Table1[Energy Cost per year in CU])</f>
        <v>14871.900355200003</v>
      </c>
      <c r="P11" s="25"/>
      <c r="Q11" s="25"/>
      <c r="R11" s="25"/>
      <c r="S11" s="25"/>
      <c r="T11" s="25"/>
      <c r="U11" s="25"/>
      <c r="V11" s="25"/>
      <c r="W11" s="25">
        <f>SUM(Table1[FM Cost])</f>
        <v>20428.645405968004</v>
      </c>
    </row>
    <row r="16" spans="1:24" x14ac:dyDescent="0.25">
      <c r="M16" t="s">
        <v>71</v>
      </c>
    </row>
    <row r="17" spans="1:14" x14ac:dyDescent="0.25">
      <c r="A17" s="8" t="s">
        <v>41</v>
      </c>
      <c r="B17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>
        <f>Table1[[#Totals],[Total Rent cost per year]]+Table1[[#Totals],[Energy Cost per year in CU]]+Table1[[#Totals],[FM Cost]]+J20</f>
        <v>39507.519689765715</v>
      </c>
    </row>
    <row r="18" spans="1:14" x14ac:dyDescent="0.25">
      <c r="A18" t="s">
        <v>43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</row>
    <row r="19" spans="1:14" x14ac:dyDescent="0.25">
      <c r="A19" t="s">
        <v>64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4" x14ac:dyDescent="0.25">
      <c r="J20">
        <f>SUM(J18:J19)</f>
        <v>337.97392859771304</v>
      </c>
    </row>
    <row r="21" spans="1:14" x14ac:dyDescent="0.25">
      <c r="M21" s="8" t="s">
        <v>93</v>
      </c>
      <c r="N21" s="8"/>
    </row>
    <row r="22" spans="1:14" x14ac:dyDescent="0.25">
      <c r="M22" s="8" t="s">
        <v>94</v>
      </c>
      <c r="N22" s="8">
        <f>Table1[[#Totals],[Total Rent cost per year]]</f>
        <v>3869</v>
      </c>
    </row>
    <row r="23" spans="1:14" x14ac:dyDescent="0.25">
      <c r="M23" s="8" t="s">
        <v>95</v>
      </c>
      <c r="N23" s="8">
        <f>Table1[[#Totals],[Energy Cost per year in CU]]</f>
        <v>14871.900355200003</v>
      </c>
    </row>
    <row r="24" spans="1:14" x14ac:dyDescent="0.25">
      <c r="M24" s="8" t="s">
        <v>96</v>
      </c>
      <c r="N24" s="8">
        <f>Table1[[#Totals],[FM Cost]]+J20</f>
        <v>20766.619334565716</v>
      </c>
    </row>
    <row r="25" spans="1:14" x14ac:dyDescent="0.25">
      <c r="M25" s="8" t="s">
        <v>97</v>
      </c>
      <c r="N25" s="8">
        <f>0.05*SUM(N22:N24)</f>
        <v>1975.3759844882859</v>
      </c>
    </row>
    <row r="26" spans="1:14" x14ac:dyDescent="0.25">
      <c r="M26" s="8" t="s">
        <v>98</v>
      </c>
      <c r="N26" s="8">
        <f>0.07*SUM(N22:N24)</f>
        <v>2765.5263782836005</v>
      </c>
    </row>
    <row r="27" spans="1:14" x14ac:dyDescent="0.25">
      <c r="M27" s="8"/>
      <c r="N27" s="8">
        <f>SUM(N22:N26)</f>
        <v>44248.4220525376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F1" workbookViewId="0">
      <selection activeCell="N21" sqref="N21:N25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s="10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t="s">
        <v>3</v>
      </c>
      <c r="B2" s="27" t="s">
        <v>72</v>
      </c>
      <c r="C2">
        <v>16</v>
      </c>
      <c r="D2" s="26">
        <v>6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0.3048/50</f>
        <v>6.0960000000000007E-3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1.345536E-2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0.10226073599999999</v>
      </c>
    </row>
    <row r="3" spans="1:23" x14ac:dyDescent="0.25">
      <c r="A3" t="s">
        <v>3</v>
      </c>
      <c r="B3" s="27" t="s">
        <v>73</v>
      </c>
      <c r="C3">
        <v>8.8000000000000007</v>
      </c>
      <c r="D3" s="26">
        <v>130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22.166666666666664</v>
      </c>
      <c r="J3" s="8">
        <v>2</v>
      </c>
      <c r="K3" s="8">
        <v>50</v>
      </c>
      <c r="L3" s="8">
        <f>5*80*Table4[[#This Row],[Quantity]]</f>
        <v>52000</v>
      </c>
      <c r="M3" s="8">
        <f>Table4[[#This Row],[Energy consumption in W]]*24*365/1000</f>
        <v>455520</v>
      </c>
      <c r="N3" s="8">
        <f t="shared" ref="N3:N10" si="1">0.3048/50</f>
        <v>6.0960000000000007E-3</v>
      </c>
      <c r="O3" s="8">
        <f>Table4[[#This Row],[Yearly Energy Consumption in kWh]]*Table1[[#This Row],[CU/kWh]]</f>
        <v>2776.8499200000001</v>
      </c>
      <c r="P3" s="8">
        <v>0</v>
      </c>
      <c r="Q3" s="8">
        <v>20</v>
      </c>
      <c r="R3" s="8">
        <f>Table4[[#This Row],[Quantity]]*Table4[[#This Row],[FIT]]*24*365/1000000000</f>
        <v>5.6939999999999998E-2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0.43274399999999996</v>
      </c>
    </row>
    <row r="4" spans="1:23" x14ac:dyDescent="0.25">
      <c r="A4" t="s">
        <v>3</v>
      </c>
      <c r="B4" s="27" t="s">
        <v>74</v>
      </c>
      <c r="C4">
        <v>63</v>
      </c>
      <c r="D4" s="26">
        <v>130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22.166666666666664</v>
      </c>
      <c r="J4" s="8">
        <v>2</v>
      </c>
      <c r="K4" s="8">
        <v>50</v>
      </c>
      <c r="L4" s="8">
        <f>48*D4</f>
        <v>6240</v>
      </c>
      <c r="M4" s="8">
        <f>Table4[[#This Row],[Energy consumption in W]]*24*365/1000</f>
        <v>54662.400000000001</v>
      </c>
      <c r="N4" s="8">
        <f t="shared" si="1"/>
        <v>6.0960000000000007E-3</v>
      </c>
      <c r="O4" s="8">
        <f>Table4[[#This Row],[Yearly Energy Consumption in kWh]]*Table1[[#This Row],[CU/kWh]]</f>
        <v>333.22199040000004</v>
      </c>
      <c r="P4" s="8">
        <v>0</v>
      </c>
      <c r="Q4" s="8">
        <v>20</v>
      </c>
      <c r="R4" s="8">
        <f>Table4[[#This Row],[Quantity]]*Table4[[#This Row],[FIT]]*24*365/1000000000</f>
        <v>5.6939999999999998E-2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0.43274399999999996</v>
      </c>
    </row>
    <row r="5" spans="1:23" x14ac:dyDescent="0.25">
      <c r="A5" t="s">
        <v>3</v>
      </c>
      <c r="B5" s="27" t="s">
        <v>75</v>
      </c>
      <c r="C5">
        <v>2.2999999999999998</v>
      </c>
      <c r="D5" s="26">
        <v>130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22.166666666666664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6.0960000000000007E-3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5.6939999999999998E-2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0.43274399999999996</v>
      </c>
    </row>
    <row r="6" spans="1:23" x14ac:dyDescent="0.25">
      <c r="A6" t="s">
        <v>3</v>
      </c>
      <c r="B6" s="27" t="s">
        <v>76</v>
      </c>
      <c r="C6">
        <v>2.2222222222222223E-2</v>
      </c>
      <c r="D6" s="26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6.0960000000000007E-3</v>
      </c>
      <c r="O6" s="8">
        <f>Table4[[#This Row],[Yearly Energy Consumption in kWh]]*Table1[[#This Row],[CU/kWh]]</f>
        <v>166.61099520000002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</row>
    <row r="7" spans="1:23" x14ac:dyDescent="0.25">
      <c r="A7" t="s">
        <v>3</v>
      </c>
      <c r="B7" s="27" t="s">
        <v>77</v>
      </c>
      <c r="C7">
        <v>400</v>
      </c>
      <c r="D7" s="26">
        <v>1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6.0960000000000007E-3</v>
      </c>
      <c r="O7" s="8">
        <f>Table4[[#This Row],[Yearly Energy Consumption in kWh]]*Table1[[#This Row],[CU/kWh]]</f>
        <v>2.6700480000000004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</row>
    <row r="8" spans="1:23" x14ac:dyDescent="0.25">
      <c r="A8" t="s">
        <v>8</v>
      </c>
      <c r="B8" s="27" t="s">
        <v>78</v>
      </c>
      <c r="C8">
        <v>24</v>
      </c>
      <c r="D8" s="26">
        <v>65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11.333333333333332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6.0960000000000007E-3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0.11388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2.6613756</v>
      </c>
    </row>
    <row r="9" spans="1:23" x14ac:dyDescent="0.25">
      <c r="A9" t="s">
        <v>13</v>
      </c>
      <c r="B9" s="27" t="s">
        <v>80</v>
      </c>
      <c r="C9">
        <v>1.8</v>
      </c>
      <c r="D9" s="26">
        <v>5000</v>
      </c>
      <c r="E9">
        <v>0</v>
      </c>
      <c r="F9">
        <v>0</v>
      </c>
      <c r="G9">
        <v>0</v>
      </c>
      <c r="H9" s="8">
        <f t="shared" si="0"/>
        <v>0</v>
      </c>
      <c r="I9" s="8">
        <f t="shared" si="2"/>
        <v>833.83333333333326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6.0960000000000007E-3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2.19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51.804449999999996</v>
      </c>
    </row>
    <row r="10" spans="1:23" x14ac:dyDescent="0.25">
      <c r="A10" t="s">
        <v>13</v>
      </c>
      <c r="B10" s="27" t="s">
        <v>81</v>
      </c>
      <c r="C10">
        <v>1.86</v>
      </c>
      <c r="D10" s="26">
        <v>30000</v>
      </c>
      <c r="E10">
        <v>0</v>
      </c>
      <c r="F10">
        <v>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6.0960000000000007E-3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</row>
    <row r="11" spans="1:23" x14ac:dyDescent="0.25">
      <c r="H11">
        <f>SUBTOTAL(109,Table4[Total Rent cost per year])</f>
        <v>3869</v>
      </c>
      <c r="O11">
        <f>SUBTOTAL(109,Table4[Energy Cost per year in CU])</f>
        <v>3279.3529536000001</v>
      </c>
      <c r="W11">
        <f>SUM(Table4[FM Cost])</f>
        <v>1647.2990223359996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O15" t="s">
        <v>71</v>
      </c>
    </row>
    <row r="16" spans="1:23" x14ac:dyDescent="0.25">
      <c r="A16" s="8" t="s">
        <v>43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O16">
        <f>Table4[[#Totals],[Total Rent cost per year]]+Table4[[#Totals],[Energy Cost per year in CU]]+Table4[[#Totals],[FM Cost]]+J18</f>
        <v>9411.4076069337134</v>
      </c>
    </row>
    <row r="17" spans="1:14" x14ac:dyDescent="0.25">
      <c r="A17" s="8" t="s">
        <v>64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</row>
    <row r="18" spans="1:14" x14ac:dyDescent="0.25">
      <c r="J18">
        <f>SUM(J16:J17)</f>
        <v>615.75563099771284</v>
      </c>
    </row>
    <row r="20" spans="1:14" x14ac:dyDescent="0.25">
      <c r="M20" s="8" t="s">
        <v>93</v>
      </c>
      <c r="N20" s="8"/>
    </row>
    <row r="21" spans="1:14" x14ac:dyDescent="0.25">
      <c r="M21" s="8" t="s">
        <v>94</v>
      </c>
      <c r="N21" s="8">
        <f>Table4[[#Totals],[Total Rent cost per year]]</f>
        <v>3869</v>
      </c>
    </row>
    <row r="22" spans="1:14" x14ac:dyDescent="0.25">
      <c r="M22" s="8" t="s">
        <v>95</v>
      </c>
      <c r="N22" s="8">
        <f>Table4[[#Totals],[Energy Cost per year in CU]]</f>
        <v>3279.3529536000001</v>
      </c>
    </row>
    <row r="23" spans="1:14" x14ac:dyDescent="0.25">
      <c r="M23" s="8" t="s">
        <v>96</v>
      </c>
      <c r="N23" s="8">
        <f>Table4[[#Totals],[FM Cost]]+J18</f>
        <v>2263.0546533337124</v>
      </c>
    </row>
    <row r="24" spans="1:14" x14ac:dyDescent="0.25">
      <c r="M24" s="8" t="s">
        <v>97</v>
      </c>
      <c r="N24" s="8">
        <f>0.05*SUM(N21:N23)</f>
        <v>470.57038034668568</v>
      </c>
    </row>
    <row r="25" spans="1:14" x14ac:dyDescent="0.25">
      <c r="M25" s="8" t="s">
        <v>98</v>
      </c>
      <c r="N25" s="8">
        <f>0.07*SUM(N21:N23)</f>
        <v>658.79853248536006</v>
      </c>
    </row>
    <row r="26" spans="1:14" x14ac:dyDescent="0.25">
      <c r="M26" s="8"/>
      <c r="N26" s="8">
        <f>SUM(N21:N25)</f>
        <v>10540.776519765759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M1" workbookViewId="0">
      <selection activeCell="M22" sqref="M22:M26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60</v>
      </c>
      <c r="C2" s="8">
        <v>80</v>
      </c>
      <c r="D2" s="26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0.3048/50</f>
        <v>6.0960000000000007E-3</v>
      </c>
      <c r="O2" s="8">
        <f>Table36[[#This Row],[Yearly Energy Consumption in kWh]]*Table36[[#This Row],[CU/kWh]]</f>
        <v>576.73036800000011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</row>
    <row r="3" spans="1:27" x14ac:dyDescent="0.25">
      <c r="A3" s="8" t="s">
        <v>3</v>
      </c>
      <c r="B3" s="27" t="s">
        <v>61</v>
      </c>
      <c r="C3" s="8">
        <v>12</v>
      </c>
      <c r="D3" s="26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0.3048/50</f>
        <v>6.0960000000000007E-3</v>
      </c>
      <c r="O3" s="8">
        <f>Table36[[#This Row],[Yearly Energy Consumption in kWh]]*Table36[[#This Row],[CU/kWh]]</f>
        <v>1666.1099520000002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</row>
    <row r="4" spans="1:27" x14ac:dyDescent="0.25">
      <c r="A4" s="8" t="s">
        <v>3</v>
      </c>
      <c r="B4" s="27" t="s">
        <v>6</v>
      </c>
      <c r="C4" s="8">
        <v>1.1111111E-2</v>
      </c>
      <c r="D4" s="26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6.0960000000000007E-3</v>
      </c>
      <c r="O4" s="8">
        <f>Table36[[#This Row],[Yearly Energy Consumption in kWh]]*Table36[[#This Row],[CU/kWh]]</f>
        <v>166.61099520000002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</row>
    <row r="5" spans="1:27" x14ac:dyDescent="0.25">
      <c r="A5" s="8" t="s">
        <v>3</v>
      </c>
      <c r="B5" s="27" t="s">
        <v>7</v>
      </c>
      <c r="C5" s="8">
        <v>200</v>
      </c>
      <c r="D5" s="26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6.0960000000000007E-3</v>
      </c>
      <c r="O5" s="8">
        <f>Table36[[#This Row],[Yearly Energy Consumption in kWh]]*Table36[[#This Row],[CU/kWh]]</f>
        <v>5.3400960000000008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</row>
    <row r="6" spans="1:27" x14ac:dyDescent="0.25">
      <c r="A6" s="8" t="s">
        <v>8</v>
      </c>
      <c r="B6" s="27" t="s">
        <v>9</v>
      </c>
      <c r="C6" s="8">
        <v>1.8</v>
      </c>
      <c r="D6" s="26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6.0960000000000007E-3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</row>
    <row r="7" spans="1:27" x14ac:dyDescent="0.25">
      <c r="A7" s="8" t="s">
        <v>8</v>
      </c>
      <c r="B7" s="27" t="s">
        <v>61</v>
      </c>
      <c r="C7" s="8">
        <v>12</v>
      </c>
      <c r="D7" s="26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6.0960000000000007E-3</v>
      </c>
      <c r="O7" s="8">
        <f>Table36[[#This Row],[Yearly Energy Consumption in kWh]]*Table36[[#This Row],[CU/kWh]]</f>
        <v>74.974947840000013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</row>
    <row r="8" spans="1:27" x14ac:dyDescent="0.25">
      <c r="A8" s="8" t="s">
        <v>10</v>
      </c>
      <c r="B8" s="27" t="s">
        <v>9</v>
      </c>
      <c r="C8" s="8">
        <v>1.8</v>
      </c>
      <c r="D8" s="26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6.0960000000000007E-3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</row>
    <row r="9" spans="1:27" x14ac:dyDescent="0.25">
      <c r="A9" s="8" t="s">
        <v>13</v>
      </c>
      <c r="B9" s="27" t="s">
        <v>9</v>
      </c>
      <c r="C9" s="8">
        <v>10</v>
      </c>
      <c r="D9" s="26">
        <v>5000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6.0960000000000007E-3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51.804449999999996</v>
      </c>
    </row>
    <row r="10" spans="1:27" x14ac:dyDescent="0.25">
      <c r="A10" s="8" t="s">
        <v>13</v>
      </c>
      <c r="B10" s="27" t="s">
        <v>63</v>
      </c>
      <c r="C10" s="8">
        <v>2.1</v>
      </c>
      <c r="D10" s="26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6.0960000000000007E-3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</row>
    <row r="11" spans="1:27" x14ac:dyDescent="0.25">
      <c r="H11" s="8">
        <f>SUM(Table36[Total Rent cost per year])</f>
        <v>5936</v>
      </c>
      <c r="O11" s="8">
        <f>SUBTOTAL(109,Table36[Energy Cost per year in CU])</f>
        <v>2489.7663590400002</v>
      </c>
      <c r="W11" s="8">
        <f>SUBTOTAL(109,Table36[FM Cost])</f>
        <v>1660.8610195679996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(384090.367674523+20*30000)/1000</f>
        <v>984.09036767452301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Table36[[#Totals],[Total Rent cost per year]]+Table36[[#Totals],[Energy Cost per year in CU]]+Table36[[#Totals],[FM Cost]]+I23</f>
        <v>10659.74882949984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93</v>
      </c>
    </row>
    <row r="22" spans="1:13" x14ac:dyDescent="0.25">
      <c r="A22" s="8" t="s">
        <v>64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L22" s="8" t="s">
        <v>94</v>
      </c>
      <c r="M22" s="8">
        <f>Table36[[#Totals],[Total Rent cost per year]]</f>
        <v>5936</v>
      </c>
    </row>
    <row r="23" spans="1:13" x14ac:dyDescent="0.25">
      <c r="I23" s="8">
        <f>SUM(I20:I22)</f>
        <v>573.12145089184014</v>
      </c>
      <c r="L23" s="8" t="s">
        <v>95</v>
      </c>
      <c r="M23" s="8">
        <f>Table36[[#Totals],[Energy Cost per year in CU]]</f>
        <v>2489.7663590400002</v>
      </c>
    </row>
    <row r="24" spans="1:13" x14ac:dyDescent="0.25">
      <c r="L24" s="8" t="s">
        <v>96</v>
      </c>
      <c r="M24" s="8">
        <f>Table36[[#Totals],[FM Cost]]+I23</f>
        <v>2233.9824704598395</v>
      </c>
    </row>
    <row r="25" spans="1:13" x14ac:dyDescent="0.25">
      <c r="L25" s="8" t="s">
        <v>97</v>
      </c>
      <c r="M25" s="8">
        <f>0.05*SUM(M22:M24)</f>
        <v>532.98744147499201</v>
      </c>
    </row>
    <row r="26" spans="1:13" x14ac:dyDescent="0.25">
      <c r="L26" s="8" t="s">
        <v>98</v>
      </c>
      <c r="M26" s="8">
        <f>0.07*SUM(M22:M24)</f>
        <v>746.18241806498884</v>
      </c>
    </row>
    <row r="27" spans="1:13" x14ac:dyDescent="0.25">
      <c r="M27" s="8">
        <f>SUM(M22:M26)</f>
        <v>11938.918689039821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G1" workbookViewId="0">
      <selection activeCell="P24" sqref="P24:P28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2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82</v>
      </c>
      <c r="C2" s="26">
        <v>80</v>
      </c>
      <c r="D2" s="26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0.3048/50</f>
        <v>6.0960000000000007E-3</v>
      </c>
      <c r="O2" s="2">
        <f>Table27[[#This Row],[Yearly Energy Consumption in kWh]]*Table27[[#This Row],[CU/kWh]]</f>
        <v>4.1385744000000004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0</v>
      </c>
      <c r="Y2" s="8">
        <f>1200/50</f>
        <v>24</v>
      </c>
      <c r="Z2" s="8">
        <f>2000/50</f>
        <v>40</v>
      </c>
    </row>
    <row r="3" spans="1:27" x14ac:dyDescent="0.25">
      <c r="A3" s="8" t="s">
        <v>3</v>
      </c>
      <c r="B3" s="27" t="s">
        <v>61</v>
      </c>
      <c r="C3" s="26">
        <v>12</v>
      </c>
      <c r="D3" s="26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0.3048/50</f>
        <v>6.0960000000000007E-3</v>
      </c>
      <c r="O3" s="2">
        <f>Table27[[#This Row],[Yearly Energy Consumption in kWh]]*Table27[[#This Row],[CU/kWh]]</f>
        <v>9.9966597119999996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0</v>
      </c>
      <c r="Y3" s="8">
        <f t="shared" ref="Y3:Y10" si="2">1200/50</f>
        <v>24</v>
      </c>
      <c r="Z3" s="8">
        <f t="shared" ref="Z3:Z10" si="3">2000/50</f>
        <v>40</v>
      </c>
    </row>
    <row r="4" spans="1:27" x14ac:dyDescent="0.25">
      <c r="A4" s="8" t="s">
        <v>3</v>
      </c>
      <c r="B4" s="27" t="s">
        <v>6</v>
      </c>
      <c r="C4" s="26">
        <f>0.1/9</f>
        <v>1.1111111111111112E-2</v>
      </c>
      <c r="D4" s="26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6.0960000000000007E-3</v>
      </c>
      <c r="O4" s="2">
        <f>Table27[[#This Row],[Yearly Energy Consumption in kWh]]*Table27[[#This Row],[CU/kWh]]</f>
        <v>16.66109952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0</v>
      </c>
      <c r="Y4" s="8">
        <f t="shared" si="2"/>
        <v>24</v>
      </c>
      <c r="Z4" s="8">
        <f t="shared" si="3"/>
        <v>40</v>
      </c>
    </row>
    <row r="5" spans="1:27" x14ac:dyDescent="0.25">
      <c r="A5" s="8" t="s">
        <v>3</v>
      </c>
      <c r="B5" s="27" t="s">
        <v>7</v>
      </c>
      <c r="C5" s="26">
        <v>200</v>
      </c>
      <c r="D5" s="26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6.0960000000000007E-3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0</v>
      </c>
      <c r="Y5" s="8">
        <f t="shared" si="2"/>
        <v>24</v>
      </c>
      <c r="Z5" s="8">
        <f t="shared" si="3"/>
        <v>40</v>
      </c>
    </row>
    <row r="6" spans="1:27" x14ac:dyDescent="0.25">
      <c r="A6" s="8" t="s">
        <v>8</v>
      </c>
      <c r="B6" s="27" t="s">
        <v>9</v>
      </c>
      <c r="C6" s="26">
        <v>1.8</v>
      </c>
      <c r="D6" s="26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6.0960000000000007E-3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0</v>
      </c>
      <c r="Y6" s="8">
        <f t="shared" si="2"/>
        <v>24</v>
      </c>
      <c r="Z6" s="8">
        <f t="shared" si="3"/>
        <v>40</v>
      </c>
    </row>
    <row r="7" spans="1:27" x14ac:dyDescent="0.25">
      <c r="A7" s="8" t="s">
        <v>10</v>
      </c>
      <c r="B7" s="27" t="s">
        <v>61</v>
      </c>
      <c r="C7" s="26">
        <v>12</v>
      </c>
      <c r="D7" s="26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6.0960000000000007E-3</v>
      </c>
      <c r="O7" s="2">
        <f>Table27[[#This Row],[Yearly Energy Consumption in kWh]]*Table27[[#This Row],[CU/kWh]]</f>
        <v>19.993319423999999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0</v>
      </c>
      <c r="Y7" s="8">
        <f t="shared" si="2"/>
        <v>24</v>
      </c>
      <c r="Z7" s="8">
        <f t="shared" si="3"/>
        <v>40</v>
      </c>
    </row>
    <row r="8" spans="1:27" x14ac:dyDescent="0.25">
      <c r="A8" s="8" t="s">
        <v>10</v>
      </c>
      <c r="B8" s="27" t="s">
        <v>11</v>
      </c>
      <c r="C8" s="26">
        <v>1</v>
      </c>
      <c r="D8" s="26">
        <f>5000</f>
        <v>5000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6.0960000000000007E-3</v>
      </c>
      <c r="O8" s="2">
        <f>Table27[[#This Row],[Yearly Energy Consumption in kWh]]*Table27[[#This Row],[CU/kWh]]</f>
        <v>1068.0192000000002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0</v>
      </c>
      <c r="Y8" s="8">
        <f t="shared" si="2"/>
        <v>24</v>
      </c>
      <c r="Z8" s="8">
        <f t="shared" si="3"/>
        <v>40</v>
      </c>
    </row>
    <row r="9" spans="1:27" x14ac:dyDescent="0.25">
      <c r="A9" s="8" t="s">
        <v>10</v>
      </c>
      <c r="B9" s="27" t="s">
        <v>83</v>
      </c>
      <c r="C9" s="26">
        <v>1.2</v>
      </c>
      <c r="D9" s="26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6.0960000000000007E-3</v>
      </c>
      <c r="O9" s="2">
        <f>Table27[[#This Row],[Yearly Energy Consumption in kWh]]*Table27[[#This Row],[CU/kWh]]</f>
        <v>3321.5397120000002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0</v>
      </c>
      <c r="Y9" s="8">
        <f t="shared" si="2"/>
        <v>24</v>
      </c>
      <c r="Z9" s="8">
        <f t="shared" si="3"/>
        <v>40</v>
      </c>
    </row>
    <row r="10" spans="1:27" x14ac:dyDescent="0.25">
      <c r="A10" s="8" t="s">
        <v>10</v>
      </c>
      <c r="B10" s="27" t="s">
        <v>84</v>
      </c>
      <c r="C10" s="26">
        <f>12+(100/4)</f>
        <v>37</v>
      </c>
      <c r="D10" s="26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2</v>
      </c>
      <c r="H10" s="2">
        <f>Table27[[#This Row],[Rent per sqm per year]]*Table27[[#This Row],[Total Floor Space]]</f>
        <v>10000</v>
      </c>
      <c r="I10" s="8">
        <v>0</v>
      </c>
      <c r="J10" s="8">
        <v>24</v>
      </c>
      <c r="K10" s="8">
        <v>5000</v>
      </c>
      <c r="L10" s="8">
        <f>25*Table27[[#This Row],[Quantity]]</f>
        <v>125000</v>
      </c>
      <c r="M10" s="8">
        <f>Table27[[#This Row],[Energy consumption in W]]*24*365/1000</f>
        <v>1095000</v>
      </c>
      <c r="N10" s="8">
        <f t="shared" si="0"/>
        <v>6.0960000000000007E-3</v>
      </c>
      <c r="O10" s="2">
        <f>Table27[[#This Row],[Yearly Energy Consumption in kWh]]*Table27[[#This Row],[CU/kWh]]</f>
        <v>6675.1200000000008</v>
      </c>
      <c r="P10" s="8">
        <v>2</v>
      </c>
      <c r="Q10" s="8">
        <v>20</v>
      </c>
      <c r="R10" s="8">
        <f>Table27[[#This Row],[Quantity]]*(Table27[[#This Row],[FIT]]*24*365)/1000000000</f>
        <v>219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20139.239999999998</v>
      </c>
      <c r="X10" s="8">
        <v>0</v>
      </c>
      <c r="Y10" s="8">
        <f t="shared" si="2"/>
        <v>24</v>
      </c>
      <c r="Z10" s="8">
        <f t="shared" si="3"/>
        <v>40</v>
      </c>
    </row>
    <row r="11" spans="1:27" x14ac:dyDescent="0.25">
      <c r="B11" s="31"/>
      <c r="H11" s="32">
        <f>SUM(Table27[Total Rent cost per year])</f>
        <v>13074</v>
      </c>
      <c r="O11" s="32">
        <f>SUM(Table27[Energy Cost per year in CU])</f>
        <v>11115.468565056002</v>
      </c>
      <c r="W11" s="32">
        <f>SUM(Table27[FM Cost])+L20</f>
        <v>20896.88245642011</v>
      </c>
    </row>
    <row r="14" spans="1:27" x14ac:dyDescent="0.25">
      <c r="A14" s="8" t="s">
        <v>41</v>
      </c>
      <c r="B14" s="8" t="s">
        <v>17</v>
      </c>
      <c r="C14" s="8" t="s">
        <v>16</v>
      </c>
      <c r="D14" s="8" t="s">
        <v>42</v>
      </c>
      <c r="E14" s="8" t="s">
        <v>30</v>
      </c>
      <c r="F14" s="8" t="s">
        <v>46</v>
      </c>
      <c r="G14" s="8" t="s">
        <v>47</v>
      </c>
      <c r="H14" s="8" t="s">
        <v>49</v>
      </c>
      <c r="I14" s="8" t="s">
        <v>48</v>
      </c>
      <c r="J14" s="8" t="s">
        <v>50</v>
      </c>
      <c r="K14" s="8" t="s">
        <v>51</v>
      </c>
      <c r="L14" s="8" t="s">
        <v>52</v>
      </c>
    </row>
    <row r="15" spans="1:27" x14ac:dyDescent="0.25">
      <c r="A15" s="8" t="s">
        <v>43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</row>
    <row r="16" spans="1:27" x14ac:dyDescent="0.25">
      <c r="A16" s="8" t="s">
        <v>44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4">F16/20</f>
        <v>0.1</v>
      </c>
      <c r="I16" s="8">
        <f t="shared" si="4"/>
        <v>0.05</v>
      </c>
      <c r="J16" s="8">
        <f t="shared" ref="J16:J17" si="5">C16+2*H16</f>
        <v>24.2</v>
      </c>
      <c r="K16" s="8">
        <f t="shared" ref="K16:K17" si="6">C16+2*I16</f>
        <v>24.1</v>
      </c>
      <c r="L16" s="8">
        <f t="shared" ref="L16:L17" si="7">B16*24*365*J16*E16/1000000000</f>
        <v>39.297377489463415</v>
      </c>
    </row>
    <row r="17" spans="1:19" x14ac:dyDescent="0.25">
      <c r="A17" s="8" t="s">
        <v>45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4"/>
        <v>0.2</v>
      </c>
      <c r="I17" s="8">
        <f t="shared" si="4"/>
        <v>7.4999999999999997E-2</v>
      </c>
      <c r="J17" s="8">
        <f t="shared" si="5"/>
        <v>24.4</v>
      </c>
      <c r="K17" s="8">
        <f t="shared" si="6"/>
        <v>24.15</v>
      </c>
      <c r="L17" s="8">
        <f t="shared" si="7"/>
        <v>317.30646582172432</v>
      </c>
    </row>
    <row r="18" spans="1:19" x14ac:dyDescent="0.25">
      <c r="Q18" s="8" t="s">
        <v>54</v>
      </c>
    </row>
    <row r="19" spans="1:19" x14ac:dyDescent="0.25">
      <c r="Q19" s="8">
        <f>Table27[[#Totals],[Total Rent cost per year]]+Table27[[#Totals],[Energy Cost per year in CU]]+Table27[[#Totals],[FM Cost]]+L20</f>
        <v>45521.175108776224</v>
      </c>
    </row>
    <row r="20" spans="1:19" x14ac:dyDescent="0.25">
      <c r="K20" s="8" t="s">
        <v>53</v>
      </c>
      <c r="L20" s="8">
        <f>SUM(L15:L17)</f>
        <v>434.82408730011286</v>
      </c>
    </row>
    <row r="22" spans="1:19" x14ac:dyDescent="0.25">
      <c r="O22" s="8" t="s">
        <v>93</v>
      </c>
    </row>
    <row r="23" spans="1:19" x14ac:dyDescent="0.25">
      <c r="O23" s="8" t="s">
        <v>99</v>
      </c>
      <c r="P23" s="8" t="s">
        <v>68</v>
      </c>
    </row>
    <row r="24" spans="1:19" x14ac:dyDescent="0.25">
      <c r="O24" s="8" t="s">
        <v>94</v>
      </c>
      <c r="P24" s="8">
        <f>Table27[[#Totals],[Total Rent cost per year]]</f>
        <v>13074</v>
      </c>
    </row>
    <row r="25" spans="1:19" x14ac:dyDescent="0.25">
      <c r="O25" s="8" t="s">
        <v>95</v>
      </c>
      <c r="P25" s="8">
        <f>Table27[[#Totals],[Energy Cost per year in CU]]</f>
        <v>11115.468565056002</v>
      </c>
    </row>
    <row r="26" spans="1:19" x14ac:dyDescent="0.25">
      <c r="O26" s="8" t="s">
        <v>96</v>
      </c>
      <c r="P26" s="8">
        <f>Table27[[#Totals],[FM Cost]]+L20</f>
        <v>21331.706543720222</v>
      </c>
    </row>
    <row r="27" spans="1:19" x14ac:dyDescent="0.25">
      <c r="O27" s="8" t="s">
        <v>97</v>
      </c>
      <c r="P27" s="8">
        <f>0.05*SUM(P24:P26)</f>
        <v>2276.0587554388112</v>
      </c>
    </row>
    <row r="28" spans="1:19" x14ac:dyDescent="0.25">
      <c r="O28" s="8" t="s">
        <v>98</v>
      </c>
      <c r="P28" s="8">
        <f>0.07*SUM(P24:P26)</f>
        <v>3186.482257614336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P29" s="8">
        <f>SUM(P24:P28)</f>
        <v>50983.71612182937</v>
      </c>
      <c r="S29" s="8">
        <v>11727.88547395296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H1" workbookViewId="0">
      <selection activeCell="M21" sqref="M21:M25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8" t="s">
        <v>60</v>
      </c>
      <c r="C2" s="26">
        <v>80</v>
      </c>
      <c r="D2" s="26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0.3048/50</f>
        <v>6.0960000000000007E-3</v>
      </c>
      <c r="O2" s="8">
        <f>Table38[[#This Row],[Yearly Energy Consumption in kWh]]*Table38[[#This Row],[CU/kWh]]</f>
        <v>576.73036800000011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</row>
    <row r="3" spans="1:27" x14ac:dyDescent="0.25">
      <c r="A3" s="8" t="s">
        <v>3</v>
      </c>
      <c r="B3" s="8" t="s">
        <v>61</v>
      </c>
      <c r="C3" s="26">
        <v>12</v>
      </c>
      <c r="D3" s="26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0.3048/50</f>
        <v>6.0960000000000007E-3</v>
      </c>
      <c r="O3" s="8">
        <f>Table38[[#This Row],[Yearly Energy Consumption in kWh]]*Table38[[#This Row],[CU/kWh]]</f>
        <v>74.974947840000013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</row>
    <row r="4" spans="1:27" x14ac:dyDescent="0.25">
      <c r="A4" s="8" t="s">
        <v>3</v>
      </c>
      <c r="B4" s="8" t="s">
        <v>6</v>
      </c>
      <c r="C4" s="26">
        <f>0.1/9</f>
        <v>1.1111111111111112E-2</v>
      </c>
      <c r="D4" s="26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6.0960000000000007E-3</v>
      </c>
      <c r="O4" s="8">
        <f>Table38[[#This Row],[Yearly Energy Consumption in kWh]]*Table38[[#This Row],[CU/kWh]]</f>
        <v>166.61099520000002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</row>
    <row r="5" spans="1:27" x14ac:dyDescent="0.25">
      <c r="A5" s="8" t="s">
        <v>3</v>
      </c>
      <c r="B5" s="8" t="s">
        <v>7</v>
      </c>
      <c r="C5" s="26">
        <v>400</v>
      </c>
      <c r="D5" s="26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6.0960000000000007E-3</v>
      </c>
      <c r="O5" s="8">
        <f>Table38[[#This Row],[Yearly Energy Consumption in kWh]]*Table38[[#This Row],[CU/kWh]]</f>
        <v>5.3400960000000008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</row>
    <row r="6" spans="1:27" x14ac:dyDescent="0.25">
      <c r="A6" s="8" t="s">
        <v>8</v>
      </c>
      <c r="B6" s="8" t="s">
        <v>9</v>
      </c>
      <c r="C6" s="26">
        <v>1.8</v>
      </c>
      <c r="D6" s="26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6.0960000000000007E-3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</row>
    <row r="7" spans="1:27" x14ac:dyDescent="0.25">
      <c r="A7" s="8" t="s">
        <v>8</v>
      </c>
      <c r="B7" s="8" t="s">
        <v>61</v>
      </c>
      <c r="C7" s="26">
        <v>4</v>
      </c>
      <c r="D7" s="26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6.0960000000000007E-3</v>
      </c>
      <c r="O7" s="8">
        <f>Table38[[#This Row],[Yearly Energy Consumption in kWh]]*Table38[[#This Row],[CU/kWh]]</f>
        <v>37.487473920000006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</row>
    <row r="8" spans="1:27" x14ac:dyDescent="0.25">
      <c r="A8" s="8" t="s">
        <v>10</v>
      </c>
      <c r="B8" s="8" t="s">
        <v>9</v>
      </c>
      <c r="C8" s="26">
        <v>1.8</v>
      </c>
      <c r="D8" s="26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6.0960000000000007E-3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</row>
    <row r="9" spans="1:27" x14ac:dyDescent="0.25">
      <c r="A9" s="8" t="s">
        <v>13</v>
      </c>
      <c r="B9" s="8" t="s">
        <v>62</v>
      </c>
      <c r="C9" s="26">
        <f>10</f>
        <v>10</v>
      </c>
      <c r="D9" s="26">
        <v>5000</v>
      </c>
      <c r="E9" s="8">
        <v>1</v>
      </c>
      <c r="F9" s="8">
        <f>Table38[[#This Row],[Floor Space per component]]*Table38[[#This Row],[Quantity]]</f>
        <v>5000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9166.6666666666661</v>
      </c>
      <c r="J9" s="8">
        <v>24</v>
      </c>
      <c r="K9" s="8">
        <v>5000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6.0960000000000007E-3</v>
      </c>
      <c r="O9" s="8">
        <f>Table38[[#This Row],[Yearly Energy Consumption in kWh]]*Table38[[#This Row],[CU/kWh]]</f>
        <v>13350.240000000002</v>
      </c>
      <c r="P9" s="8">
        <v>2.25</v>
      </c>
      <c r="Q9" s="8">
        <v>20</v>
      </c>
      <c r="R9" s="8">
        <f>Table38[[#This Row],[Quantity]]*(Table38[[#This Row],[FIT]]*24*365)/1000000000</f>
        <v>219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20160.045000000002</v>
      </c>
    </row>
    <row r="10" spans="1:27" x14ac:dyDescent="0.25">
      <c r="A10" s="8" t="s">
        <v>13</v>
      </c>
      <c r="B10" s="8" t="s">
        <v>63</v>
      </c>
      <c r="C10" s="26">
        <v>2.2999999999999998</v>
      </c>
      <c r="D10" s="26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6.0960000000000007E-3</v>
      </c>
      <c r="O10" s="8">
        <f>Table38[[#This Row],[Yearly Energy Consumption in kWh]]*Table38[[#This Row],[CU/kWh]]</f>
        <v>1735.5312000000001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</row>
    <row r="11" spans="1:27" x14ac:dyDescent="0.25">
      <c r="H11" s="8">
        <f>SUM(Table38[Total Rent cost per year])</f>
        <v>5936</v>
      </c>
      <c r="O11" s="8">
        <f>SUBTOTAL(109,Table38[Energy Cost per year in CU])</f>
        <v>15946.915080960001</v>
      </c>
      <c r="W11" s="8">
        <f>SUBTOTAL(109,Table38[FM Cost])</f>
        <v>20435.016063408002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384090.367674523/1000</f>
        <v>384.09036767452295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Table38[[#Totals],[Total Rent cost per year]]+Table38[[#Totals],[Energy Cost per year in CU]]+Table38[[#Totals],[FM Cost]]+I23</f>
        <v>42613.270892859844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L20" s="8" t="s">
        <v>99</v>
      </c>
      <c r="M20" s="8" t="s">
        <v>68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94</v>
      </c>
      <c r="M21" s="8">
        <f>Table38[[#Totals],[Total Rent cost per year]]</f>
        <v>5936</v>
      </c>
    </row>
    <row r="22" spans="1:13" x14ac:dyDescent="0.25">
      <c r="A22" s="8" t="s">
        <v>64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  <c r="L22" s="8" t="s">
        <v>95</v>
      </c>
      <c r="M22" s="8">
        <f>Table38[[#Totals],[Energy Cost per year in CU]]</f>
        <v>15946.915080960001</v>
      </c>
    </row>
    <row r="23" spans="1:13" x14ac:dyDescent="0.25">
      <c r="I23" s="8">
        <f>SUM(I20:I22)</f>
        <v>295.33974849184011</v>
      </c>
      <c r="L23" s="8" t="s">
        <v>96</v>
      </c>
      <c r="M23" s="8">
        <f>Table38[[#Totals],[FM Cost]]+I23</f>
        <v>20730.355811899841</v>
      </c>
    </row>
    <row r="24" spans="1:13" x14ac:dyDescent="0.25">
      <c r="L24" s="8" t="s">
        <v>97</v>
      </c>
      <c r="M24" s="8">
        <f>0.05*SUM(M21:M23)</f>
        <v>2130.6635446429923</v>
      </c>
    </row>
    <row r="25" spans="1:13" x14ac:dyDescent="0.25">
      <c r="L25" s="8" t="s">
        <v>98</v>
      </c>
      <c r="M25" s="8">
        <f>0.07*SUM(M21:M23)</f>
        <v>2982.9289625001893</v>
      </c>
    </row>
    <row r="26" spans="1:13" x14ac:dyDescent="0.25">
      <c r="M26" s="8">
        <f>SUM(Table1416[Cost])</f>
        <v>47726.863400003029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D1" workbookViewId="0">
      <selection activeCell="M21" sqref="M21:M25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</row>
    <row r="2" spans="1:24" x14ac:dyDescent="0.25">
      <c r="A2" s="16" t="s">
        <v>3</v>
      </c>
      <c r="B2" s="17" t="s">
        <v>72</v>
      </c>
      <c r="C2" s="26">
        <v>16</v>
      </c>
      <c r="D2" s="26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0.3048/50</f>
        <v>6.0960000000000007E-3</v>
      </c>
      <c r="O2" s="8">
        <f>Table19[[#This Row],[Yearly Energy Consumption in kWh]]*Table19[[#This Row],[CU/kWh]]</f>
        <v>1.9224345600000003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6">
        <v>17</v>
      </c>
      <c r="D3" s="26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0.3048/50</f>
        <v>6.0960000000000007E-3</v>
      </c>
      <c r="O3" s="8">
        <f>Table19[[#This Row],[Yearly Energy Consumption in kWh]]*Table19[[#This Row],[CU/kWh]]</f>
        <v>34.710624000000003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</row>
    <row r="4" spans="1:24" x14ac:dyDescent="0.25">
      <c r="A4" s="16" t="s">
        <v>3</v>
      </c>
      <c r="B4" s="17" t="s">
        <v>74</v>
      </c>
      <c r="C4" s="26">
        <v>63</v>
      </c>
      <c r="D4" s="26">
        <f t="shared" ref="D4:D5" si="3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6.0960000000000007E-3</v>
      </c>
      <c r="O4" s="8">
        <f>Table19[[#This Row],[Yearly Energy Consumption in kWh]]*Table19[[#This Row],[CU/kWh]]</f>
        <v>161.48450304000002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</row>
    <row r="5" spans="1:24" x14ac:dyDescent="0.25">
      <c r="A5" s="19" t="s">
        <v>3</v>
      </c>
      <c r="B5" s="20" t="s">
        <v>75</v>
      </c>
      <c r="C5" s="26">
        <v>2.2999999999999998</v>
      </c>
      <c r="D5" s="26">
        <f t="shared" si="3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6.0960000000000007E-3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</row>
    <row r="6" spans="1:24" x14ac:dyDescent="0.25">
      <c r="A6" s="16" t="s">
        <v>3</v>
      </c>
      <c r="B6" s="17" t="s">
        <v>76</v>
      </c>
      <c r="C6" s="26">
        <f>0.1/4.5</f>
        <v>2.2222222222222223E-2</v>
      </c>
      <c r="D6" s="26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6.0960000000000007E-3</v>
      </c>
      <c r="O6" s="8">
        <f>Table19[[#This Row],[Yearly Energy Consumption in kWh]]*Table19[[#This Row],[CU/kWh]]</f>
        <v>166.61099520000002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</row>
    <row r="7" spans="1:24" x14ac:dyDescent="0.25">
      <c r="A7" s="19" t="s">
        <v>3</v>
      </c>
      <c r="B7" s="20" t="s">
        <v>77</v>
      </c>
      <c r="C7" s="26">
        <v>400</v>
      </c>
      <c r="D7" s="26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6.0960000000000007E-3</v>
      </c>
      <c r="O7" s="8">
        <f>Table19[[#This Row],[Yearly Energy Consumption in kWh]]*Table19[[#This Row],[CU/kWh]]</f>
        <v>2.6700480000000004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</row>
    <row r="8" spans="1:24" x14ac:dyDescent="0.25">
      <c r="A8" s="16" t="s">
        <v>8</v>
      </c>
      <c r="B8" s="17" t="s">
        <v>78</v>
      </c>
      <c r="C8" s="26">
        <f>80*0.3</f>
        <v>24</v>
      </c>
      <c r="D8" s="26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6.0960000000000007E-3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</row>
    <row r="9" spans="1:24" x14ac:dyDescent="0.25">
      <c r="A9" s="19" t="s">
        <v>13</v>
      </c>
      <c r="B9" s="20" t="s">
        <v>62</v>
      </c>
      <c r="C9" s="26">
        <v>10</v>
      </c>
      <c r="D9" s="26">
        <v>5000</v>
      </c>
      <c r="E9" s="8">
        <v>0</v>
      </c>
      <c r="F9" s="8">
        <f t="shared" si="0"/>
        <v>0</v>
      </c>
      <c r="G9" s="8">
        <v>4</v>
      </c>
      <c r="H9" s="8">
        <f t="shared" si="1"/>
        <v>0</v>
      </c>
      <c r="I9" s="8">
        <f>D9*(0.5+(1/6*8))</f>
        <v>9166.6666666666661</v>
      </c>
      <c r="J9" s="8">
        <v>24</v>
      </c>
      <c r="K9" s="8">
        <v>5000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6.0960000000000007E-3</v>
      </c>
      <c r="O9" s="8">
        <f>Table19[[#This Row],[Yearly Energy Consumption in kWh]]*Table19[[#This Row],[CU/kWh]]</f>
        <v>13350.240000000002</v>
      </c>
      <c r="P9" s="8">
        <v>2.25</v>
      </c>
      <c r="Q9" s="8">
        <v>20</v>
      </c>
      <c r="R9" s="8">
        <f>Table19[[#This Row],[Quantity]]*Table19[[#This Row],[FIT]]*24*365/1000000000</f>
        <v>219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20160.045000000002</v>
      </c>
    </row>
    <row r="10" spans="1:24" x14ac:dyDescent="0.25">
      <c r="A10" s="16" t="s">
        <v>13</v>
      </c>
      <c r="B10" s="17" t="s">
        <v>79</v>
      </c>
      <c r="C10" s="26">
        <v>2.2999999999999998</v>
      </c>
      <c r="D10" s="26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6.0960000000000007E-3</v>
      </c>
      <c r="O10" s="8">
        <f>Table19[[#This Row],[Yearly Energy Consumption in kWh]]*Table19[[#This Row],[CU/kWh]]</f>
        <v>1254.9225600000002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SUBTOTAL(109,Table19[Total Rent cost per year])</f>
        <v>7314</v>
      </c>
      <c r="I11" s="25"/>
      <c r="J11" s="25"/>
      <c r="K11" s="25"/>
      <c r="L11" s="25"/>
      <c r="M11" s="25"/>
      <c r="N11" s="25"/>
      <c r="O11" s="25">
        <f>SUBTOTAL(109,Table19[Energy Cost per year in CU])</f>
        <v>14972.561164800003</v>
      </c>
      <c r="P11" s="25"/>
      <c r="Q11" s="25"/>
      <c r="R11" s="25"/>
      <c r="S11" s="25"/>
      <c r="T11" s="25"/>
      <c r="U11" s="25"/>
      <c r="V11" s="25"/>
      <c r="W11" s="25">
        <f>SUM(Table19[FM Cost])</f>
        <v>20429.294521968004</v>
      </c>
    </row>
    <row r="16" spans="1:24" x14ac:dyDescent="0.25">
      <c r="M16" s="8" t="s">
        <v>71</v>
      </c>
    </row>
    <row r="17" spans="1:13" x14ac:dyDescent="0.25">
      <c r="A17" s="8" t="s">
        <v>41</v>
      </c>
      <c r="B17" s="8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 s="8">
        <f>Table19[[#Totals],[Total Rent cost per year]]+Table19[[#Totals],[Energy Cost per year in CU]]+Table19[[#Totals],[FM Cost]]+J20</f>
        <v>43053.829615365721</v>
      </c>
    </row>
    <row r="18" spans="1:13" x14ac:dyDescent="0.25">
      <c r="A18" s="8" t="s">
        <v>43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</row>
    <row r="19" spans="1:13" x14ac:dyDescent="0.25">
      <c r="A19" s="8" t="s">
        <v>64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3" x14ac:dyDescent="0.25">
      <c r="J20" s="8">
        <f>SUM(J18:J19)</f>
        <v>337.97392859771304</v>
      </c>
      <c r="L20" s="8" t="s">
        <v>99</v>
      </c>
      <c r="M20" s="8" t="s">
        <v>68</v>
      </c>
    </row>
    <row r="21" spans="1:13" x14ac:dyDescent="0.25">
      <c r="L21" s="8" t="s">
        <v>94</v>
      </c>
      <c r="M21" s="8">
        <f>Table19[[#Totals],[Total Rent cost per year]]</f>
        <v>7314</v>
      </c>
    </row>
    <row r="22" spans="1:13" x14ac:dyDescent="0.25">
      <c r="L22" s="8" t="s">
        <v>95</v>
      </c>
      <c r="M22" s="8">
        <f>Table19[[#Totals],[Energy Cost per year in CU]]</f>
        <v>14972.561164800003</v>
      </c>
    </row>
    <row r="23" spans="1:13" x14ac:dyDescent="0.25">
      <c r="L23" s="8" t="s">
        <v>96</v>
      </c>
      <c r="M23" s="8">
        <f>Table19[[#Totals],[FM Cost]]+J20</f>
        <v>20767.268450565716</v>
      </c>
    </row>
    <row r="24" spans="1:13" x14ac:dyDescent="0.25">
      <c r="L24" s="8" t="s">
        <v>97</v>
      </c>
      <c r="M24" s="8">
        <f>0.05*SUM(M21:M23)</f>
        <v>2152.6914807682861</v>
      </c>
    </row>
    <row r="25" spans="1:13" x14ac:dyDescent="0.25">
      <c r="L25" s="8" t="s">
        <v>98</v>
      </c>
      <c r="M25" s="8">
        <f>0.07*SUM(M21:M23)</f>
        <v>3013.7680730756006</v>
      </c>
    </row>
    <row r="26" spans="1:13" x14ac:dyDescent="0.25">
      <c r="M26" s="8">
        <f>SUM(Table141617[Cost])</f>
        <v>48220.289169209609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2018-06-25T16:20:28Z</dcterms:created>
  <dcterms:modified xsi:type="dcterms:W3CDTF">2018-06-29T11:01:02Z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