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0" yWindow="180" windowWidth="19368" windowHeight="9468" tabRatio="961" firstSheet="7" activeTab="14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calcPr calcId="171027"/>
</workbook>
</file>

<file path=xl/calcChain.xml><?xml version="1.0" encoding="utf-8"?>
<calcChain xmlns="http://schemas.openxmlformats.org/spreadsheetml/2006/main"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G4" i="10" l="1"/>
  <c r="G5" i="10"/>
  <c r="G3" i="10"/>
  <c r="D3" i="10"/>
  <c r="D7" i="14"/>
  <c r="D7" i="11"/>
  <c r="D10" i="8"/>
  <c r="D9" i="2"/>
  <c r="E9" i="3"/>
  <c r="E9" i="2"/>
  <c r="F8" i="13"/>
  <c r="E8" i="13"/>
  <c r="D8" i="13"/>
  <c r="C8" i="13"/>
  <c r="E9" i="9"/>
  <c r="C9" i="9"/>
  <c r="C9" i="3"/>
  <c r="F10" i="6"/>
  <c r="E10" i="6"/>
  <c r="D10" i="6"/>
  <c r="C10" i="6"/>
  <c r="F10" i="5"/>
  <c r="E10" i="5"/>
  <c r="D10" i="5"/>
  <c r="C10" i="5"/>
  <c r="C9" i="2"/>
  <c r="H13" i="19" l="1"/>
  <c r="H10" i="19"/>
  <c r="H7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C10" i="8"/>
  <c r="H13" i="17"/>
  <c r="H10" i="17"/>
  <c r="H7" i="17"/>
  <c r="H13" i="16"/>
  <c r="H10" i="16"/>
  <c r="H7" i="16"/>
  <c r="D19" i="9" l="1"/>
  <c r="H8" i="19" s="1"/>
  <c r="B18" i="5"/>
  <c r="F5" i="19" s="1"/>
  <c r="B18" i="15"/>
  <c r="C18" i="15"/>
  <c r="G14" i="19" s="1"/>
  <c r="D18" i="15"/>
  <c r="H14" i="19" s="1"/>
  <c r="D18" i="13"/>
  <c r="H12" i="19" s="1"/>
  <c r="D18" i="12"/>
  <c r="H11" i="19" s="1"/>
  <c r="D17" i="10"/>
  <c r="H9" i="19" s="1"/>
  <c r="D18" i="4"/>
  <c r="H4" i="19" s="1"/>
  <c r="B18" i="4"/>
  <c r="F4" i="19" s="1"/>
  <c r="I4" i="19" s="1"/>
  <c r="J4" i="19" s="1"/>
  <c r="L4" i="19" s="1"/>
  <c r="F13" i="19"/>
  <c r="F11" i="19"/>
  <c r="I11" i="19" s="1"/>
  <c r="J11" i="19" s="1"/>
  <c r="L11" i="19" s="1"/>
  <c r="E18" i="4"/>
  <c r="F10" i="19"/>
  <c r="F12" i="19"/>
  <c r="E18" i="13"/>
  <c r="F14" i="19"/>
  <c r="E18" i="5"/>
  <c r="I5" i="19"/>
  <c r="J5" i="19" s="1"/>
  <c r="L5" i="19" s="1"/>
  <c r="I12" i="19"/>
  <c r="J12" i="19" s="1"/>
  <c r="L12" i="19" s="1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D3" i="17"/>
  <c r="D4" i="17"/>
  <c r="D5" i="17"/>
  <c r="D6" i="17"/>
  <c r="D7" i="17"/>
  <c r="D8" i="17"/>
  <c r="D9" i="17"/>
  <c r="D10" i="17"/>
  <c r="D11" i="17"/>
  <c r="D12" i="17"/>
  <c r="D13" i="17"/>
  <c r="D14" i="17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J10" i="9"/>
  <c r="E10" i="9"/>
  <c r="E8" i="9"/>
  <c r="J8" i="9" s="1"/>
  <c r="E6" i="9"/>
  <c r="E2" i="9"/>
  <c r="J4" i="8"/>
  <c r="J5" i="8"/>
  <c r="J9" i="8"/>
  <c r="J11" i="8"/>
  <c r="E8" i="8"/>
  <c r="E6" i="8"/>
  <c r="E5" i="8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15" l="1"/>
  <c r="I14" i="19"/>
  <c r="J14" i="19" s="1"/>
  <c r="L14" i="19" s="1"/>
  <c r="E18" i="12"/>
  <c r="D17" i="4"/>
  <c r="H4" i="17" s="1"/>
  <c r="C17" i="12"/>
  <c r="G11" i="17" s="1"/>
  <c r="D17" i="15"/>
  <c r="H14" i="17" s="1"/>
  <c r="D19" i="6"/>
  <c r="H6" i="17" s="1"/>
  <c r="D20" i="2"/>
  <c r="H2" i="17" s="1"/>
  <c r="D16" i="10"/>
  <c r="H9" i="17" s="1"/>
  <c r="B18" i="14"/>
  <c r="F13" i="17" s="1"/>
  <c r="B17" i="15"/>
  <c r="F14" i="17" s="1"/>
  <c r="C17" i="15"/>
  <c r="G14" i="17" s="1"/>
  <c r="B17" i="13"/>
  <c r="F12" i="17" s="1"/>
  <c r="D17" i="13"/>
  <c r="H12" i="17" s="1"/>
  <c r="C17" i="13"/>
  <c r="G12" i="17" s="1"/>
  <c r="B17" i="12"/>
  <c r="F11" i="17" s="1"/>
  <c r="D17" i="12"/>
  <c r="H11" i="17" s="1"/>
  <c r="B18" i="11"/>
  <c r="F10" i="17" s="1"/>
  <c r="D18" i="9"/>
  <c r="H8" i="17" s="1"/>
  <c r="D17" i="5"/>
  <c r="H5" i="17" s="1"/>
  <c r="B17" i="5"/>
  <c r="B17" i="4"/>
  <c r="F4" i="17" s="1"/>
  <c r="I4" i="17" s="1"/>
  <c r="J4" i="17" s="1"/>
  <c r="L4" i="17" s="1"/>
  <c r="D19" i="3"/>
  <c r="H3" i="17" s="1"/>
  <c r="E3" i="16"/>
  <c r="E4" i="16"/>
  <c r="E5" i="16"/>
  <c r="E6" i="16"/>
  <c r="E7" i="16"/>
  <c r="E8" i="16"/>
  <c r="E9" i="16"/>
  <c r="E10" i="16"/>
  <c r="E11" i="16"/>
  <c r="E12" i="16"/>
  <c r="E13" i="16"/>
  <c r="E14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2" i="16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I8" i="2" s="1"/>
  <c r="D7" i="2"/>
  <c r="D6" i="2"/>
  <c r="D5" i="2"/>
  <c r="I5" i="2" s="1"/>
  <c r="D3" i="2"/>
  <c r="I3" i="2" s="1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G9" i="14"/>
  <c r="G8" i="14"/>
  <c r="J8" i="14" s="1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I3" i="3" s="1"/>
  <c r="H9" i="3"/>
  <c r="H8" i="3"/>
  <c r="H7" i="3"/>
  <c r="H5" i="3"/>
  <c r="C4" i="3"/>
  <c r="H4" i="3" s="1"/>
  <c r="H2" i="3"/>
  <c r="H2" i="2"/>
  <c r="G8" i="2"/>
  <c r="G7" i="2"/>
  <c r="G6" i="2"/>
  <c r="J6" i="2" s="1"/>
  <c r="C4" i="2"/>
  <c r="H4" i="2" s="1"/>
  <c r="G3" i="2"/>
  <c r="H4" i="1"/>
  <c r="E4" i="1"/>
  <c r="C16" i="12" l="1"/>
  <c r="G11" i="16" s="1"/>
  <c r="I8" i="11"/>
  <c r="I2" i="9"/>
  <c r="D16" i="12"/>
  <c r="H11" i="16" s="1"/>
  <c r="D15" i="12"/>
  <c r="F12" i="7" s="1"/>
  <c r="B18" i="9"/>
  <c r="F8" i="17" s="1"/>
  <c r="I3" i="9"/>
  <c r="B17" i="9" s="1"/>
  <c r="F8" i="16" s="1"/>
  <c r="K3" i="9"/>
  <c r="J3" i="9"/>
  <c r="H6" i="6"/>
  <c r="K6" i="6"/>
  <c r="J6" i="6"/>
  <c r="H6" i="2"/>
  <c r="K6" i="2"/>
  <c r="H6" i="9"/>
  <c r="K6" i="9"/>
  <c r="C16" i="13"/>
  <c r="G12" i="16" s="1"/>
  <c r="I11" i="17"/>
  <c r="J11" i="17" s="1"/>
  <c r="L11" i="17" s="1"/>
  <c r="J6" i="9"/>
  <c r="H6" i="3"/>
  <c r="C17" i="3" s="1"/>
  <c r="E4" i="7" s="1"/>
  <c r="K6" i="3"/>
  <c r="C20" i="3" s="1"/>
  <c r="G3" i="19" s="1"/>
  <c r="H6" i="8"/>
  <c r="K6" i="8"/>
  <c r="H8" i="8"/>
  <c r="C16" i="8" s="1"/>
  <c r="E8" i="7" s="1"/>
  <c r="F62" i="7" s="1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7" i="9"/>
  <c r="K7" i="9"/>
  <c r="J7" i="9"/>
  <c r="K3" i="10"/>
  <c r="B17" i="10" s="1"/>
  <c r="J3" i="10"/>
  <c r="B16" i="10" s="1"/>
  <c r="H8" i="11"/>
  <c r="K8" i="11"/>
  <c r="H3" i="6"/>
  <c r="B17" i="6" s="1"/>
  <c r="D7" i="7" s="1"/>
  <c r="E61" i="7" s="1"/>
  <c r="H8" i="14"/>
  <c r="K8" i="14"/>
  <c r="H8" i="6"/>
  <c r="K8" i="6"/>
  <c r="J8" i="6"/>
  <c r="H2" i="6"/>
  <c r="K2" i="6"/>
  <c r="J2" i="6"/>
  <c r="B19" i="6" s="1"/>
  <c r="F6" i="17" s="1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2" i="9"/>
  <c r="K2" i="9"/>
  <c r="I9" i="11"/>
  <c r="K9" i="11"/>
  <c r="J9" i="11"/>
  <c r="C18" i="11" s="1"/>
  <c r="I9" i="14"/>
  <c r="K9" i="14"/>
  <c r="J9" i="14"/>
  <c r="C18" i="14" s="1"/>
  <c r="I6" i="2"/>
  <c r="C19" i="2" s="1"/>
  <c r="G2" i="16" s="1"/>
  <c r="H7" i="6"/>
  <c r="K7" i="6"/>
  <c r="J7" i="6"/>
  <c r="I14" i="17"/>
  <c r="J14" i="17" s="1"/>
  <c r="L14" i="17" s="1"/>
  <c r="J8" i="2"/>
  <c r="J6" i="3"/>
  <c r="C19" i="3" s="1"/>
  <c r="G3" i="17" s="1"/>
  <c r="E17" i="15"/>
  <c r="E17" i="13"/>
  <c r="I12" i="17"/>
  <c r="J12" i="17" s="1"/>
  <c r="L12" i="17" s="1"/>
  <c r="E17" i="12"/>
  <c r="D17" i="9"/>
  <c r="H8" i="16" s="1"/>
  <c r="D16" i="9"/>
  <c r="F5" i="17"/>
  <c r="I5" i="17" s="1"/>
  <c r="J5" i="17" s="1"/>
  <c r="L5" i="17" s="1"/>
  <c r="E17" i="5"/>
  <c r="D15" i="5"/>
  <c r="F6" i="7" s="1"/>
  <c r="E17" i="4"/>
  <c r="D18" i="3"/>
  <c r="H3" i="16" s="1"/>
  <c r="C16" i="15"/>
  <c r="G14" i="16" s="1"/>
  <c r="B16" i="15"/>
  <c r="F14" i="16" s="1"/>
  <c r="B17" i="14"/>
  <c r="F13" i="16" s="1"/>
  <c r="I8" i="14"/>
  <c r="H9" i="14"/>
  <c r="D16" i="13"/>
  <c r="H12" i="16" s="1"/>
  <c r="B16" i="12"/>
  <c r="D15" i="10"/>
  <c r="H9" i="16" s="1"/>
  <c r="I3" i="10"/>
  <c r="B15" i="10" s="1"/>
  <c r="I7" i="8"/>
  <c r="I3" i="8"/>
  <c r="B17" i="8" s="1"/>
  <c r="F7" i="16" s="1"/>
  <c r="I8" i="8"/>
  <c r="I6" i="8"/>
  <c r="I2" i="6"/>
  <c r="I7" i="6"/>
  <c r="D18" i="6"/>
  <c r="H6" i="16" s="1"/>
  <c r="B16" i="4"/>
  <c r="D16" i="4"/>
  <c r="H4" i="16" s="1"/>
  <c r="D17" i="3"/>
  <c r="F4" i="7" s="1"/>
  <c r="B16" i="5"/>
  <c r="F5" i="16" s="1"/>
  <c r="C17" i="11"/>
  <c r="G10" i="16" s="1"/>
  <c r="D16" i="5"/>
  <c r="H5" i="16" s="1"/>
  <c r="B17" i="11"/>
  <c r="F10" i="16" s="1"/>
  <c r="I6" i="3"/>
  <c r="C18" i="3" s="1"/>
  <c r="G3" i="16" s="1"/>
  <c r="B18" i="3"/>
  <c r="F3" i="16" s="1"/>
  <c r="I6" i="6"/>
  <c r="I10" i="8"/>
  <c r="I7" i="9"/>
  <c r="B16" i="13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8"/>
  <c r="B15" i="5"/>
  <c r="D6" i="7" s="1"/>
  <c r="E60" i="7" s="1"/>
  <c r="D15" i="4"/>
  <c r="F5" i="7" s="1"/>
  <c r="B19" i="2"/>
  <c r="F2" i="16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C16" i="11"/>
  <c r="E11" i="7" s="1"/>
  <c r="F65" i="7" s="1"/>
  <c r="C17" i="6"/>
  <c r="E7" i="7" s="1"/>
  <c r="B14" i="10"/>
  <c r="D10" i="7" s="1"/>
  <c r="B15" i="4"/>
  <c r="D5" i="7" s="1"/>
  <c r="E59" i="7" s="1"/>
  <c r="B17" i="3"/>
  <c r="D4" i="7" s="1"/>
  <c r="C18" i="9" l="1"/>
  <c r="G8" i="17" s="1"/>
  <c r="C16" i="9"/>
  <c r="G10" i="7"/>
  <c r="H10" i="7" s="1"/>
  <c r="J10" i="7" s="1"/>
  <c r="E64" i="7"/>
  <c r="C16" i="14"/>
  <c r="E14" i="7" s="1"/>
  <c r="F68" i="7" s="1"/>
  <c r="B20" i="6"/>
  <c r="G4" i="7"/>
  <c r="H4" i="7" s="1"/>
  <c r="J4" i="7" s="1"/>
  <c r="E58" i="7"/>
  <c r="I2" i="16"/>
  <c r="J2" i="16" s="1"/>
  <c r="L2" i="16" s="1"/>
  <c r="B16" i="9"/>
  <c r="C20" i="2"/>
  <c r="G2" i="17" s="1"/>
  <c r="B19" i="9"/>
  <c r="F8" i="19" s="1"/>
  <c r="I8" i="19" s="1"/>
  <c r="J8" i="19" s="1"/>
  <c r="L8" i="19" s="1"/>
  <c r="C19" i="9"/>
  <c r="G8" i="19" s="1"/>
  <c r="I5" i="16"/>
  <c r="J5" i="16" s="1"/>
  <c r="L5" i="16" s="1"/>
  <c r="I14" i="16"/>
  <c r="J14" i="16" s="1"/>
  <c r="L14" i="16" s="1"/>
  <c r="C17" i="14"/>
  <c r="G13" i="16" s="1"/>
  <c r="I13" i="16" s="1"/>
  <c r="J13" i="16" s="1"/>
  <c r="L13" i="16" s="1"/>
  <c r="I10" i="16"/>
  <c r="J10" i="16" s="1"/>
  <c r="L10" i="16" s="1"/>
  <c r="G10" i="17"/>
  <c r="I10" i="17" s="1"/>
  <c r="J10" i="17" s="1"/>
  <c r="L10" i="17" s="1"/>
  <c r="E18" i="11"/>
  <c r="E18" i="14"/>
  <c r="G13" i="17"/>
  <c r="I13" i="17" s="1"/>
  <c r="J13" i="17" s="1"/>
  <c r="L13" i="17" s="1"/>
  <c r="F2" i="17"/>
  <c r="E20" i="2"/>
  <c r="C19" i="8"/>
  <c r="G7" i="19" s="1"/>
  <c r="G6" i="7"/>
  <c r="H6" i="7" s="1"/>
  <c r="J6" i="7" s="1"/>
  <c r="E18" i="9"/>
  <c r="E19" i="9"/>
  <c r="F2" i="19"/>
  <c r="F6" i="19"/>
  <c r="C19" i="11"/>
  <c r="F7" i="19"/>
  <c r="C18" i="8"/>
  <c r="G7" i="17" s="1"/>
  <c r="I7" i="17" s="1"/>
  <c r="J7" i="17" s="1"/>
  <c r="L7" i="17" s="1"/>
  <c r="C21" i="2"/>
  <c r="G2" i="19" s="1"/>
  <c r="I8" i="17"/>
  <c r="J8" i="17" s="1"/>
  <c r="L8" i="17" s="1"/>
  <c r="E17" i="10"/>
  <c r="F9" i="19"/>
  <c r="I9" i="19" s="1"/>
  <c r="J9" i="19" s="1"/>
  <c r="L9" i="19" s="1"/>
  <c r="C20" i="6"/>
  <c r="G6" i="19" s="1"/>
  <c r="G14" i="7"/>
  <c r="H14" i="7" s="1"/>
  <c r="J14" i="7" s="1"/>
  <c r="E19" i="3"/>
  <c r="E18" i="8"/>
  <c r="C19" i="14"/>
  <c r="F3" i="19"/>
  <c r="I3" i="19" s="1"/>
  <c r="J3" i="19" s="1"/>
  <c r="L3" i="19" s="1"/>
  <c r="E20" i="3"/>
  <c r="F60" i="7"/>
  <c r="B18" i="6"/>
  <c r="F6" i="16" s="1"/>
  <c r="I3" i="17"/>
  <c r="J3" i="17" s="1"/>
  <c r="L3" i="17" s="1"/>
  <c r="E16" i="10"/>
  <c r="F9" i="17"/>
  <c r="I9" i="17" s="1"/>
  <c r="J9" i="17" s="1"/>
  <c r="L9" i="17" s="1"/>
  <c r="C19" i="6"/>
  <c r="E16" i="15"/>
  <c r="G15" i="7"/>
  <c r="H15" i="7" s="1"/>
  <c r="J15" i="7" s="1"/>
  <c r="F69" i="7"/>
  <c r="F67" i="7"/>
  <c r="G13" i="7"/>
  <c r="H13" i="7" s="1"/>
  <c r="J13" i="7" s="1"/>
  <c r="E16" i="13"/>
  <c r="F12" i="16"/>
  <c r="I12" i="16" s="1"/>
  <c r="J12" i="16" s="1"/>
  <c r="L12" i="16" s="1"/>
  <c r="F11" i="16"/>
  <c r="I11" i="16" s="1"/>
  <c r="J11" i="16" s="1"/>
  <c r="L11" i="16" s="1"/>
  <c r="E16" i="12"/>
  <c r="E15" i="12"/>
  <c r="D12" i="7"/>
  <c r="G11" i="7"/>
  <c r="H11" i="7" s="1"/>
  <c r="J11" i="7" s="1"/>
  <c r="E15" i="10"/>
  <c r="F9" i="16"/>
  <c r="I9" i="16" s="1"/>
  <c r="J9" i="16" s="1"/>
  <c r="L9" i="16" s="1"/>
  <c r="E16" i="9"/>
  <c r="D9" i="7"/>
  <c r="E16" i="8"/>
  <c r="D8" i="7"/>
  <c r="F61" i="7"/>
  <c r="C18" i="6"/>
  <c r="G6" i="16" s="1"/>
  <c r="I6" i="16" s="1"/>
  <c r="J6" i="16" s="1"/>
  <c r="L6" i="16" s="1"/>
  <c r="G7" i="7"/>
  <c r="H7" i="7" s="1"/>
  <c r="J7" i="7" s="1"/>
  <c r="G5" i="7"/>
  <c r="H5" i="7" s="1"/>
  <c r="J5" i="7" s="1"/>
  <c r="F59" i="7"/>
  <c r="F4" i="16"/>
  <c r="I4" i="16" s="1"/>
  <c r="J4" i="16" s="1"/>
  <c r="L4" i="16" s="1"/>
  <c r="E16" i="4"/>
  <c r="F58" i="7"/>
  <c r="I3" i="16"/>
  <c r="J3" i="16" s="1"/>
  <c r="L3" i="16" s="1"/>
  <c r="G3" i="7"/>
  <c r="H3" i="7" s="1"/>
  <c r="J3" i="7" s="1"/>
  <c r="E17" i="14"/>
  <c r="E17" i="11"/>
  <c r="E15" i="15"/>
  <c r="E16" i="14"/>
  <c r="C17" i="9"/>
  <c r="G8" i="16" s="1"/>
  <c r="I8" i="16" s="1"/>
  <c r="J8" i="16" s="1"/>
  <c r="L8" i="16" s="1"/>
  <c r="C17" i="8"/>
  <c r="E18" i="6"/>
  <c r="E15" i="5"/>
  <c r="E17" i="9"/>
  <c r="E18" i="3"/>
  <c r="E16" i="5"/>
  <c r="E15" i="13"/>
  <c r="E14" i="10"/>
  <c r="E19" i="2"/>
  <c r="E16" i="11"/>
  <c r="E17" i="6"/>
  <c r="E15" i="4"/>
  <c r="E17" i="3"/>
  <c r="E18" i="2"/>
  <c r="G9" i="7" l="1"/>
  <c r="H9" i="7" s="1"/>
  <c r="J9" i="7" s="1"/>
  <c r="E63" i="7"/>
  <c r="G12" i="7"/>
  <c r="H12" i="7" s="1"/>
  <c r="J12" i="7" s="1"/>
  <c r="E66" i="7"/>
  <c r="E21" i="2"/>
  <c r="I2" i="17"/>
  <c r="J2" i="17" s="1"/>
  <c r="L2" i="17" s="1"/>
  <c r="G8" i="7"/>
  <c r="H8" i="7" s="1"/>
  <c r="J8" i="7" s="1"/>
  <c r="E62" i="7"/>
  <c r="I6" i="19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3" i="19"/>
  <c r="I13" i="19" s="1"/>
  <c r="J13" i="19" s="1"/>
  <c r="L13" i="19" s="1"/>
  <c r="E19" i="14"/>
  <c r="G10" i="19"/>
  <c r="I10" i="19" s="1"/>
  <c r="J10" i="19" s="1"/>
  <c r="L10" i="19" s="1"/>
  <c r="E19" i="11"/>
  <c r="I2" i="19"/>
  <c r="J2" i="19" s="1"/>
  <c r="L2" i="19" s="1"/>
  <c r="E17" i="8"/>
  <c r="G7" i="16"/>
  <c r="I7" i="16" s="1"/>
  <c r="J7" i="16" s="1"/>
  <c r="L7" i="16" s="1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<sst xmlns="http://schemas.openxmlformats.org/spreadsheetml/2006/main" count="633" uniqueCount="130">
  <si>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</si>
  <si>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</si>
  <si>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</si>
  <si>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</si>
  <si>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</si>
  <si>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</si>
  <si>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</si>
  <si>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</si>
  <si>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</si>
  <si>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</si>
  <si>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</si>
  <si>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</si>
  <si>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</si>
  <si>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</si>
  <si>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</si>
  <si>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</si>
  <si>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</si>
  <si>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</si>
  <si>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</si>
  <si>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</si>
  <si>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</si>
  <si>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</si>
  <si>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</si>
  <si>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</si>
  <si>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</si>
  <si>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</si>
  <si>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</si>
  <si>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</si>
  <si>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</si>
  <si>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</si>
  <si>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</si>
  <si>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</si>
  <si>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</si>
  <si>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</si>
  <si>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</si>
  <si>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</si>
  <si>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</si>
  <si>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</si>
  <si>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</si>
  <si>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</si>
  <si>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</si>
  <si>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</si>
  <si>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</si>
  <si>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</si>
  <si>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</si>
  <si>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</si>
  <si>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</si>
  <si>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</si>
  <si>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</si>
  <si>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</si>
  <si>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</si>
  <si>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</si>
  <si>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</si>
  <si>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</si>
  <si>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</si>
  <si>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</si>
  <si>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</si>
  <si>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</si>
  <si>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</si>
  <si>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</si>
  <si>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</si>
  <si>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</si>
  <si>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</si>
  <si>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</si>
  <si>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1:4 Power Splitter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</si>
  <si>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</si>
  <si>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</si>
  <si>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</si>
  <si>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</si>
  <si>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</si>
  <si>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</si>
  <si>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</si>
  <si>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</si>
  <si>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</si>
  <si>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</si>
  <si>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</si>
  <si>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</si>
  <si>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</si>
  <si>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</si>
  <si>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</si>
  <si>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</si>
  <si>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</si>
  <si>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</si>
  <si>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</si>
  <si>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</si>
  <si>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</si>
  <si>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</si>
  <si>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</si>
  <si>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</si>
  <si>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</si>
  <si>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</si>
  <si>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</si>
  <si>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</si>
  <si>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</si>
  <si>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</si>
  <si>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</si>
  <si>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</si>
  <si>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</si>
  <si>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</si>
  <si>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</si>
  <si>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</si>
  <si>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</si>
  <si>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</si>
  <si>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</si>
  <si>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</si>
  <si>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</si>
  <si>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</si>
  <si>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</si>
  <si>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</si>
  <si>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</si>
  <si>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</si>
  <si>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</si>
  <si>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</si>
  <si>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</si>
  <si>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1:6 Mini DSLAM+Cabinet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</si>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</sst>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2]\ #,##0;[Red]\-[$€-2]\ #,##0"/>
    <numFmt numFmtId="165" formatCode="[$€-2]\ #,##0.00;[Red]\-[$€-2]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</cellXfs>
  <cellStyles count="7">
    <cellStyle name="Bad" xfId="3" builtinId="27"/>
    <cellStyle name="Good" xfId="2" builtinId="26"/>
    <cellStyle name="Heading 4" xfId="1" builtinId="19"/>
    <cellStyle name="Hyperlink" xfId="6" builtinId="8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57504"/>
        <c:axId val="49928960"/>
      </c:barChart>
      <c:catAx>
        <c:axId val="10715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28960"/>
        <c:crosses val="autoZero"/>
        <c:auto val="1"/>
        <c:lblAlgn val="ctr"/>
        <c:lblOffset val="100"/>
        <c:noMultiLvlLbl val="0"/>
      </c:catAx>
      <c:valAx>
        <c:axId val="49928960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157504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568000"/>
        <c:axId val="164416896"/>
        <c:axId val="0"/>
      </c:bar3DChart>
      <c:catAx>
        <c:axId val="1815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416896"/>
        <c:crosses val="autoZero"/>
        <c:auto val="1"/>
        <c:lblAlgn val="ctr"/>
        <c:lblOffset val="100"/>
        <c:noMultiLvlLbl val="0"/>
      </c:catAx>
      <c:valAx>
        <c:axId val="1644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6800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69024"/>
        <c:axId val="164419200"/>
      </c:barChart>
      <c:catAx>
        <c:axId val="181569024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164419200"/>
        <c:crosses val="autoZero"/>
        <c:auto val="1"/>
        <c:lblAlgn val="ctr"/>
        <c:lblOffset val="100"/>
        <c:noMultiLvlLbl val="0"/>
      </c:catAx>
      <c:valAx>
        <c:axId val="164419200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8156902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home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1570048"/>
        <c:axId val="183902208"/>
      </c:lineChart>
      <c:catAx>
        <c:axId val="18157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3902208"/>
        <c:crosses val="autoZero"/>
        <c:auto val="1"/>
        <c:lblAlgn val="ctr"/>
        <c:lblOffset val="100"/>
        <c:noMultiLvlLbl val="1"/>
      </c:catAx>
      <c:valAx>
        <c:axId val="183902208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household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70048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92288"/>
        <c:axId val="183903936"/>
      </c:barChart>
      <c:catAx>
        <c:axId val="18529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03936"/>
        <c:crosses val="autoZero"/>
        <c:auto val="1"/>
        <c:lblAlgn val="ctr"/>
        <c:lblOffset val="100"/>
        <c:noMultiLvlLbl val="0"/>
      </c:catAx>
      <c:valAx>
        <c:axId val="183903936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2288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293312"/>
        <c:axId val="183906240"/>
        <c:axId val="0"/>
      </c:bar3DChart>
      <c:catAx>
        <c:axId val="18529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06240"/>
        <c:crosses val="autoZero"/>
        <c:auto val="1"/>
        <c:lblAlgn val="ctr"/>
        <c:lblOffset val="100"/>
        <c:noMultiLvlLbl val="0"/>
      </c:catAx>
      <c:valAx>
        <c:axId val="1839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331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5294336"/>
        <c:axId val="183908544"/>
      </c:lineChart>
      <c:catAx>
        <c:axId val="18529433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83908544"/>
        <c:crosses val="autoZero"/>
        <c:auto val="1"/>
        <c:lblAlgn val="ctr"/>
        <c:lblOffset val="100"/>
        <c:noMultiLvlLbl val="0"/>
      </c:catAx>
      <c:valAx>
        <c:axId val="183908544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294336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80512"/>
        <c:axId val="185098816"/>
      </c:barChart>
      <c:catAx>
        <c:axId val="1868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98816"/>
        <c:crosses val="autoZero"/>
        <c:auto val="1"/>
        <c:lblAlgn val="ctr"/>
        <c:lblOffset val="100"/>
        <c:noMultiLvlLbl val="0"/>
      </c:catAx>
      <c:valAx>
        <c:axId val="18509881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8051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882048"/>
        <c:axId val="185101120"/>
      </c:barChart>
      <c:catAx>
        <c:axId val="18688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101120"/>
        <c:crosses val="autoZero"/>
        <c:auto val="1"/>
        <c:lblAlgn val="ctr"/>
        <c:lblOffset val="100"/>
        <c:noMultiLvlLbl val="0"/>
      </c:catAx>
      <c:valAx>
        <c:axId val="18510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8204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0-40DC-A7E6-49F3B48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7228160"/>
        <c:axId val="185104000"/>
      </c:lineChart>
      <c:catAx>
        <c:axId val="1872281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85104000"/>
        <c:crosses val="autoZero"/>
        <c:auto val="1"/>
        <c:lblAlgn val="ctr"/>
        <c:lblOffset val="100"/>
        <c:noMultiLvlLbl val="0"/>
      </c:catAx>
      <c:valAx>
        <c:axId val="185104000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28160"/>
        <c:crosses val="autoZero"/>
        <c:crossBetween val="between"/>
        <c:dispUnits>
          <c:builtInUnit val="hundre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57408"/>
        <c:axId val="50521216"/>
      </c:barChart>
      <c:catAx>
        <c:axId val="1334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21216"/>
        <c:crosses val="autoZero"/>
        <c:auto val="1"/>
        <c:lblAlgn val="ctr"/>
        <c:lblOffset val="100"/>
        <c:noMultiLvlLbl val="0"/>
      </c:catAx>
      <c:valAx>
        <c:axId val="5052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5740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33459456"/>
        <c:axId val="50524096"/>
      </c:lineChart>
      <c:catAx>
        <c:axId val="13345945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50524096"/>
        <c:crosses val="autoZero"/>
        <c:auto val="1"/>
        <c:lblAlgn val="ctr"/>
        <c:lblOffset val="100"/>
        <c:noMultiLvlLbl val="0"/>
      </c:catAx>
      <c:valAx>
        <c:axId val="50524096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35104"/>
        <c:axId val="50525824"/>
      </c:barChart>
      <c:catAx>
        <c:axId val="16273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25824"/>
        <c:crosses val="autoZero"/>
        <c:auto val="1"/>
        <c:lblAlgn val="ctr"/>
        <c:lblOffset val="100"/>
        <c:noMultiLvlLbl val="0"/>
      </c:catAx>
      <c:valAx>
        <c:axId val="5052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510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36128"/>
        <c:axId val="162791424"/>
      </c:barChart>
      <c:catAx>
        <c:axId val="16273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91424"/>
        <c:crosses val="autoZero"/>
        <c:auto val="1"/>
        <c:lblAlgn val="ctr"/>
        <c:lblOffset val="100"/>
        <c:noMultiLvlLbl val="0"/>
      </c:catAx>
      <c:valAx>
        <c:axId val="1627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612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37664"/>
        <c:axId val="162793728"/>
      </c:barChart>
      <c:catAx>
        <c:axId val="16273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793728"/>
        <c:crosses val="autoZero"/>
        <c:auto val="1"/>
        <c:lblAlgn val="ctr"/>
        <c:lblOffset val="100"/>
        <c:noMultiLvlLbl val="0"/>
      </c:catAx>
      <c:valAx>
        <c:axId val="1627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766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52544"/>
        <c:axId val="162796032"/>
      </c:barChart>
      <c:catAx>
        <c:axId val="16465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6032"/>
        <c:crosses val="autoZero"/>
        <c:auto val="1"/>
        <c:lblAlgn val="ctr"/>
        <c:lblOffset val="100"/>
        <c:noMultiLvlLbl val="0"/>
      </c:catAx>
      <c:valAx>
        <c:axId val="1627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12480"/>
        <c:axId val="164395200"/>
      </c:barChart>
      <c:catAx>
        <c:axId val="1650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395200"/>
        <c:crosses val="autoZero"/>
        <c:auto val="1"/>
        <c:lblAlgn val="ctr"/>
        <c:lblOffset val="100"/>
        <c:noMultiLvlLbl val="0"/>
      </c:catAx>
      <c:valAx>
        <c:axId val="16439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1248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14016"/>
        <c:axId val="164414592"/>
      </c:scatterChart>
      <c:valAx>
        <c:axId val="16441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14592"/>
        <c:crosses val="autoZero"/>
        <c:crossBetween val="midCat"/>
      </c:valAx>
      <c:valAx>
        <c:axId val="16441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1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1278731</xdr:colOff>
      <xdr:row>20</xdr:row>
      <xdr:rowOff>190499</xdr:rowOff>
    </xdr:from>
    <xdr:to>
      <xdr:col>4</xdr:col>
      <xdr:colOff>552450</xdr:colOff>
      <xdr:row>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428624</xdr:colOff>
      <xdr:row>17</xdr:row>
      <xdr:rowOff>28575</xdr:rowOff>
    </xdr:from>
    <xdr:to>
      <xdr:col>9</xdr:col>
      <xdr:colOff>342899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E28*0.3/50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eeexplore.ieee.org/xpl/mostRecentIssue.jsp?punumber=7347193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A10" workbookViewId="0">
      <selection activeCell="B20" sqref="B20"/>
    </sheetView>
  </sheetViews>
  <sheetFormatPr defaultRowHeight="14.4" x14ac:dyDescent="0.3"/>
  <cols>
    <col min="1" max="1" width="35.6640625" customWidth="1"/>
    <col min="2" max="2" width="79" customWidth="1"/>
    <col min="3" max="3" width="36.88671875" customWidth="1"/>
    <col min="4" max="4" width="36.109375" customWidth="1"/>
    <col min="5" max="5" width="40.88671875" customWidth="1"/>
    <col min="6" max="6" width="18" customWidth="1"/>
    <col min="7" max="7" width="19" customWidth="1"/>
    <col min="8" max="8" width="25.44140625" customWidth="1"/>
  </cols>
  <sheetData>
    <row r="1" spans="1:8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8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x14ac:dyDescent="0.3">
      <c r="A8" t="s">
        <v>94</v>
      </c>
    </row>
    <row r="10" spans="1:8" x14ac:dyDescent="0.3">
      <c r="A10" t="s">
        <v>95</v>
      </c>
      <c r="B10" t="s">
        <v>98</v>
      </c>
      <c r="C10" t="s">
        <v>97</v>
      </c>
      <c r="D10" t="s">
        <v>96</v>
      </c>
      <c r="E10" t="s">
        <v>102</v>
      </c>
    </row>
    <row r="11" spans="1:8" ht="177.6" x14ac:dyDescent="0.3">
      <c r="A11" s="25" t="s">
        <v>100</v>
      </c>
      <c r="B11" t="s">
        <v>99</v>
      </c>
      <c r="C11" t="s">
        <v>103</v>
      </c>
      <c r="D11" s="32">
        <v>42348</v>
      </c>
      <c r="E11" s="26" t="s">
        <v>101</v>
      </c>
    </row>
    <row r="12" spans="1:8" ht="88.8" x14ac:dyDescent="0.3">
      <c r="A12" s="25" t="s">
        <v>104</v>
      </c>
      <c r="B12" t="s">
        <v>105</v>
      </c>
      <c r="C12" t="s">
        <v>106</v>
      </c>
      <c r="D12" s="27">
        <v>41161</v>
      </c>
      <c r="E12" t="s">
        <v>107</v>
      </c>
    </row>
    <row r="13" spans="1:8" ht="111" x14ac:dyDescent="0.3">
      <c r="A13" s="25" t="s">
        <v>117</v>
      </c>
      <c r="B13" t="s">
        <v>120</v>
      </c>
      <c r="C13" t="s">
        <v>119</v>
      </c>
      <c r="D13" s="27">
        <v>41589</v>
      </c>
      <c r="E13" t="s">
        <v>118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" sqref="G2:G10"/>
    </sheetView>
  </sheetViews>
  <sheetFormatPr defaultColWidth="9.109375" defaultRowHeight="14.4" x14ac:dyDescent="0.3"/>
  <cols>
    <col min="1" max="1" width="29.33203125" style="13" customWidth="1"/>
    <col min="2" max="2" width="38" style="13" customWidth="1"/>
    <col min="3" max="3" width="21.33203125" style="13" customWidth="1"/>
    <col min="4" max="4" width="18" style="13" customWidth="1"/>
    <col min="5" max="5" width="17.88671875" style="13" customWidth="1"/>
    <col min="6" max="6" width="23.88671875" style="24" customWidth="1"/>
    <col min="7" max="7" width="16.5546875" style="13" customWidth="1"/>
    <col min="8" max="16384" width="9.109375" style="13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240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31200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x14ac:dyDescent="0.3">
      <c r="A9" s="6" t="s">
        <v>32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50000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x14ac:dyDescent="0.3">
      <c r="A13" s="13" t="s">
        <v>84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ht="15" thickBot="1" x14ac:dyDescent="0.35">
      <c r="A14" s="13" t="s">
        <v>85</v>
      </c>
      <c r="B14" s="14">
        <f>SUM(H2:H7)</f>
        <v>11216.333333333334</v>
      </c>
      <c r="C14" s="14">
        <f>SUM(H8:H8)</f>
        <v>1560</v>
      </c>
      <c r="D14" s="10">
        <f>SUM(H9:H10)</f>
        <v>61500</v>
      </c>
      <c r="E14" s="5">
        <f>SUM(B14:D14)</f>
        <v>74276.333333333328</v>
      </c>
      <c r="F14" s="5"/>
    </row>
    <row r="15" spans="1:11" ht="15.6" thickTop="1" thickBot="1" x14ac:dyDescent="0.35">
      <c r="A15" s="13" t="s">
        <v>86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5.6" thickTop="1" thickBot="1" x14ac:dyDescent="0.35">
      <c r="A16" s="13" t="s">
        <v>110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5.6" thickTop="1" thickBot="1" x14ac:dyDescent="0.35">
      <c r="A17" s="13" t="s">
        <v>6</v>
      </c>
      <c r="B17" s="24">
        <f>SUM(K2:K7)</f>
        <v>31200</v>
      </c>
      <c r="C17" s="24">
        <f>SUM(K8)</f>
        <v>1300</v>
      </c>
      <c r="D17" s="24">
        <f>SUM(K9:K10)</f>
        <v>75000</v>
      </c>
      <c r="E17" s="5">
        <f>SUM(B17:D17)</f>
        <v>107500</v>
      </c>
    </row>
    <row r="18" spans="1:5" ht="15" thickTop="1" x14ac:dyDescent="0.3"/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13" sqref="H13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x14ac:dyDescent="0.3">
      <c r="A7" s="6" t="s">
        <v>30</v>
      </c>
      <c r="B7" s="6" t="s">
        <v>115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x14ac:dyDescent="0.3">
      <c r="A9" s="6" t="s">
        <v>30</v>
      </c>
      <c r="B9" s="6" t="s">
        <v>76</v>
      </c>
      <c r="C9" s="4">
        <v>12</v>
      </c>
      <c r="D9" s="4">
        <v>100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ht="15" thickBot="1" x14ac:dyDescent="0.35">
      <c r="A16" s="19" t="s">
        <v>85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5.6" thickTop="1" thickBot="1" x14ac:dyDescent="0.35">
      <c r="A17" s="19" t="s">
        <v>86</v>
      </c>
      <c r="B17" s="19">
        <f>SUM(I2:I5)</f>
        <v>8632</v>
      </c>
      <c r="C17" s="19">
        <f>SUM(I6:I9)</f>
        <v>381282</v>
      </c>
      <c r="D17" s="21">
        <v>0</v>
      </c>
      <c r="E17" s="5">
        <f>SUM(B17:D17)</f>
        <v>389914</v>
      </c>
      <c r="F17" s="5"/>
    </row>
    <row r="18" spans="1:6" ht="15.6" thickTop="1" thickBot="1" x14ac:dyDescent="0.35">
      <c r="A18" s="19" t="s">
        <v>110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6" thickTop="1" thickBot="1" x14ac:dyDescent="0.35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" sqref="G2:G9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125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x14ac:dyDescent="0.3">
      <c r="A8" s="6" t="s">
        <v>77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x14ac:dyDescent="0.3">
      <c r="A9" s="6" t="s">
        <v>77</v>
      </c>
      <c r="B9" s="6" t="s">
        <v>65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35">
      <c r="A15" s="19" t="s">
        <v>85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6" thickTop="1" thickBot="1" x14ac:dyDescent="0.35">
      <c r="A17" s="19" t="s">
        <v>110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6" thickTop="1" thickBot="1" x14ac:dyDescent="0.35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9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x14ac:dyDescent="0.3">
      <c r="A8" s="6" t="s">
        <v>77</v>
      </c>
      <c r="B8" s="6" t="s">
        <v>75</v>
      </c>
      <c r="C8" s="4">
        <f>3.3+2</f>
        <v>5.3</v>
      </c>
      <c r="D8" s="4">
        <f>5+2</f>
        <v>7</v>
      </c>
      <c r="E8" s="4">
        <f>3+2</f>
        <v>5</v>
      </c>
      <c r="F8" s="4">
        <f>5+2</f>
        <v>7</v>
      </c>
      <c r="G8" s="4">
        <v>30000</v>
      </c>
      <c r="H8" s="4">
        <f>Table2121314[[#This Row],[Cost per Unit (OASE)]]*Table2121314[[#This Row],[Quantity]]</f>
        <v>159000</v>
      </c>
      <c r="I8" s="12">
        <f>Table2121314[[#This Row],[Cost per Unit (Rokkas)]]*Table2121314[[#This Row],[Quantity]]</f>
        <v>210000</v>
      </c>
      <c r="J8" s="12">
        <f>Table2121314[[#This Row],[Cost per Unit(BSG)]]*Table2121314[[#This Row],[Quantity]]</f>
        <v>150000</v>
      </c>
      <c r="K8" s="35">
        <f>Table2121314[[#This Row],[Cost per Unit(Phillipson)]]*Table2121314[[#This Row],[Quantity]]</f>
        <v>210000</v>
      </c>
    </row>
    <row r="9" spans="1:11" x14ac:dyDescent="0.3">
      <c r="A9" s="6" t="s">
        <v>77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168000</v>
      </c>
      <c r="E15" s="5">
        <f>SUM(B15:D15)</f>
        <v>182626.5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21">
        <f>SUM(I8:I9)</f>
        <v>210000</v>
      </c>
      <c r="E16" s="5">
        <f>SUM(B16:D16)</f>
        <v>248146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21">
        <f>SUM(J8:J9)</f>
        <v>150000</v>
      </c>
      <c r="E17" s="5">
        <f>SUM(B17:D17)</f>
        <v>198438.2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210000</v>
      </c>
      <c r="E18" s="5">
        <f>SUM(B18:D18)</f>
        <v>221850</v>
      </c>
    </row>
    <row r="19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18" style="19" customWidth="1"/>
    <col min="5" max="5" width="17.88671875" style="19" customWidth="1"/>
    <col min="6" max="6" width="17.88671875" style="24" customWidth="1"/>
    <col min="7" max="9" width="9.109375" style="19"/>
    <col min="10" max="10" width="22.33203125" style="19" customWidth="1"/>
    <col min="11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x14ac:dyDescent="0.3">
      <c r="A7" s="6" t="s">
        <v>30</v>
      </c>
      <c r="B7" s="6" t="s">
        <v>115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x14ac:dyDescent="0.3">
      <c r="A9" s="6" t="s">
        <v>30</v>
      </c>
      <c r="B9" s="6" t="s">
        <v>76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35">
      <c r="A16" s="19" t="s">
        <v>85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5.6" thickTop="1" thickBot="1" x14ac:dyDescent="0.35">
      <c r="A17" s="19" t="s">
        <v>86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6" thickTop="1" thickBot="1" x14ac:dyDescent="0.35">
      <c r="A18" s="19" t="s">
        <v>110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6" thickTop="1" thickBot="1" x14ac:dyDescent="0.35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F23" sqref="F23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18" style="19" customWidth="1"/>
    <col min="5" max="5" width="17.88671875" style="19" customWidth="1"/>
    <col min="6" max="6" width="17.88671875" style="24" customWidth="1"/>
    <col min="7" max="8" width="9.109375" style="19"/>
    <col min="9" max="9" width="20.109375" style="19" customWidth="1"/>
    <col min="10" max="10" width="29.6640625" style="19" customWidth="1"/>
    <col min="11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x14ac:dyDescent="0.3">
      <c r="A8" s="6" t="s">
        <v>77</v>
      </c>
      <c r="B8" s="6" t="s">
        <v>75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x14ac:dyDescent="0.3">
      <c r="A9" s="6" t="s">
        <v>77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ht="15" thickBot="1" x14ac:dyDescent="0.35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5.6" thickTop="1" thickBot="1" x14ac:dyDescent="0.35">
      <c r="A16" s="19" t="s">
        <v>86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6" thickTop="1" thickBot="1" x14ac:dyDescent="0.35">
      <c r="A17" s="19" t="s">
        <v>110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6" thickTop="1" thickBot="1" x14ac:dyDescent="0.35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80" zoomScaleNormal="80" workbookViewId="0">
      <selection activeCell="B3" sqref="B3"/>
    </sheetView>
  </sheetViews>
  <sheetFormatPr defaultRowHeight="14.4" x14ac:dyDescent="0.3"/>
  <cols>
    <col min="1" max="4" width="36.33203125" customWidth="1"/>
    <col min="5" max="5" width="32.88671875" customWidth="1"/>
    <col min="6" max="6" width="36.6640625" customWidth="1"/>
    <col min="7" max="8" width="29.5546875" customWidth="1"/>
    <col min="9" max="9" width="32.6640625" customWidth="1"/>
    <col min="10" max="10" width="30.109375" customWidth="1"/>
    <col min="11" max="11" width="18.88671875" customWidth="1"/>
  </cols>
  <sheetData>
    <row r="1" spans="1:11" x14ac:dyDescent="0.3">
      <c r="A1" t="s">
        <v>58</v>
      </c>
    </row>
    <row r="2" spans="1:11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116</v>
      </c>
      <c r="K2" t="s">
        <v>59</v>
      </c>
    </row>
    <row r="3" spans="1:11" x14ac:dyDescent="0.3">
      <c r="A3" t="s">
        <v>50</v>
      </c>
      <c r="B3">
        <v>146337.9</v>
      </c>
      <c r="C3">
        <v>18.840229999999998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307967.22911888885</v>
      </c>
      <c r="H3">
        <f t="shared" ref="H3:H15" si="0">G3*50</f>
        <v>15398361.455944443</v>
      </c>
      <c r="I3">
        <v>29262</v>
      </c>
      <c r="J3">
        <f>H3/I3</f>
        <v>526.22382119965971</v>
      </c>
      <c r="K3">
        <v>25</v>
      </c>
    </row>
    <row r="4" spans="1:11" x14ac:dyDescent="0.3">
      <c r="A4" t="s">
        <v>51</v>
      </c>
      <c r="B4">
        <v>146337.9</v>
      </c>
      <c r="C4">
        <v>12.814590000000001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216506.84792333332</v>
      </c>
      <c r="H4" s="19">
        <f t="shared" si="0"/>
        <v>10825342.396166665</v>
      </c>
      <c r="I4">
        <v>29262</v>
      </c>
      <c r="J4" s="13">
        <f t="shared" ref="J4:J7" si="1">H4/I4</f>
        <v>369.94540346410588</v>
      </c>
      <c r="K4">
        <v>50</v>
      </c>
    </row>
    <row r="5" spans="1:11" x14ac:dyDescent="0.3">
      <c r="A5" t="s">
        <v>52</v>
      </c>
      <c r="B5">
        <v>78872.09</v>
      </c>
      <c r="C5">
        <v>14.612120000000001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59300</v>
      </c>
      <c r="G5" s="13">
        <f t="shared" ref="G5:G6" si="2">SUM(B5:F5)</f>
        <v>145045.86878666666</v>
      </c>
      <c r="H5" s="19">
        <f t="shared" si="0"/>
        <v>7252293.4393333327</v>
      </c>
      <c r="I5">
        <v>29262</v>
      </c>
      <c r="J5" s="13">
        <f t="shared" si="1"/>
        <v>247.8399781058483</v>
      </c>
      <c r="K5">
        <v>50</v>
      </c>
    </row>
    <row r="6" spans="1:11" x14ac:dyDescent="0.3">
      <c r="A6" t="s">
        <v>53</v>
      </c>
      <c r="B6">
        <v>78872.09</v>
      </c>
      <c r="C6">
        <v>14.612120000000001</v>
      </c>
      <c r="D6">
        <f>'FTTH WR-WDMPON 100 Mbps'!B15</f>
        <v>5866.833333333333</v>
      </c>
      <c r="E6" s="24">
        <f>'FTTH WR-WDMPON 100 Mbps'!C15</f>
        <v>1560</v>
      </c>
      <c r="F6" s="24">
        <f>'FTTH WR-WDMPON 100 Mbps'!D15</f>
        <v>131778.59999999998</v>
      </c>
      <c r="G6" s="13">
        <f t="shared" si="2"/>
        <v>218092.13545333332</v>
      </c>
      <c r="H6" s="19">
        <f t="shared" si="0"/>
        <v>10904606.772666667</v>
      </c>
      <c r="I6">
        <v>29262</v>
      </c>
      <c r="J6" s="13">
        <f t="shared" si="1"/>
        <v>372.65418538263503</v>
      </c>
      <c r="K6">
        <v>100</v>
      </c>
    </row>
    <row r="7" spans="1:11" x14ac:dyDescent="0.3">
      <c r="A7" t="s">
        <v>54</v>
      </c>
      <c r="B7">
        <v>146337.9</v>
      </c>
      <c r="C7">
        <v>12.814590000000001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122778.6</v>
      </c>
      <c r="G7" s="13">
        <f>SUM(B7:F7)</f>
        <v>288249.58125666669</v>
      </c>
      <c r="H7" s="19">
        <f t="shared" si="0"/>
        <v>14412479.062833335</v>
      </c>
      <c r="I7">
        <v>29262</v>
      </c>
      <c r="J7" s="13">
        <f t="shared" si="1"/>
        <v>492.53226241655852</v>
      </c>
      <c r="K7">
        <v>100</v>
      </c>
    </row>
    <row r="8" spans="1:11" x14ac:dyDescent="0.3">
      <c r="A8" t="s">
        <v>67</v>
      </c>
      <c r="B8" s="13">
        <v>146337.9</v>
      </c>
      <c r="C8" s="13">
        <v>18.840229999999998</v>
      </c>
      <c r="D8" s="13">
        <f>FTTCab_GPON_100!B16</f>
        <v>6426.666666666667</v>
      </c>
      <c r="E8" s="24">
        <f>FTTCab_GPON_100!C16</f>
        <v>195086.4</v>
      </c>
      <c r="F8" s="24">
        <f>FTTCab_GPON_100!D16</f>
        <v>0</v>
      </c>
      <c r="G8">
        <f>SUM(B8:F8)</f>
        <v>347869.80689666665</v>
      </c>
      <c r="H8" s="19">
        <f t="shared" si="0"/>
        <v>17393490.344833333</v>
      </c>
      <c r="I8" s="13">
        <v>29262</v>
      </c>
      <c r="J8">
        <f>H8/I8</f>
        <v>594.40538393935253</v>
      </c>
      <c r="K8" s="13">
        <v>100</v>
      </c>
    </row>
    <row r="9" spans="1:11" x14ac:dyDescent="0.3">
      <c r="A9" t="s">
        <v>68</v>
      </c>
      <c r="B9" s="13">
        <v>146337.9</v>
      </c>
      <c r="C9" s="13">
        <v>12.814590000000001</v>
      </c>
      <c r="D9">
        <f>FTTB_XGPON_100!B16</f>
        <v>12818.666666666666</v>
      </c>
      <c r="E9">
        <v>2002.8</v>
      </c>
      <c r="F9">
        <v>59987.1</v>
      </c>
      <c r="G9">
        <f>SUM(B9:F9)</f>
        <v>221159.28125666664</v>
      </c>
      <c r="H9" s="19">
        <f t="shared" si="0"/>
        <v>11057964.062833332</v>
      </c>
      <c r="I9" s="13">
        <v>29262</v>
      </c>
      <c r="J9">
        <f>H9/I9</f>
        <v>377.89501957601436</v>
      </c>
      <c r="K9" s="13">
        <v>100</v>
      </c>
    </row>
    <row r="10" spans="1:11" x14ac:dyDescent="0.3">
      <c r="A10" s="13" t="s">
        <v>69</v>
      </c>
      <c r="B10" s="13">
        <v>78872.09</v>
      </c>
      <c r="C10" s="13">
        <v>14.612120000000001</v>
      </c>
      <c r="D10">
        <f>FTTB_WRWDM_100!B14</f>
        <v>11216.333333333334</v>
      </c>
      <c r="E10" s="24">
        <f>FTTB_WRWDM_100!C14</f>
        <v>1560</v>
      </c>
      <c r="F10" s="24">
        <f>FTTB_WRWDM_100!D14</f>
        <v>61500</v>
      </c>
      <c r="G10">
        <f>SUM(B10:F10)</f>
        <v>153163.03545333334</v>
      </c>
      <c r="H10" s="19">
        <f t="shared" si="0"/>
        <v>7658151.7726666676</v>
      </c>
      <c r="I10" s="13">
        <v>29262</v>
      </c>
      <c r="J10">
        <f>H10/I10</f>
        <v>261.70978650354272</v>
      </c>
      <c r="K10" s="13">
        <v>100</v>
      </c>
    </row>
    <row r="11" spans="1:11" x14ac:dyDescent="0.3">
      <c r="A11" s="18" t="s">
        <v>70</v>
      </c>
      <c r="B11">
        <v>114876.4</v>
      </c>
      <c r="C11">
        <v>12.59423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215033.99423000001</v>
      </c>
      <c r="H11" s="19">
        <f t="shared" si="0"/>
        <v>10751699.7115</v>
      </c>
      <c r="I11" s="19">
        <v>29262</v>
      </c>
      <c r="J11">
        <f t="shared" ref="J11:J15" si="4">H11/I11</f>
        <v>367.42873732144079</v>
      </c>
      <c r="K11">
        <v>25</v>
      </c>
    </row>
    <row r="12" spans="1:11" x14ac:dyDescent="0.3">
      <c r="A12" s="18" t="s">
        <v>71</v>
      </c>
      <c r="B12">
        <v>115530.5</v>
      </c>
      <c r="C12">
        <v>12.21167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178789.21166999999</v>
      </c>
      <c r="H12" s="19">
        <f t="shared" si="0"/>
        <v>8939460.5834999997</v>
      </c>
      <c r="I12" s="19">
        <v>29262</v>
      </c>
      <c r="J12">
        <f t="shared" si="4"/>
        <v>305.49725184539676</v>
      </c>
      <c r="K12">
        <v>50</v>
      </c>
    </row>
    <row r="13" spans="1:11" x14ac:dyDescent="0.3">
      <c r="A13" s="18" t="s">
        <v>72</v>
      </c>
      <c r="B13">
        <v>115530.5</v>
      </c>
      <c r="C13">
        <v>25.08727</v>
      </c>
      <c r="D13">
        <f>FTTH_Hybridpon_100!B15</f>
        <v>14160</v>
      </c>
      <c r="E13" s="24">
        <f>FTTH_Hybridpon_100!C15</f>
        <v>466.5</v>
      </c>
      <c r="F13" s="24">
        <f>FTTH_Hybridpon_100!D15</f>
        <v>168000</v>
      </c>
      <c r="G13">
        <f t="shared" si="3"/>
        <v>298182.08727000002</v>
      </c>
      <c r="H13" s="19">
        <f t="shared" si="0"/>
        <v>14909104.363500001</v>
      </c>
      <c r="I13" s="19">
        <v>29262</v>
      </c>
      <c r="J13">
        <f t="shared" si="4"/>
        <v>509.50394243387331</v>
      </c>
      <c r="K13">
        <v>100</v>
      </c>
    </row>
    <row r="14" spans="1:11" x14ac:dyDescent="0.3">
      <c r="A14" s="18" t="s">
        <v>73</v>
      </c>
      <c r="B14">
        <v>114876.4</v>
      </c>
      <c r="C14">
        <v>12.59423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247844.99423000001</v>
      </c>
      <c r="H14" s="19">
        <f t="shared" si="0"/>
        <v>12392249.7115</v>
      </c>
      <c r="I14" s="19">
        <v>29262</v>
      </c>
      <c r="J14">
        <f t="shared" si="4"/>
        <v>423.49291611988247</v>
      </c>
      <c r="K14">
        <v>100</v>
      </c>
    </row>
    <row r="15" spans="1:11" x14ac:dyDescent="0.3">
      <c r="A15" s="15" t="s">
        <v>74</v>
      </c>
      <c r="B15" s="17">
        <v>115530.5</v>
      </c>
      <c r="C15" s="17">
        <v>12.21167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196669.21166999999</v>
      </c>
      <c r="H15" s="19">
        <f t="shared" si="0"/>
        <v>9833460.5834999997</v>
      </c>
      <c r="I15" s="21">
        <v>29262</v>
      </c>
      <c r="J15" s="17">
        <f t="shared" si="4"/>
        <v>336.04882043264303</v>
      </c>
      <c r="K15" s="17">
        <v>100</v>
      </c>
    </row>
    <row r="56" spans="3:6" x14ac:dyDescent="0.3">
      <c r="C56" s="22" t="s">
        <v>1</v>
      </c>
      <c r="D56" s="22" t="s">
        <v>2</v>
      </c>
      <c r="E56" s="22" t="s">
        <v>80</v>
      </c>
      <c r="F56" s="22" t="s">
        <v>3</v>
      </c>
    </row>
    <row r="57" spans="3:6" x14ac:dyDescent="0.3">
      <c r="C57">
        <f>B3</f>
        <v>146337.9</v>
      </c>
      <c r="D57" s="24">
        <f t="shared" ref="D57:E57" si="5">C3</f>
        <v>18.840229999999998</v>
      </c>
      <c r="E57" s="24">
        <f t="shared" si="5"/>
        <v>3056.8888888888887</v>
      </c>
      <c r="F57">
        <f>E3+F3</f>
        <v>158553.60000000001</v>
      </c>
    </row>
    <row r="58" spans="3:6" x14ac:dyDescent="0.3">
      <c r="C58" s="24">
        <f t="shared" ref="C58:E58" si="6">B4</f>
        <v>146337.9</v>
      </c>
      <c r="D58" s="24">
        <f t="shared" si="6"/>
        <v>12.814590000000001</v>
      </c>
      <c r="E58" s="24">
        <f t="shared" si="6"/>
        <v>6405.333333333333</v>
      </c>
      <c r="F58" s="21">
        <f t="shared" ref="F58:F69" si="7">E4+F4</f>
        <v>63750.8</v>
      </c>
    </row>
    <row r="59" spans="3:6" x14ac:dyDescent="0.3">
      <c r="C59" s="24">
        <f t="shared" ref="C59:E59" si="8">B5</f>
        <v>78872.09</v>
      </c>
      <c r="D59" s="24">
        <f t="shared" si="8"/>
        <v>14.612120000000001</v>
      </c>
      <c r="E59" s="24">
        <f t="shared" si="8"/>
        <v>5299.166666666667</v>
      </c>
      <c r="F59" s="21">
        <f t="shared" si="7"/>
        <v>60860</v>
      </c>
    </row>
    <row r="60" spans="3:6" x14ac:dyDescent="0.3">
      <c r="C60" s="24">
        <f t="shared" ref="C60:E60" si="9">B6</f>
        <v>78872.09</v>
      </c>
      <c r="D60" s="24">
        <f t="shared" si="9"/>
        <v>14.612120000000001</v>
      </c>
      <c r="E60" s="24">
        <f t="shared" si="9"/>
        <v>5866.833333333333</v>
      </c>
      <c r="F60" s="21">
        <f t="shared" si="7"/>
        <v>133338.59999999998</v>
      </c>
    </row>
    <row r="61" spans="3:6" x14ac:dyDescent="0.3">
      <c r="C61" s="24">
        <f t="shared" ref="C61:E61" si="10">B7</f>
        <v>146337.9</v>
      </c>
      <c r="D61" s="24">
        <f t="shared" si="10"/>
        <v>12.814590000000001</v>
      </c>
      <c r="E61" s="24">
        <f t="shared" si="10"/>
        <v>12618.666666666666</v>
      </c>
      <c r="F61" s="21">
        <f t="shared" si="7"/>
        <v>129280.20000000001</v>
      </c>
    </row>
    <row r="62" spans="3:6" x14ac:dyDescent="0.3">
      <c r="C62" s="24">
        <f t="shared" ref="C62:E62" si="11">B8</f>
        <v>146337.9</v>
      </c>
      <c r="D62" s="24">
        <f t="shared" si="11"/>
        <v>18.840229999999998</v>
      </c>
      <c r="E62" s="24">
        <f t="shared" si="11"/>
        <v>6426.666666666667</v>
      </c>
      <c r="F62" s="21">
        <f t="shared" si="7"/>
        <v>195086.4</v>
      </c>
    </row>
    <row r="63" spans="3:6" x14ac:dyDescent="0.3">
      <c r="C63" s="24">
        <f t="shared" ref="C63:E63" si="12">B9</f>
        <v>146337.9</v>
      </c>
      <c r="D63" s="24">
        <f t="shared" si="12"/>
        <v>12.814590000000001</v>
      </c>
      <c r="E63" s="24">
        <f t="shared" si="12"/>
        <v>12818.666666666666</v>
      </c>
      <c r="F63" s="21">
        <f t="shared" si="7"/>
        <v>61989.9</v>
      </c>
    </row>
    <row r="64" spans="3:6" x14ac:dyDescent="0.3">
      <c r="C64" s="24">
        <f t="shared" ref="C64:E64" si="13">B10</f>
        <v>78872.09</v>
      </c>
      <c r="D64" s="24">
        <f t="shared" si="13"/>
        <v>14.612120000000001</v>
      </c>
      <c r="E64" s="24">
        <f t="shared" si="13"/>
        <v>11216.333333333334</v>
      </c>
      <c r="F64" s="21">
        <f t="shared" si="7"/>
        <v>63060</v>
      </c>
    </row>
    <row r="65" spans="3:6" x14ac:dyDescent="0.3">
      <c r="C65" s="24">
        <f t="shared" ref="C65:E65" si="14">B11</f>
        <v>114876.4</v>
      </c>
      <c r="D65" s="24">
        <f t="shared" si="14"/>
        <v>12.59423</v>
      </c>
      <c r="E65" s="24">
        <f t="shared" si="14"/>
        <v>4000</v>
      </c>
      <c r="F65" s="21">
        <f t="shared" si="7"/>
        <v>96145</v>
      </c>
    </row>
    <row r="66" spans="3:6" x14ac:dyDescent="0.3">
      <c r="C66" s="24">
        <f t="shared" ref="C66:E66" si="15">B12</f>
        <v>115530.5</v>
      </c>
      <c r="D66" s="24">
        <f t="shared" si="15"/>
        <v>12.21167</v>
      </c>
      <c r="E66" s="24">
        <f t="shared" si="15"/>
        <v>7280</v>
      </c>
      <c r="F66" s="21">
        <f t="shared" si="7"/>
        <v>55966.5</v>
      </c>
    </row>
    <row r="67" spans="3:6" x14ac:dyDescent="0.3">
      <c r="C67" s="24">
        <f t="shared" ref="C67:E67" si="16">B13</f>
        <v>115530.5</v>
      </c>
      <c r="D67" s="24">
        <f t="shared" si="16"/>
        <v>25.08727</v>
      </c>
      <c r="E67" s="24">
        <f t="shared" si="16"/>
        <v>14160</v>
      </c>
      <c r="F67" s="21">
        <f t="shared" si="7"/>
        <v>168466.5</v>
      </c>
    </row>
    <row r="68" spans="3:6" x14ac:dyDescent="0.3">
      <c r="C68" s="24">
        <f t="shared" ref="C68:E68" si="17">B14</f>
        <v>114876.4</v>
      </c>
      <c r="D68" s="24">
        <f t="shared" si="17"/>
        <v>12.59423</v>
      </c>
      <c r="E68" s="24">
        <f t="shared" si="17"/>
        <v>27600</v>
      </c>
      <c r="F68" s="21">
        <f t="shared" si="7"/>
        <v>105356</v>
      </c>
    </row>
    <row r="69" spans="3:6" x14ac:dyDescent="0.3">
      <c r="C69" s="24">
        <f t="shared" ref="C69:E69" si="18">B15</f>
        <v>115530.5</v>
      </c>
      <c r="D69" s="24">
        <f t="shared" si="18"/>
        <v>12.21167</v>
      </c>
      <c r="E69" s="24">
        <f t="shared" si="18"/>
        <v>14160</v>
      </c>
      <c r="F69" s="21">
        <f t="shared" si="7"/>
        <v>66966.5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G19" zoomScaleNormal="100" workbookViewId="0">
      <selection activeCell="I10" sqref="I10"/>
    </sheetView>
  </sheetViews>
  <sheetFormatPr defaultRowHeight="14.4" x14ac:dyDescent="0.3"/>
  <cols>
    <col min="1" max="1" width="45" customWidth="1"/>
    <col min="2" max="3" width="45" style="21" customWidth="1"/>
    <col min="4" max="4" width="47.88671875" customWidth="1"/>
    <col min="5" max="5" width="22.88671875" customWidth="1"/>
    <col min="6" max="6" width="26.33203125" customWidth="1"/>
    <col min="7" max="7" width="25.44140625" customWidth="1"/>
    <col min="8" max="8" width="26.33203125" customWidth="1"/>
    <col min="9" max="9" width="27.44140625" customWidth="1"/>
    <col min="10" max="10" width="33.6640625" customWidth="1"/>
    <col min="11" max="11" width="22.44140625" customWidth="1"/>
    <col min="12" max="12" width="18.44140625" customWidth="1"/>
    <col min="13" max="13" width="17" customWidth="1"/>
  </cols>
  <sheetData>
    <row r="1" spans="1:13" x14ac:dyDescent="0.3">
      <c r="A1" s="21" t="s">
        <v>49</v>
      </c>
      <c r="B1" s="21" t="s">
        <v>90</v>
      </c>
      <c r="C1" s="21" t="s">
        <v>91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93</v>
      </c>
      <c r="K1" s="21" t="s">
        <v>57</v>
      </c>
      <c r="L1" s="21" t="s">
        <v>92</v>
      </c>
      <c r="M1" s="21" t="s">
        <v>59</v>
      </c>
    </row>
    <row r="2" spans="1:13" x14ac:dyDescent="0.3">
      <c r="A2" s="21" t="s">
        <v>50</v>
      </c>
      <c r="B2" s="21">
        <v>154545.71095359759</v>
      </c>
      <c r="C2" s="21">
        <v>942011.40945595957</v>
      </c>
      <c r="D2" s="21">
        <f>35*Table717[[#This Row],[Duct Length]]/50</f>
        <v>108181.99766751831</v>
      </c>
      <c r="E2" s="21">
        <f>E28*0.3/50</f>
        <v>0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497773.99766751833</v>
      </c>
      <c r="J2" s="21">
        <f t="shared" ref="J2:J14" si="0">I2*50</f>
        <v>24888699.883375917</v>
      </c>
      <c r="K2" s="21">
        <v>29262</v>
      </c>
      <c r="L2" s="21">
        <f>J2/K2</f>
        <v>850.54678023976203</v>
      </c>
      <c r="M2" s="21">
        <v>25</v>
      </c>
    </row>
    <row r="3" spans="1:13" x14ac:dyDescent="0.3">
      <c r="A3" s="21" t="s">
        <v>51</v>
      </c>
      <c r="B3" s="21">
        <v>154545.71095359759</v>
      </c>
      <c r="C3" s="21">
        <v>640729.49433380761</v>
      </c>
      <c r="D3" s="24">
        <f>35*Table717[[#This Row],[Duct Length]]/50</f>
        <v>108181.99766751831</v>
      </c>
      <c r="E3" s="24">
        <f t="shared" ref="E3:E14" si="1">E29*0.3/50</f>
        <v>0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197649.99766751833</v>
      </c>
      <c r="J3" s="21">
        <f t="shared" si="0"/>
        <v>9882499.8833759166</v>
      </c>
      <c r="K3" s="21">
        <v>29262</v>
      </c>
      <c r="L3" s="21">
        <f t="shared" ref="L3:L6" si="2">J3/K3</f>
        <v>337.72469015706093</v>
      </c>
      <c r="M3" s="21">
        <v>50</v>
      </c>
    </row>
    <row r="4" spans="1:13" x14ac:dyDescent="0.3">
      <c r="A4" s="21" t="s">
        <v>52</v>
      </c>
      <c r="B4" s="21">
        <v>95562.640830078599</v>
      </c>
      <c r="C4" s="21">
        <v>730606.15860891738</v>
      </c>
      <c r="D4" s="24">
        <f>35*Table717[[#This Row],[Duct Length]]/50</f>
        <v>66893.848581055019</v>
      </c>
      <c r="E4" s="24">
        <f t="shared" si="1"/>
        <v>0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158153.848581055</v>
      </c>
      <c r="J4" s="21">
        <f t="shared" si="0"/>
        <v>7907692.4290527506</v>
      </c>
      <c r="K4" s="21">
        <v>29262</v>
      </c>
      <c r="L4" s="21">
        <f t="shared" si="2"/>
        <v>270.23759240833675</v>
      </c>
      <c r="M4" s="21">
        <v>50</v>
      </c>
    </row>
    <row r="5" spans="1:13" x14ac:dyDescent="0.3">
      <c r="A5" s="21" t="s">
        <v>53</v>
      </c>
      <c r="B5" s="21">
        <v>95562.640830078599</v>
      </c>
      <c r="C5" s="21">
        <v>730606.15860891738</v>
      </c>
      <c r="D5" s="24">
        <f>35*Table717[[#This Row],[Duct Length]]/50</f>
        <v>66893.848581055019</v>
      </c>
      <c r="E5" s="24">
        <f t="shared" si="1"/>
        <v>0</v>
      </c>
      <c r="F5" s="24">
        <f>'FTTH WR-WDMPON 100 Mbps'!$B$16</f>
        <v>16000</v>
      </c>
      <c r="G5" s="24">
        <f>'FTTH WR-WDMPON 100 Mbps'!C16</f>
        <v>260</v>
      </c>
      <c r="H5" s="24">
        <f>'FTTH WR-WDMPON 100 Mbps'!D16</f>
        <v>229508</v>
      </c>
      <c r="I5" s="24">
        <f>SUM(Table717[[#This Row],[Duct Cost]:[Building E&amp;I Costs]])</f>
        <v>312661.848581055</v>
      </c>
      <c r="J5" s="21">
        <f t="shared" si="0"/>
        <v>15633092.42905275</v>
      </c>
      <c r="K5" s="21">
        <v>29262</v>
      </c>
      <c r="L5" s="21">
        <f t="shared" si="2"/>
        <v>534.24552077960323</v>
      </c>
      <c r="M5" s="21">
        <v>100</v>
      </c>
    </row>
    <row r="6" spans="1:13" x14ac:dyDescent="0.3">
      <c r="A6" s="21" t="s">
        <v>54</v>
      </c>
      <c r="B6" s="21">
        <v>154545.71095359759</v>
      </c>
      <c r="C6" s="21">
        <v>640729.49433380761</v>
      </c>
      <c r="D6" s="24">
        <f>35*Table717[[#This Row],[Duct Length]]/50</f>
        <v>108181.99766751831</v>
      </c>
      <c r="E6" s="24">
        <f t="shared" si="1"/>
        <v>0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180000</v>
      </c>
      <c r="I6" s="24">
        <f>SUM(Table717[[#This Row],[Duct Cost]:[Building E&amp;I Costs]])</f>
        <v>324117.99766751833</v>
      </c>
      <c r="J6" s="21">
        <f t="shared" si="0"/>
        <v>16205899.883375917</v>
      </c>
      <c r="K6" s="21">
        <v>29262</v>
      </c>
      <c r="L6" s="21">
        <f t="shared" si="2"/>
        <v>553.82065078859671</v>
      </c>
      <c r="M6" s="21">
        <v>100</v>
      </c>
    </row>
    <row r="7" spans="1:13" x14ac:dyDescent="0.3">
      <c r="A7" s="21" t="s">
        <v>67</v>
      </c>
      <c r="B7" s="21">
        <v>154545.71095359759</v>
      </c>
      <c r="C7" s="21">
        <v>942011.40945595957</v>
      </c>
      <c r="D7" s="24">
        <f>35*Table717[[#This Row],[Duct Length]]/50</f>
        <v>108181.99766751831</v>
      </c>
      <c r="E7" s="24">
        <f t="shared" si="1"/>
        <v>0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515545.99766751833</v>
      </c>
      <c r="J7" s="21">
        <f t="shared" si="0"/>
        <v>25777299.883375917</v>
      </c>
      <c r="K7" s="21">
        <v>29262</v>
      </c>
      <c r="L7" s="21">
        <f>J7/K7</f>
        <v>880.91380915097795</v>
      </c>
      <c r="M7" s="21">
        <v>100</v>
      </c>
    </row>
    <row r="8" spans="1:13" x14ac:dyDescent="0.3">
      <c r="A8" s="21" t="s">
        <v>68</v>
      </c>
      <c r="B8" s="21">
        <v>154545.71095359759</v>
      </c>
      <c r="C8" s="21">
        <v>640729.49433380761</v>
      </c>
      <c r="D8" s="24">
        <f>35*Table717[[#This Row],[Duct Length]]/50</f>
        <v>108181.99766751831</v>
      </c>
      <c r="E8" s="24">
        <f t="shared" si="1"/>
        <v>0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204111.99766751833</v>
      </c>
      <c r="J8" s="21">
        <f t="shared" si="0"/>
        <v>10205599.883375917</v>
      </c>
      <c r="K8" s="21">
        <v>29262</v>
      </c>
      <c r="L8" s="21">
        <f>J8/K8</f>
        <v>348.76631410620996</v>
      </c>
      <c r="M8" s="21">
        <v>100</v>
      </c>
    </row>
    <row r="9" spans="1:13" x14ac:dyDescent="0.3">
      <c r="A9" s="21" t="s">
        <v>69</v>
      </c>
      <c r="B9" s="21">
        <v>95562.640830078599</v>
      </c>
      <c r="C9" s="21">
        <v>730606.15860891738</v>
      </c>
      <c r="D9" s="24">
        <f>35*Table717[[#This Row],[Duct Length]]/50</f>
        <v>66893.848581055019</v>
      </c>
      <c r="E9" s="24">
        <f t="shared" si="1"/>
        <v>0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171153.848581055</v>
      </c>
      <c r="J9" s="21">
        <f t="shared" si="0"/>
        <v>8557692.4290527496</v>
      </c>
      <c r="K9" s="21">
        <v>29262</v>
      </c>
      <c r="L9" s="21">
        <f>J9/K9</f>
        <v>292.4507015601377</v>
      </c>
      <c r="M9" s="21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35*Table717[[#This Row],[Duct Length]]/50</f>
        <v>88649.250981062796</v>
      </c>
      <c r="E10" s="24">
        <f t="shared" si="1"/>
        <v>0</v>
      </c>
      <c r="F10" s="24">
        <f>FTTCab_Hybridpon_25!$B$17</f>
        <v>8632</v>
      </c>
      <c r="G10" s="24">
        <f>FTTCab_Hybridpon_25!C17</f>
        <v>381282</v>
      </c>
      <c r="H10" s="24">
        <f>FTTCab_Hybridpon_25!D17</f>
        <v>0</v>
      </c>
      <c r="I10" s="24">
        <f>SUM(Table717[[#This Row],[Duct Cost]:[Building E&amp;I Costs]])</f>
        <v>478563.25098106277</v>
      </c>
      <c r="J10" s="21">
        <f t="shared" si="0"/>
        <v>23928162.54905314</v>
      </c>
      <c r="K10" s="21">
        <v>29262</v>
      </c>
      <c r="L10" s="21">
        <f t="shared" ref="L10:L14" si="3">J10/K10</f>
        <v>817.72136385254396</v>
      </c>
      <c r="M10" s="21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35*Table717[[#This Row],[Duct Length]]/50</f>
        <v>89276.478946812786</v>
      </c>
      <c r="E11" s="24">
        <f t="shared" si="1"/>
        <v>0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186390.4789468128</v>
      </c>
      <c r="J11" s="21">
        <f t="shared" si="0"/>
        <v>9319523.9473406393</v>
      </c>
      <c r="K11" s="21">
        <v>29262</v>
      </c>
      <c r="L11" s="21">
        <f t="shared" si="3"/>
        <v>318.48554259246254</v>
      </c>
      <c r="M11" s="21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35*Table717[[#This Row],[Duct Length]]/50</f>
        <v>89276.478946812786</v>
      </c>
      <c r="E12" s="24">
        <f t="shared" si="1"/>
        <v>0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210000</v>
      </c>
      <c r="I12" s="24">
        <f>SUM(Table717[[#This Row],[Duct Cost]:[Building E&amp;I Costs]])</f>
        <v>337422.4789468128</v>
      </c>
      <c r="J12" s="21">
        <f t="shared" si="0"/>
        <v>16871123.947340641</v>
      </c>
      <c r="K12" s="21">
        <v>29262</v>
      </c>
      <c r="L12" s="21">
        <f t="shared" si="3"/>
        <v>576.55402731667834</v>
      </c>
      <c r="M12" s="21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35*Table717[[#This Row],[Duct Length]]/50</f>
        <v>88649.250981062796</v>
      </c>
      <c r="E13" s="24">
        <f t="shared" si="1"/>
        <v>0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333809.25098106277</v>
      </c>
      <c r="J13" s="21">
        <f t="shared" si="0"/>
        <v>16690462.549053138</v>
      </c>
      <c r="K13" s="21">
        <v>29262</v>
      </c>
      <c r="L13" s="21">
        <f t="shared" si="3"/>
        <v>570.38010214794406</v>
      </c>
      <c r="M13" s="21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35*Table717[[#This Row],[Duct Length]]/50</f>
        <v>89276.478946812786</v>
      </c>
      <c r="E14" s="24">
        <f t="shared" si="1"/>
        <v>0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202422.4789468128</v>
      </c>
      <c r="J14" s="21">
        <f t="shared" si="0"/>
        <v>10121123.947340639</v>
      </c>
      <c r="K14" s="21">
        <v>29262</v>
      </c>
      <c r="L14" s="17">
        <f t="shared" si="3"/>
        <v>345.87943227874513</v>
      </c>
      <c r="M14" s="17">
        <v>100</v>
      </c>
    </row>
    <row r="28" spans="2:5" x14ac:dyDescent="0.3">
      <c r="B28" s="24"/>
      <c r="C28" s="24"/>
      <c r="D28" s="24"/>
    </row>
    <row r="29" spans="2:5" x14ac:dyDescent="0.3">
      <c r="B29" s="24"/>
      <c r="C29" s="24"/>
      <c r="D29" s="24"/>
      <c r="E29" s="23"/>
    </row>
    <row r="30" spans="2:5" x14ac:dyDescent="0.3">
      <c r="B30" s="24"/>
      <c r="C30" s="24"/>
      <c r="D30" s="24"/>
      <c r="E30" s="23"/>
    </row>
    <row r="31" spans="2:5" x14ac:dyDescent="0.3">
      <c r="B31" s="24"/>
      <c r="C31" s="24"/>
      <c r="D31" s="24"/>
      <c r="E31" s="23"/>
    </row>
    <row r="32" spans="2:5" x14ac:dyDescent="0.3">
      <c r="B32" s="24"/>
      <c r="C32" s="24"/>
      <c r="D32" s="24"/>
      <c r="E32" s="23"/>
    </row>
    <row r="33" spans="2:5" x14ac:dyDescent="0.3">
      <c r="B33" s="24"/>
      <c r="C33" s="24"/>
      <c r="D33" s="24"/>
      <c r="E33" s="23"/>
    </row>
    <row r="34" spans="2:5" x14ac:dyDescent="0.3">
      <c r="B34" s="24"/>
      <c r="C34" s="24"/>
      <c r="D34" s="24"/>
      <c r="E34" s="23"/>
    </row>
    <row r="35" spans="2:5" x14ac:dyDescent="0.3">
      <c r="B35" s="24"/>
      <c r="C35" s="24"/>
      <c r="D35" s="24"/>
      <c r="E35" s="23"/>
    </row>
    <row r="36" spans="2:5" x14ac:dyDescent="0.3">
      <c r="B36" s="24"/>
      <c r="C36" s="24"/>
      <c r="D36" s="24"/>
      <c r="E36" s="23"/>
    </row>
    <row r="37" spans="2:5" x14ac:dyDescent="0.3">
      <c r="B37" s="24"/>
      <c r="C37" s="24"/>
      <c r="D37" s="24"/>
      <c r="E37" s="23"/>
    </row>
    <row r="38" spans="2:5" x14ac:dyDescent="0.3">
      <c r="B38" s="24"/>
      <c r="C38" s="24"/>
      <c r="D38" s="24"/>
      <c r="E38" s="23"/>
    </row>
    <row r="39" spans="2:5" x14ac:dyDescent="0.3">
      <c r="B39" s="24"/>
      <c r="C39" s="24"/>
      <c r="D39" s="24"/>
      <c r="E39" s="23"/>
    </row>
    <row r="40" spans="2:5" x14ac:dyDescent="0.3">
      <c r="B40" s="24"/>
      <c r="C40" s="24"/>
      <c r="D40" s="24"/>
      <c r="E40" s="23"/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B1" zoomScale="90" zoomScaleNormal="90" workbookViewId="0">
      <selection sqref="A1:M14"/>
    </sheetView>
  </sheetViews>
  <sheetFormatPr defaultRowHeight="14.4" x14ac:dyDescent="0.3"/>
  <cols>
    <col min="1" max="1" width="34.6640625" customWidth="1"/>
    <col min="2" max="2" width="29.6640625" customWidth="1"/>
    <col min="3" max="3" width="24.33203125" customWidth="1"/>
    <col min="4" max="4" width="21.88671875" customWidth="1"/>
    <col min="5" max="5" width="21.6640625" customWidth="1"/>
    <col min="6" max="6" width="35.44140625" customWidth="1"/>
    <col min="7" max="7" width="32.109375" customWidth="1"/>
    <col min="8" max="8" width="30.33203125" customWidth="1"/>
    <col min="9" max="9" width="31.33203125" customWidth="1"/>
    <col min="10" max="10" width="15.332031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112</v>
      </c>
      <c r="K1" s="24" t="s">
        <v>57</v>
      </c>
      <c r="L1" s="24" t="s">
        <v>113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71.26*Table7172[[#This Row],[Duct Length]]/50</f>
        <v>220258.5472510673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783086.74014850263</v>
      </c>
      <c r="J2" s="24">
        <f t="shared" ref="J2:J14" si="0">I2*50</f>
        <v>39154337.007425129</v>
      </c>
      <c r="K2" s="24">
        <v>29262</v>
      </c>
      <c r="L2" s="24">
        <f>J2/K2</f>
        <v>1338.0608641728224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6" si="1">J3/K3</f>
        <v>835.38574954211117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740.20637583839437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22950</v>
      </c>
      <c r="G5" s="24">
        <f>'FTTH WR-WDMPON 100 Mbps'!C$17</f>
        <v>130</v>
      </c>
      <c r="H5" s="24">
        <f>'FTTH WR-WDMPON 100 Mbps'!D$17</f>
        <v>150754</v>
      </c>
      <c r="I5" s="24">
        <f>SUM(Table7172[[#This Row],[Duct Cost]:[Building E&amp;I Costs]])</f>
        <v>450452.37939566193</v>
      </c>
      <c r="J5" s="24">
        <f t="shared" si="0"/>
        <v>22522618.969783098</v>
      </c>
      <c r="K5" s="24">
        <v>29262</v>
      </c>
      <c r="L5" s="24">
        <f t="shared" si="1"/>
        <v>769.68829778494626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150754</v>
      </c>
      <c r="I6" s="24">
        <f>SUM(Table7172[[#This Row],[Duct Cost]:[Building E&amp;I Costs]])</f>
        <v>652800.75606202509</v>
      </c>
      <c r="J6" s="24">
        <f t="shared" si="0"/>
        <v>32640037.803101253</v>
      </c>
      <c r="K6" s="24">
        <v>29262</v>
      </c>
      <c r="L6" s="24">
        <f t="shared" si="1"/>
        <v>1115.4411114449201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71.26*Table7172[[#This Row],[Duct Length]]/50</f>
        <v>220258.5472510673</v>
      </c>
      <c r="E7" s="24">
        <f>9.61*Table7172[[#This Row],[Fiber Length]]/50</f>
        <v>181054.59289743542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882409.14014850277</v>
      </c>
      <c r="J7" s="24">
        <f t="shared" si="0"/>
        <v>44120457.007425137</v>
      </c>
      <c r="K7" s="24">
        <v>29262</v>
      </c>
      <c r="L7" s="24">
        <f>J7/K7</f>
        <v>1507.7731189742717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>J8/K8</f>
        <v>857.6863441699561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>J9/K9</f>
        <v>767.97276227814564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542001.60963587556</v>
      </c>
      <c r="J10" s="24">
        <f t="shared" si="0"/>
        <v>27100080.481793776</v>
      </c>
      <c r="K10" s="24">
        <v>29262</v>
      </c>
      <c r="L10" s="24">
        <f t="shared" ref="L10:L14" si="2">J10/K10</f>
        <v>926.11853194565572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2"/>
        <v>783.54053507876881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71.26*Table7172[[#This Row],[Duct Length]]/50</f>
        <v>181766.91113571086</v>
      </c>
      <c r="E12" s="24">
        <f>9.61*Table7172[[#This Row],[Fiber Length]]/50</f>
        <v>241088.66761378772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150000</v>
      </c>
      <c r="I12" s="24">
        <f>SUM(Table7172[[#This Row],[Duct Cost]:[Building E&amp;I Costs]])</f>
        <v>621293.77874949854</v>
      </c>
      <c r="J12" s="24">
        <f t="shared" si="0"/>
        <v>31064688.937474929</v>
      </c>
      <c r="K12" s="24">
        <v>29262</v>
      </c>
      <c r="L12" s="24">
        <f t="shared" si="2"/>
        <v>1061.6051171305764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2"/>
        <v>1013.3135288699945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71.26*Table7172[[#This Row],[Duct Length]]/50</f>
        <v>181766.91113571086</v>
      </c>
      <c r="E14" s="24">
        <f>9.61*Table7172[[#This Row],[Fiber Length]]/50</f>
        <v>117354.15161378775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482559.26274949865</v>
      </c>
      <c r="J14" s="24">
        <f t="shared" si="0"/>
        <v>24127963.137474932</v>
      </c>
      <c r="K14" s="24">
        <v>29262</v>
      </c>
      <c r="L14" s="17">
        <f t="shared" si="2"/>
        <v>824.54935197440136</v>
      </c>
      <c r="M14" s="17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17" sqref="F17"/>
    </sheetView>
  </sheetViews>
  <sheetFormatPr defaultRowHeight="14.4" x14ac:dyDescent="0.3"/>
  <cols>
    <col min="1" max="1" width="53.88671875" customWidth="1"/>
    <col min="2" max="2" width="23" customWidth="1"/>
    <col min="3" max="3" width="17.33203125" customWidth="1"/>
    <col min="4" max="4" width="19.33203125" customWidth="1"/>
    <col min="5" max="5" width="17" customWidth="1"/>
    <col min="6" max="6" width="18.44140625" customWidth="1"/>
    <col min="7" max="7" width="15.6640625" customWidth="1"/>
    <col min="8" max="8" width="17.109375" customWidth="1"/>
    <col min="9" max="9" width="18.66406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126</v>
      </c>
      <c r="K1" s="24" t="s">
        <v>57</v>
      </c>
      <c r="L1" s="24" t="s">
        <v>129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27*Table717218[[#This Row],[Duct Length]]/50</f>
        <v>83454.683914942696</v>
      </c>
      <c r="E2" s="24">
        <f>0.3*Table717218[[#This Row],[Fiber Length]]/50</f>
        <v>5652.0684567357575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377226.75237167848</v>
      </c>
      <c r="J2" s="24">
        <f t="shared" ref="J2:J14" si="0">I2*50</f>
        <v>18861337.618583925</v>
      </c>
      <c r="K2" s="24">
        <v>29262</v>
      </c>
      <c r="L2" s="24">
        <f>J2/K2</f>
        <v>644.56761733934536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6" si="1">J3/K3</f>
        <v>282.3953606741602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0</v>
      </c>
      <c r="H4" s="24">
        <f>'FTTB WR-WDMPON 50 Mbps'!D$18</f>
        <v>75000</v>
      </c>
      <c r="I4" s="24">
        <f>SUM(Table717218[[#This Row],[Duct Cost]:[Building E&amp;I Costs]])</f>
        <v>134887.46299989594</v>
      </c>
      <c r="J4" s="24">
        <f t="shared" si="0"/>
        <v>6744373.1499947971</v>
      </c>
      <c r="K4" s="24">
        <v>29262</v>
      </c>
      <c r="L4" s="24">
        <f t="shared" si="1"/>
        <v>230.48230298663103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3900</v>
      </c>
      <c r="G5" s="24">
        <f>'FTTH WR-WDMPON 100 Mbps'!C$18</f>
        <v>130</v>
      </c>
      <c r="H5" s="24">
        <f>'FTTH WR-WDMPON 100 Mbps'!D$18</f>
        <v>210000</v>
      </c>
      <c r="I5" s="24">
        <f>SUM(Table717218[[#This Row],[Duct Cost]:[Building E&amp;I Costs]])</f>
        <v>270017.46299989591</v>
      </c>
      <c r="J5" s="24">
        <f t="shared" si="0"/>
        <v>13500873.149994796</v>
      </c>
      <c r="K5" s="24">
        <v>29262</v>
      </c>
      <c r="L5" s="24">
        <f t="shared" si="1"/>
        <v>461.37902911608217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210000</v>
      </c>
      <c r="I6" s="24">
        <f>SUM(Table717218[[#This Row],[Duct Cost]:[Building E&amp;I Costs]])</f>
        <v>304487.06088094553</v>
      </c>
      <c r="J6" s="24">
        <f t="shared" si="0"/>
        <v>15224353.044047277</v>
      </c>
      <c r="K6" s="24">
        <v>29262</v>
      </c>
      <c r="L6" s="24">
        <f t="shared" si="1"/>
        <v>520.27725528150086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27*Table717218[[#This Row],[Duct Length]]/50</f>
        <v>83454.683914942696</v>
      </c>
      <c r="E7" s="24">
        <f>0.3*Table717218[[#This Row],[Fiber Length]]/50</f>
        <v>5652.0684567357575</v>
      </c>
      <c r="F7" s="24">
        <f>FTTCab_GPON_100!B$19</f>
        <v>2700</v>
      </c>
      <c r="G7" s="24">
        <f>FTTCab_GPON_100!C$19</f>
        <v>74640</v>
      </c>
      <c r="H7" s="24">
        <f>FTTCab_GPON_100!D$19</f>
        <v>0</v>
      </c>
      <c r="I7" s="24">
        <f>SUM(Table717218[[#This Row],[Duct Cost]:[Building E&amp;I Costs]])</f>
        <v>166446.75237167845</v>
      </c>
      <c r="J7" s="24">
        <f t="shared" si="0"/>
        <v>8322337.6185839223</v>
      </c>
      <c r="K7" s="24">
        <v>29262</v>
      </c>
      <c r="L7" s="24">
        <f>J7/K7</f>
        <v>284.40768295345231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>J8/K8</f>
        <v>289.64879516257525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31200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163487.46299989594</v>
      </c>
      <c r="J9" s="24">
        <f t="shared" si="0"/>
        <v>8174373.1499947971</v>
      </c>
      <c r="K9" s="24">
        <v>29262</v>
      </c>
      <c r="L9" s="24">
        <f>J9/K9</f>
        <v>279.35114312059318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ref="L10:L14" si="2">J10/K10</f>
        <v>402.93697210310205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2"/>
        <v>288.82839127037425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27*Table717218[[#This Row],[Duct Length]]/50</f>
        <v>68870.426616112716</v>
      </c>
      <c r="E12" s="24">
        <f>0.3*Table717218[[#This Row],[Fiber Length]]/50</f>
        <v>7526.1810909611158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210000</v>
      </c>
      <c r="I12" s="24">
        <f>SUM(Table717218[[#This Row],[Duct Cost]:[Building E&amp;I Costs]])</f>
        <v>298246.6077070738</v>
      </c>
      <c r="J12" s="24">
        <f t="shared" si="0"/>
        <v>14912330.38535369</v>
      </c>
      <c r="K12" s="24">
        <v>29262</v>
      </c>
      <c r="L12" s="24">
        <f t="shared" si="2"/>
        <v>509.61418855012266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2"/>
        <v>428.82378776847014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27*Table717218[[#This Row],[Duct Length]]/50</f>
        <v>68870.426616112716</v>
      </c>
      <c r="E14" s="24">
        <f>0.3*Table717218[[#This Row],[Fiber Length]]/50</f>
        <v>3663.5010909611156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159383.92770707383</v>
      </c>
      <c r="J14" s="24">
        <f t="shared" si="0"/>
        <v>7969196.3853536919</v>
      </c>
      <c r="K14" s="24">
        <v>29262</v>
      </c>
      <c r="L14" s="17">
        <f t="shared" si="2"/>
        <v>272.33942947692202</v>
      </c>
      <c r="M14" s="17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70" zoomScaleNormal="70" workbookViewId="0">
      <selection activeCell="W38" sqref="W3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G1" sqref="G1:G10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22.5546875" customWidth="1"/>
    <col min="8" max="8" width="30.109375" customWidth="1"/>
    <col min="9" max="9" width="23.5546875" customWidth="1"/>
    <col min="10" max="10" width="20.441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121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x14ac:dyDescent="0.3">
      <c r="A9" s="6" t="s">
        <v>30</v>
      </c>
      <c r="B9" s="6" t="s">
        <v>127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x14ac:dyDescent="0.3">
      <c r="A11" s="6"/>
      <c r="B11" s="6"/>
      <c r="C11" s="4"/>
      <c r="D11" s="4"/>
      <c r="E11" s="4"/>
      <c r="F11" s="4"/>
      <c r="G11" s="4"/>
      <c r="H11" s="11"/>
    </row>
    <row r="17" spans="1:10" x14ac:dyDescent="0.3">
      <c r="A17" t="s">
        <v>84</v>
      </c>
      <c r="B17" t="s">
        <v>35</v>
      </c>
      <c r="C17" t="s">
        <v>36</v>
      </c>
      <c r="D17" t="s">
        <v>37</v>
      </c>
      <c r="E17" t="s">
        <v>34</v>
      </c>
    </row>
    <row r="18" spans="1:10" ht="15" thickBot="1" x14ac:dyDescent="0.35">
      <c r="A18" t="s">
        <v>85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6" thickTop="1" thickBot="1" x14ac:dyDescent="0.35">
      <c r="A19" t="s">
        <v>86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6" thickTop="1" thickBot="1" x14ac:dyDescent="0.35">
      <c r="A20" t="s">
        <v>110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6" thickTop="1" thickBot="1" x14ac:dyDescent="0.35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ht="15" thickTop="1" x14ac:dyDescent="0.3"/>
    <row r="32" spans="1:10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36" sqref="F36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18" customWidth="1"/>
    <col min="8" max="8" width="17.88671875" customWidth="1"/>
    <col min="9" max="9" width="15.109375" customWidth="1"/>
    <col min="10" max="10" width="15.66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x14ac:dyDescent="0.3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ht="15" thickBot="1" x14ac:dyDescent="0.35">
      <c r="A17" t="s">
        <v>85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5.6" thickTop="1" thickBot="1" x14ac:dyDescent="0.35">
      <c r="A18" t="s">
        <v>86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5.6" thickTop="1" thickBot="1" x14ac:dyDescent="0.35">
      <c r="A19" t="s">
        <v>110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6" thickTop="1" thickBot="1" x14ac:dyDescent="0.35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ht="15" thickTop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G10" sqref="G10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18" customWidth="1"/>
    <col min="8" max="8" width="17.8867187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0</v>
      </c>
    </row>
    <row r="9" spans="1:11" x14ac:dyDescent="0.3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x14ac:dyDescent="0.3">
      <c r="A10" s="6" t="s">
        <v>32</v>
      </c>
      <c r="B10" s="6" t="s">
        <v>88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ht="15" thickBot="1" x14ac:dyDescent="0.35">
      <c r="A15" t="s">
        <v>85</v>
      </c>
      <c r="B15" s="9">
        <f>SUM(H2:H7)</f>
        <v>5299.166666666667</v>
      </c>
      <c r="C15" s="9">
        <f>SUM(H8:H8)</f>
        <v>1560</v>
      </c>
      <c r="D15" s="10">
        <f>SUM(H9:H11)</f>
        <v>59300</v>
      </c>
      <c r="E15" s="5">
        <f>SUM(B15:D15)</f>
        <v>66159.166666666672</v>
      </c>
      <c r="F15" s="5"/>
      <c r="G15" s="10"/>
    </row>
    <row r="16" spans="1:11" ht="15.6" thickTop="1" thickBot="1" x14ac:dyDescent="0.35">
      <c r="A16" t="s">
        <v>86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6" thickTop="1" thickBot="1" x14ac:dyDescent="0.35">
      <c r="A17" t="s">
        <v>110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6" thickTop="1" thickBot="1" x14ac:dyDescent="0.35">
      <c r="A18" t="s">
        <v>6</v>
      </c>
      <c r="B18">
        <f>SUM(K2:K7)</f>
        <v>3900</v>
      </c>
      <c r="C18">
        <f>K8</f>
        <v>0</v>
      </c>
      <c r="D18" s="21">
        <f>SUM(K9:K10)</f>
        <v>75000</v>
      </c>
      <c r="E18" s="5">
        <f t="shared" si="0"/>
        <v>78900</v>
      </c>
    </row>
    <row r="19" spans="1:6" ht="15" thickTop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D1" workbookViewId="0">
      <selection activeCell="B2" sqref="B2:B10"/>
    </sheetView>
  </sheetViews>
  <sheetFormatPr defaultRowHeight="14.4" x14ac:dyDescent="0.3"/>
  <cols>
    <col min="1" max="1" width="25.5546875" customWidth="1"/>
    <col min="2" max="2" width="27.6640625" customWidth="1"/>
    <col min="3" max="3" width="25" customWidth="1"/>
    <col min="4" max="4" width="28.33203125" customWidth="1"/>
    <col min="5" max="5" width="28" customWidth="1"/>
    <col min="6" max="6" width="28" style="24" customWidth="1"/>
    <col min="10" max="10" width="29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Table2456[[#This Row],[Cost per Unit (OASE)]]*Table2456[[#This Row],[Quantity]]</f>
        <v>48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Table2456[[#This Row],[Cost per Unit (OASE)]]*Table2456[[#This Row],[Quantity]]</f>
        <v>1105</v>
      </c>
      <c r="I3" s="12">
        <f>Table2456[[#This Row],[Cost per Unit(Rokkas)]]*Table2456[[#This Row],[Quantity]]</f>
        <v>13000</v>
      </c>
      <c r="J3" s="12">
        <f>Table2456[[#This Row],[Cost per Unit (BSG)]]*Table2456[[#This Row],[Quantity]]</f>
        <v>22750</v>
      </c>
      <c r="K3" s="35">
        <f>Table2456[[#This Row],[Cost per Unit(Phillipson)]]*Table2456[[#This Row],[Quantity]]</f>
        <v>3900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Table2456[[#This Row],[Cost per Unit (OASE)]]*Table2456[[#This Row],[Quantity]]</f>
        <v>4095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Table2456[[#This Row],[Cost per Unit (OASE)]]*Table2456[[#This Row],[Quantity]]</f>
        <v>149.5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5">
        <f>Table2456[[#This Row],[Cost per Unit(Phillipson)]]*Table2456[[#This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Table2456[[#This Row],[Cost per Unit (OASE)]]*Table2456[[#This Row],[Quantity]]</f>
        <v>1560</v>
      </c>
      <c r="I8" s="12">
        <f>Table2456[[#This Row],[Cost per Unit(Rokkas)]]*Table2456[[#This Row],[Quantity]]</f>
        <v>260</v>
      </c>
      <c r="J8" s="12">
        <f>Table2456[[#This Row],[Cost per Unit (BSG)]]*Table2456[[#This Row],[Quantity]]</f>
        <v>130</v>
      </c>
      <c r="K8" s="35">
        <f>Table2456[[#This Row],[Cost per Unit(Phillipson)]]*Table2456[[#This Row],[Quantity]]</f>
        <v>130</v>
      </c>
    </row>
    <row r="9" spans="1:11" x14ac:dyDescent="0.3">
      <c r="A9" s="6" t="s">
        <v>32</v>
      </c>
      <c r="B9" s="6" t="s">
        <v>48</v>
      </c>
      <c r="C9" s="4">
        <v>1.8</v>
      </c>
      <c r="D9" s="4">
        <v>4</v>
      </c>
      <c r="E9" s="4">
        <v>2</v>
      </c>
      <c r="F9" s="4">
        <v>0</v>
      </c>
      <c r="G9" s="4">
        <v>4877</v>
      </c>
      <c r="H9" s="4">
        <f>Table2456[[#This Row],[Cost per Unit (OASE)]]*Table2456[[#This Row],[Quantity]]</f>
        <v>8778.6</v>
      </c>
      <c r="I9" s="12">
        <f>Table2456[[#This Row],[Cost per Unit(Rokkas)]]*Table2456[[#This Row],[Quantity]]</f>
        <v>19508</v>
      </c>
      <c r="J9" s="12">
        <f>Table2456[[#This Row],[Cost per Unit (BSG)]]*Table2456[[#This Row],[Quantity]]</f>
        <v>9754</v>
      </c>
      <c r="K9" s="35">
        <f>Table2456[[#This Row],[Cost per Unit(Phillipson)]]*Table2456[[#This Row],[Quantity]]</f>
        <v>0</v>
      </c>
    </row>
    <row r="10" spans="1:11" x14ac:dyDescent="0.3">
      <c r="A10" s="6" t="s">
        <v>32</v>
      </c>
      <c r="B10" s="6" t="s">
        <v>128</v>
      </c>
      <c r="C10" s="4">
        <f>2.1+2</f>
        <v>4.0999999999999996</v>
      </c>
      <c r="D10" s="4">
        <f>2+250/50</f>
        <v>7</v>
      </c>
      <c r="E10" s="4">
        <f>2.7+2</f>
        <v>4.7</v>
      </c>
      <c r="F10" s="4">
        <f>5+2</f>
        <v>7</v>
      </c>
      <c r="G10" s="4">
        <v>30000</v>
      </c>
      <c r="H10" s="4">
        <f>Table2456[[#This Row],[Cost per Unit (OASE)]]*Table2456[[#This Row],[Quantity]]</f>
        <v>122999.99999999999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141000</v>
      </c>
      <c r="K10" s="35">
        <f>Table2456[[#This Row],[Cost per Unit(Phillipson)]]*Table2456[[#This Row],[Quantity]]</f>
        <v>210000</v>
      </c>
    </row>
    <row r="11" spans="1:11" x14ac:dyDescent="0.3">
      <c r="A11" s="6"/>
      <c r="B11" s="6"/>
      <c r="C11" s="4"/>
      <c r="D11" s="4"/>
      <c r="E11" s="8"/>
      <c r="F11" s="36"/>
    </row>
    <row r="14" spans="1:11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ht="15" thickBot="1" x14ac:dyDescent="0.35">
      <c r="A15" t="s">
        <v>85</v>
      </c>
      <c r="B15" s="9">
        <f>SUM(H2:H7)</f>
        <v>5866.833333333333</v>
      </c>
      <c r="C15" s="9">
        <f>SUM(H8:H8)</f>
        <v>1560</v>
      </c>
      <c r="D15" s="10">
        <f>SUM(H9:H10)</f>
        <v>131778.59999999998</v>
      </c>
      <c r="E15" s="5">
        <f>SUM(B15:D15)</f>
        <v>139205.43333333332</v>
      </c>
      <c r="F15" s="5"/>
      <c r="J15" s="28"/>
    </row>
    <row r="16" spans="1:11" ht="15.6" thickTop="1" thickBot="1" x14ac:dyDescent="0.35">
      <c r="A16" t="s">
        <v>89</v>
      </c>
      <c r="B16">
        <f>SUM(I2:I7)</f>
        <v>16000</v>
      </c>
      <c r="C16">
        <f>SUM(I8)</f>
        <v>260</v>
      </c>
      <c r="D16">
        <f>SUM(I9:I10)</f>
        <v>229508</v>
      </c>
      <c r="E16" s="5">
        <f>SUM(B16:D16)</f>
        <v>245768</v>
      </c>
      <c r="F16" s="5"/>
      <c r="J16" s="29"/>
    </row>
    <row r="17" spans="1:10" ht="15.6" thickTop="1" thickBot="1" x14ac:dyDescent="0.35">
      <c r="A17" t="s">
        <v>110</v>
      </c>
      <c r="B17">
        <f>SUM(J2:J7)</f>
        <v>22950</v>
      </c>
      <c r="C17">
        <f>SUM(J8)</f>
        <v>130</v>
      </c>
      <c r="D17">
        <f>SUM(J9:J10)</f>
        <v>150754</v>
      </c>
      <c r="E17" s="5">
        <f>SUM(B17:D17)</f>
        <v>173834</v>
      </c>
      <c r="F17" s="5"/>
      <c r="J17" s="28"/>
    </row>
    <row r="18" spans="1:10" ht="15.6" thickTop="1" thickBot="1" x14ac:dyDescent="0.35">
      <c r="A18" t="s">
        <v>6</v>
      </c>
      <c r="B18">
        <f>SUM(K2:K7)</f>
        <v>3900</v>
      </c>
      <c r="C18" s="24">
        <f>SUM(K8)</f>
        <v>130</v>
      </c>
      <c r="D18" s="24">
        <f>SUM(K10:K11)</f>
        <v>210000</v>
      </c>
      <c r="E18" s="5">
        <f>SUM(B18:D18)</f>
        <v>214030</v>
      </c>
      <c r="J18" s="29"/>
    </row>
    <row r="19" spans="1:10" ht="15" thickTop="1" x14ac:dyDescent="0.3">
      <c r="J19" s="28"/>
    </row>
    <row r="20" spans="1:10" x14ac:dyDescent="0.3">
      <c r="J20" s="29"/>
    </row>
    <row r="21" spans="1:10" x14ac:dyDescent="0.3">
      <c r="J21" s="28"/>
    </row>
    <row r="22" spans="1:10" x14ac:dyDescent="0.3">
      <c r="J22" s="29"/>
    </row>
    <row r="23" spans="1:10" x14ac:dyDescent="0.3">
      <c r="J23" s="2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B10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18" customWidth="1"/>
    <col min="5" max="5" width="17.88671875" customWidth="1"/>
    <col min="6" max="6" width="30.33203125" style="24" customWidth="1"/>
    <col min="8" max="8" width="18.8867187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x14ac:dyDescent="0.3">
      <c r="A10" s="6" t="s">
        <v>32</v>
      </c>
      <c r="B10" s="6" t="s">
        <v>40</v>
      </c>
      <c r="C10" s="4">
        <f>1.8+2</f>
        <v>3.8</v>
      </c>
      <c r="D10" s="4">
        <f>4+2</f>
        <v>6</v>
      </c>
      <c r="E10" s="4">
        <f>2.7+2</f>
        <v>4.7</v>
      </c>
      <c r="F10" s="4">
        <f>5+2</f>
        <v>7</v>
      </c>
      <c r="G10" s="4">
        <v>30000</v>
      </c>
      <c r="H10" s="4">
        <f>Table247[[#This Row],[Cost per Unit (OASE)]]*Table247[[#This Row],[Quantity]]</f>
        <v>114000</v>
      </c>
      <c r="I10" s="12">
        <f>Table247[[#This Row],[Cost per Unit (Rokkas)]]*Table247[[#This Row],[Quantity]]</f>
        <v>180000</v>
      </c>
      <c r="J10" s="12">
        <f>Table247[[#This Row],[Cost per Unit (BSG)]]*Table247[[#This Row],[Quantity]]</f>
        <v>141000</v>
      </c>
      <c r="K10" s="35">
        <f>Table247[[#This Row],[Cost per Unit(Phillipson)]]*Table247[[#This Row],[Quantity]]</f>
        <v>210000</v>
      </c>
    </row>
    <row r="11" spans="1:11" x14ac:dyDescent="0.3">
      <c r="A11" s="6"/>
      <c r="B11" s="6"/>
      <c r="C11" s="4"/>
      <c r="D11" s="4"/>
      <c r="E11" s="8"/>
      <c r="F11" s="36"/>
    </row>
    <row r="16" spans="1:11" x14ac:dyDescent="0.3">
      <c r="A16" t="s">
        <v>84</v>
      </c>
      <c r="B16" t="s">
        <v>35</v>
      </c>
      <c r="C16" t="s">
        <v>36</v>
      </c>
      <c r="D16" t="s">
        <v>37</v>
      </c>
      <c r="E16" t="s">
        <v>34</v>
      </c>
    </row>
    <row r="17" spans="1:6" ht="15" thickBot="1" x14ac:dyDescent="0.35">
      <c r="A17" t="s">
        <v>85</v>
      </c>
      <c r="B17" s="9">
        <f>SUM(H2:H5)</f>
        <v>12618.666666666666</v>
      </c>
      <c r="C17" s="9">
        <f>SUM(H6:H8)</f>
        <v>6501.6</v>
      </c>
      <c r="D17" s="10">
        <f>SUM(H9:H10)</f>
        <v>122778.6</v>
      </c>
      <c r="E17" s="5">
        <f>SUM(B17:D17)</f>
        <v>141898.86666666667</v>
      </c>
      <c r="F17" s="5"/>
    </row>
    <row r="18" spans="1:6" ht="15.6" thickTop="1" thickBot="1" x14ac:dyDescent="0.35">
      <c r="A18" t="s">
        <v>86</v>
      </c>
      <c r="B18">
        <f>SUM(I2:I5)</f>
        <v>19368</v>
      </c>
      <c r="C18">
        <f>SUM(I6:I8)</f>
        <v>16568</v>
      </c>
      <c r="D18">
        <f>SUM(I9:I10)</f>
        <v>180000</v>
      </c>
      <c r="E18" s="5">
        <f>SUM(B18:D18)</f>
        <v>215936</v>
      </c>
      <c r="F18" s="5"/>
    </row>
    <row r="19" spans="1:6" ht="15.6" thickTop="1" thickBot="1" x14ac:dyDescent="0.35">
      <c r="A19" t="s">
        <v>110</v>
      </c>
      <c r="B19">
        <f>SUM(J2:J5)</f>
        <v>93800</v>
      </c>
      <c r="C19">
        <f>SUM(J6:J8)</f>
        <v>64840</v>
      </c>
      <c r="D19">
        <f>SUM(J9:J10)</f>
        <v>150754</v>
      </c>
      <c r="E19" s="5">
        <f>SUM(B19:D19)</f>
        <v>309394</v>
      </c>
      <c r="F19" s="5"/>
    </row>
    <row r="20" spans="1:6" ht="15.6" thickTop="1" thickBot="1" x14ac:dyDescent="0.35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210000</v>
      </c>
      <c r="E20" s="5">
        <f>SUM(B20:D20)</f>
        <v>217188</v>
      </c>
    </row>
    <row r="21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D1" workbookViewId="0">
      <selection activeCell="G2" sqref="G2:G10"/>
    </sheetView>
  </sheetViews>
  <sheetFormatPr defaultRowHeight="14.4" x14ac:dyDescent="0.3"/>
  <cols>
    <col min="1" max="1" width="38.5546875" customWidth="1"/>
    <col min="2" max="2" width="37.44140625" customWidth="1"/>
    <col min="3" max="3" width="28.88671875" customWidth="1"/>
    <col min="4" max="4" width="32.44140625" customWidth="1"/>
    <col min="5" max="5" width="34.33203125" customWidth="1"/>
    <col min="6" max="6" width="34.33203125" style="24" customWidth="1"/>
    <col min="7" max="7" width="16" customWidth="1"/>
    <col min="8" max="8" width="17.441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124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x14ac:dyDescent="0.3">
      <c r="A9" s="6" t="s">
        <v>30</v>
      </c>
      <c r="B9" s="6" t="s">
        <v>64</v>
      </c>
      <c r="C9" s="4">
        <v>1.2</v>
      </c>
      <c r="D9" s="4">
        <v>10</v>
      </c>
      <c r="E9" s="4">
        <v>1.4</v>
      </c>
      <c r="F9" s="4">
        <v>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0</v>
      </c>
    </row>
    <row r="10" spans="1:11" x14ac:dyDescent="0.3">
      <c r="A10" s="6" t="s">
        <v>30</v>
      </c>
      <c r="B10" s="6" t="s">
        <v>114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184112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x14ac:dyDescent="0.3">
      <c r="A11" s="6" t="s">
        <v>32</v>
      </c>
      <c r="B11" s="6" t="s">
        <v>66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x14ac:dyDescent="0.3">
      <c r="A12" s="6"/>
      <c r="B12" s="6"/>
      <c r="C12" s="4"/>
      <c r="D12" s="4"/>
      <c r="E12" s="4"/>
      <c r="F12" s="12"/>
    </row>
    <row r="13" spans="1:11" x14ac:dyDescent="0.3">
      <c r="A13" s="6"/>
      <c r="B13" s="6"/>
      <c r="C13" s="4"/>
      <c r="D13" s="4"/>
      <c r="E13" s="4"/>
      <c r="F13" s="12"/>
    </row>
    <row r="15" spans="1:11" x14ac:dyDescent="0.3">
      <c r="A15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35">
      <c r="A16" t="s">
        <v>85</v>
      </c>
      <c r="B16" s="20">
        <f>SUM(H1:H5)</f>
        <v>6426.666666666667</v>
      </c>
      <c r="C16" s="20">
        <f>SUM(H5:H10)</f>
        <v>195086.4</v>
      </c>
      <c r="D16" s="10">
        <f>SUM(H11)</f>
        <v>0</v>
      </c>
      <c r="E16" s="5">
        <f>SUM(B16:D16)</f>
        <v>201513.06666666665</v>
      </c>
      <c r="F16" s="5"/>
    </row>
    <row r="17" spans="1:6" ht="15.6" thickTop="1" thickBot="1" x14ac:dyDescent="0.35">
      <c r="A17" t="s">
        <v>86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5.6" thickTop="1" thickBot="1" x14ac:dyDescent="0.35">
      <c r="A18" t="s">
        <v>110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5.6" thickTop="1" thickBot="1" x14ac:dyDescent="0.35">
      <c r="A19" t="s">
        <v>6</v>
      </c>
      <c r="B19" s="24">
        <f>SUM(K2:K5)</f>
        <v>2700</v>
      </c>
      <c r="C19" s="24">
        <f>SUM(K6:K10)</f>
        <v>74640</v>
      </c>
      <c r="D19" s="24">
        <v>0</v>
      </c>
      <c r="E19" s="5">
        <f>SUM(B19:D19)</f>
        <v>77340</v>
      </c>
    </row>
    <row r="20" spans="1:6" ht="15" thickTop="1" x14ac:dyDescent="0.3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09375" defaultRowHeight="14.4" x14ac:dyDescent="0.3"/>
  <cols>
    <col min="1" max="1" width="29.33203125" style="13" customWidth="1"/>
    <col min="2" max="2" width="38" style="13" customWidth="1"/>
    <col min="3" max="3" width="21.33203125" style="13" customWidth="1"/>
    <col min="4" max="4" width="18" style="13" customWidth="1"/>
    <col min="5" max="5" width="17.88671875" style="13" customWidth="1"/>
    <col min="6" max="6" width="17.88671875" style="24" customWidth="1"/>
    <col min="7" max="7" width="24.44140625" style="13" customWidth="1"/>
    <col min="8" max="8" width="25.5546875" style="13" customWidth="1"/>
    <col min="9" max="16384" width="9.109375" style="13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x14ac:dyDescent="0.3">
      <c r="A9" s="6" t="s">
        <v>32</v>
      </c>
      <c r="B9" s="6" t="s">
        <v>65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x14ac:dyDescent="0.3">
      <c r="A15" s="13" t="s">
        <v>84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ht="15" thickBot="1" x14ac:dyDescent="0.35">
      <c r="A16" s="13" t="s">
        <v>85</v>
      </c>
      <c r="B16" s="14">
        <f>SUM(H2:H5)</f>
        <v>12818.666666666666</v>
      </c>
      <c r="C16" s="14">
        <f>SUM(H6:H8)</f>
        <v>2002.8</v>
      </c>
      <c r="D16" s="10">
        <f>SUM(H9:H10)</f>
        <v>59987.1</v>
      </c>
      <c r="E16" s="5">
        <f>SUM(B16:D16)</f>
        <v>74808.566666666666</v>
      </c>
      <c r="F16" s="5"/>
    </row>
    <row r="17" spans="1:6" ht="15.6" thickTop="1" thickBot="1" x14ac:dyDescent="0.35">
      <c r="A17" s="13" t="s">
        <v>86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5.6" thickTop="1" thickBot="1" x14ac:dyDescent="0.35">
      <c r="A18" s="13" t="s">
        <v>110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6" thickTop="1" thickBot="1" x14ac:dyDescent="0.35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ht="15" thickTop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Ahmadzay</cp:lastModifiedBy>
  <dcterms:created xsi:type="dcterms:W3CDTF">2018-06-18T12:55:08Z</dcterms:created>
  <dcterms:modified xsi:type="dcterms:W3CDTF">2018-06-27T19:28:50Z</dcterms:modified>
</cp:coreProperties>
</file>