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7795" windowHeight="13875" activeTab="4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B_XGPON_100" sheetId="9" r:id="rId8"/>
    <sheet name="FTTB_DWDM_100" sheetId="10" r:id="rId9"/>
    <sheet name="FTTC_Hybridpon_25" sheetId="11" r:id="rId10"/>
    <sheet name="FTTB_Hybridpon_50" sheetId="12" r:id="rId11"/>
    <sheet name="FTTH_Hybridpon_100" sheetId="13" r:id="rId12"/>
    <sheet name="FTTC_Hybridpon_100" sheetId="14" r:id="rId13"/>
    <sheet name="FTTB_Hybridpon_100" sheetId="15" r:id="rId14"/>
    <sheet name="OPEX" sheetId="16" r:id="rId15"/>
  </sheet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D8" i="6" l="1"/>
  <c r="D5" i="6"/>
  <c r="D4" i="6"/>
  <c r="D3" i="6"/>
  <c r="D2" i="6"/>
  <c r="O34" i="9" l="1"/>
  <c r="N34" i="9"/>
  <c r="O33" i="9"/>
  <c r="O32" i="9"/>
  <c r="O36" i="9" s="1"/>
  <c r="N33" i="9"/>
  <c r="N36" i="9" s="1"/>
  <c r="N32" i="9"/>
  <c r="N22" i="9"/>
  <c r="M22" i="9"/>
  <c r="N21" i="9"/>
  <c r="M21" i="9"/>
  <c r="N20" i="9"/>
  <c r="M20" i="9"/>
  <c r="I21" i="9"/>
  <c r="I22" i="9"/>
  <c r="I20" i="9"/>
  <c r="S22" i="7"/>
  <c r="R22" i="7"/>
  <c r="S21" i="7"/>
  <c r="R21" i="7"/>
  <c r="S20" i="7"/>
  <c r="R20" i="7"/>
  <c r="Z10" i="9"/>
  <c r="Z9" i="9"/>
  <c r="Z8" i="9"/>
  <c r="Z7" i="9"/>
  <c r="Z6" i="9"/>
  <c r="Z5" i="9"/>
  <c r="Z4" i="9"/>
  <c r="Z3" i="9"/>
  <c r="Z2" i="9"/>
  <c r="R29" i="8"/>
  <c r="Q29" i="8"/>
  <c r="R26" i="8"/>
  <c r="Q26" i="8"/>
  <c r="Q17" i="8"/>
  <c r="P17" i="8"/>
  <c r="O17" i="8"/>
  <c r="P16" i="8"/>
  <c r="O16" i="8"/>
  <c r="Q16" i="8" s="1"/>
  <c r="P15" i="8"/>
  <c r="O15" i="8"/>
  <c r="Q15" i="8" s="1"/>
  <c r="P29" i="8"/>
  <c r="R25" i="8"/>
  <c r="R24" i="8"/>
  <c r="Q25" i="8"/>
  <c r="Q24" i="8"/>
  <c r="Z10" i="8"/>
  <c r="Z9" i="8"/>
  <c r="Z8" i="8"/>
  <c r="Z7" i="8"/>
  <c r="Z6" i="8"/>
  <c r="Z5" i="8"/>
  <c r="Z4" i="8"/>
  <c r="Z3" i="8"/>
  <c r="Z2" i="8"/>
  <c r="O38" i="7"/>
  <c r="N38" i="7"/>
  <c r="O37" i="7"/>
  <c r="O36" i="7"/>
  <c r="N37" i="7"/>
  <c r="N36" i="7"/>
  <c r="M22" i="7"/>
  <c r="M20" i="7"/>
  <c r="N22" i="7"/>
  <c r="N21" i="7"/>
  <c r="M21" i="7"/>
  <c r="N20" i="7"/>
  <c r="AB11" i="7"/>
  <c r="AA11" i="7"/>
  <c r="AB3" i="7"/>
  <c r="AB4" i="7"/>
  <c r="AB5" i="7"/>
  <c r="AB6" i="7"/>
  <c r="AB7" i="7"/>
  <c r="AB8" i="7"/>
  <c r="AB9" i="7"/>
  <c r="AB10" i="7"/>
  <c r="AA3" i="7"/>
  <c r="AA4" i="7"/>
  <c r="AA5" i="7"/>
  <c r="AA6" i="7"/>
  <c r="AA7" i="7"/>
  <c r="AA8" i="7"/>
  <c r="AA9" i="7"/>
  <c r="AA10" i="7"/>
  <c r="AB2" i="7"/>
  <c r="AA2" i="7"/>
  <c r="P21" i="6"/>
  <c r="O21" i="6"/>
  <c r="O17" i="6"/>
  <c r="O16" i="6"/>
  <c r="N16" i="6"/>
  <c r="N17" i="6"/>
  <c r="O19" i="5"/>
  <c r="O18" i="5"/>
  <c r="N19" i="5"/>
  <c r="N18" i="5"/>
  <c r="P35" i="5"/>
  <c r="P34" i="5"/>
  <c r="O35" i="5"/>
  <c r="O34" i="5"/>
  <c r="P36" i="5"/>
  <c r="O36" i="5"/>
  <c r="M14" i="5"/>
  <c r="AB11" i="5"/>
  <c r="AA11" i="5"/>
  <c r="AB3" i="5"/>
  <c r="AB4" i="5"/>
  <c r="AB5" i="5"/>
  <c r="AB6" i="5"/>
  <c r="AB7" i="5"/>
  <c r="AB8" i="5"/>
  <c r="AB9" i="5"/>
  <c r="AB10" i="5"/>
  <c r="AB2" i="5"/>
  <c r="AA3" i="5"/>
  <c r="AA4" i="5"/>
  <c r="AA5" i="5"/>
  <c r="AA6" i="5"/>
  <c r="AA7" i="5"/>
  <c r="AA8" i="5"/>
  <c r="AA9" i="5"/>
  <c r="AA10" i="5"/>
  <c r="AA2" i="5"/>
  <c r="P28" i="3"/>
  <c r="O28" i="3"/>
  <c r="N28" i="3"/>
  <c r="P27" i="3"/>
  <c r="P26" i="3"/>
  <c r="O27" i="3"/>
  <c r="O26" i="3"/>
  <c r="N21" i="3"/>
  <c r="N22" i="3"/>
  <c r="N20" i="3"/>
  <c r="M21" i="3"/>
  <c r="M22" i="3"/>
  <c r="M20" i="3"/>
  <c r="O16" i="2"/>
  <c r="O17" i="2"/>
  <c r="O15" i="2"/>
  <c r="Q15" i="2" s="1"/>
  <c r="Z3" i="3"/>
  <c r="Z4" i="3"/>
  <c r="Z5" i="3"/>
  <c r="Z6" i="3"/>
  <c r="Z7" i="3"/>
  <c r="Z8" i="3"/>
  <c r="AB8" i="3" s="1"/>
  <c r="Z9" i="3"/>
  <c r="AB9" i="3" s="1"/>
  <c r="Z10" i="3"/>
  <c r="AB10" i="3" s="1"/>
  <c r="Z2" i="3"/>
  <c r="AB2" i="3" s="1"/>
  <c r="Z3" i="2"/>
  <c r="AB3" i="2" s="1"/>
  <c r="Z4" i="2"/>
  <c r="Z5" i="2"/>
  <c r="Z6" i="2"/>
  <c r="Z7" i="2"/>
  <c r="Z8" i="2"/>
  <c r="Z9" i="2"/>
  <c r="Z10" i="2"/>
  <c r="AB10" i="2" s="1"/>
  <c r="Z2" i="2"/>
  <c r="AB4" i="2"/>
  <c r="AB5" i="2"/>
  <c r="AB6" i="2"/>
  <c r="AB7" i="2"/>
  <c r="AB8" i="2"/>
  <c r="AB9" i="2"/>
  <c r="AB2" i="2"/>
  <c r="J28" i="2"/>
  <c r="AA11" i="3"/>
  <c r="AB3" i="3"/>
  <c r="AB4" i="3"/>
  <c r="AB5" i="3"/>
  <c r="AB6" i="3"/>
  <c r="AB7" i="3"/>
  <c r="AA3" i="3"/>
  <c r="AA4" i="3"/>
  <c r="AA5" i="3"/>
  <c r="AA6" i="3"/>
  <c r="AA7" i="3"/>
  <c r="AA8" i="3"/>
  <c r="AA9" i="3"/>
  <c r="AA10" i="3"/>
  <c r="AA2" i="3"/>
  <c r="K27" i="2"/>
  <c r="K26" i="2"/>
  <c r="J27" i="2"/>
  <c r="J26" i="2"/>
  <c r="Q16" i="2"/>
  <c r="Q17" i="2"/>
  <c r="P16" i="2"/>
  <c r="P17" i="2"/>
  <c r="P15" i="2"/>
  <c r="AA3" i="2"/>
  <c r="AA4" i="2"/>
  <c r="AA5" i="2"/>
  <c r="AA6" i="2"/>
  <c r="AA7" i="2"/>
  <c r="AA8" i="2"/>
  <c r="AA9" i="2"/>
  <c r="AA10" i="2"/>
  <c r="AA2" i="2"/>
  <c r="L15" i="2"/>
  <c r="O37" i="9" l="1"/>
  <c r="O35" i="9"/>
  <c r="N35" i="9"/>
  <c r="N37" i="9" s="1"/>
  <c r="R28" i="8"/>
  <c r="Q28" i="8"/>
  <c r="R27" i="8"/>
  <c r="Q27" i="8"/>
  <c r="N40" i="7"/>
  <c r="O39" i="7"/>
  <c r="O40" i="7"/>
  <c r="N39" i="7"/>
  <c r="P37" i="5"/>
  <c r="P38" i="5"/>
  <c r="O37" i="5"/>
  <c r="O38" i="5"/>
  <c r="P29" i="3"/>
  <c r="P31" i="3" s="1"/>
  <c r="P30" i="3"/>
  <c r="O29" i="3"/>
  <c r="O30" i="3"/>
  <c r="K28" i="2"/>
  <c r="K29" i="2" s="1"/>
  <c r="AB11" i="3"/>
  <c r="AB11" i="2"/>
  <c r="J30" i="2"/>
  <c r="J29" i="2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O41" i="7" l="1"/>
  <c r="N41" i="7"/>
  <c r="O39" i="5"/>
  <c r="P39" i="5"/>
  <c r="O31" i="3"/>
  <c r="K30" i="2"/>
  <c r="K31" i="2" s="1"/>
  <c r="J31" i="2"/>
  <c r="L10" i="8"/>
  <c r="M61" i="16" l="1"/>
  <c r="M60" i="16"/>
  <c r="M59" i="16"/>
  <c r="M58" i="16"/>
  <c r="M57" i="16"/>
  <c r="M56" i="16"/>
  <c r="M55" i="16"/>
  <c r="M54" i="16"/>
  <c r="M53" i="16"/>
  <c r="M51" i="16"/>
  <c r="M50" i="16"/>
  <c r="M49" i="16"/>
  <c r="Q33" i="16"/>
  <c r="P33" i="16"/>
  <c r="O33" i="16"/>
  <c r="N33" i="16"/>
  <c r="M33" i="16"/>
  <c r="L33" i="16"/>
  <c r="J33" i="16"/>
  <c r="G33" i="16"/>
  <c r="F33" i="16"/>
  <c r="E33" i="16"/>
  <c r="E2" i="2"/>
  <c r="M22" i="15"/>
  <c r="M21" i="15"/>
  <c r="N20" i="14"/>
  <c r="N19" i="14"/>
  <c r="P21" i="13"/>
  <c r="P20" i="13"/>
  <c r="P19" i="13"/>
  <c r="P23" i="13"/>
  <c r="P21" i="12"/>
  <c r="P20" i="12"/>
  <c r="P23" i="11"/>
  <c r="P22" i="11"/>
  <c r="M23" i="10"/>
  <c r="M22" i="10"/>
  <c r="L4" i="7"/>
  <c r="M4" i="7" s="1"/>
  <c r="L4" i="6"/>
  <c r="M4" i="6" s="1"/>
  <c r="O4" i="6" s="1"/>
  <c r="L6" i="6"/>
  <c r="M6" i="6" s="1"/>
  <c r="O6" i="6" s="1"/>
  <c r="L3" i="6"/>
  <c r="H18" i="15"/>
  <c r="I18" i="15" s="1"/>
  <c r="B18" i="15"/>
  <c r="C18" i="15" s="1"/>
  <c r="J18" i="15" s="1"/>
  <c r="I17" i="15"/>
  <c r="H17" i="15"/>
  <c r="B17" i="15"/>
  <c r="C17" i="15" s="1"/>
  <c r="J17" i="15" s="1"/>
  <c r="H16" i="15"/>
  <c r="I16" i="15" s="1"/>
  <c r="C16" i="15"/>
  <c r="J16" i="15" s="1"/>
  <c r="J19" i="15" s="1"/>
  <c r="B16" i="15"/>
  <c r="S9" i="15"/>
  <c r="T9" i="15" s="1"/>
  <c r="R9" i="15"/>
  <c r="W9" i="15" s="1"/>
  <c r="N9" i="15"/>
  <c r="L9" i="15"/>
  <c r="M9" i="15" s="1"/>
  <c r="O9" i="15" s="1"/>
  <c r="I9" i="15"/>
  <c r="F9" i="15"/>
  <c r="H9" i="15" s="1"/>
  <c r="W8" i="15"/>
  <c r="T8" i="15"/>
  <c r="S8" i="15"/>
  <c r="R8" i="15"/>
  <c r="N8" i="15"/>
  <c r="L8" i="15"/>
  <c r="M8" i="15" s="1"/>
  <c r="O8" i="15" s="1"/>
  <c r="I8" i="15"/>
  <c r="F8" i="15"/>
  <c r="H8" i="15" s="1"/>
  <c r="T7" i="15"/>
  <c r="W7" i="15" s="1"/>
  <c r="S7" i="15"/>
  <c r="R7" i="15"/>
  <c r="N7" i="15"/>
  <c r="O7" i="15" s="1"/>
  <c r="M7" i="15"/>
  <c r="I7" i="15"/>
  <c r="F7" i="15"/>
  <c r="H7" i="15" s="1"/>
  <c r="S6" i="15"/>
  <c r="T6" i="15" s="1"/>
  <c r="R6" i="15"/>
  <c r="W6" i="15" s="1"/>
  <c r="N6" i="15"/>
  <c r="M6" i="15"/>
  <c r="O6" i="15" s="1"/>
  <c r="I6" i="15"/>
  <c r="H6" i="15"/>
  <c r="F6" i="15"/>
  <c r="C6" i="15"/>
  <c r="W5" i="15"/>
  <c r="T5" i="15"/>
  <c r="S5" i="15"/>
  <c r="R5" i="15"/>
  <c r="O5" i="15"/>
  <c r="N5" i="15"/>
  <c r="M5" i="15"/>
  <c r="F5" i="15"/>
  <c r="H5" i="15" s="1"/>
  <c r="S4" i="15"/>
  <c r="T4" i="15" s="1"/>
  <c r="R4" i="15"/>
  <c r="W4" i="15" s="1"/>
  <c r="N4" i="15"/>
  <c r="L4" i="15"/>
  <c r="M4" i="15" s="1"/>
  <c r="O4" i="15" s="1"/>
  <c r="F4" i="15"/>
  <c r="H4" i="15" s="1"/>
  <c r="C4" i="15"/>
  <c r="W3" i="15"/>
  <c r="T3" i="15"/>
  <c r="S3" i="15"/>
  <c r="R3" i="15"/>
  <c r="N3" i="15"/>
  <c r="L3" i="15"/>
  <c r="M3" i="15" s="1"/>
  <c r="O3" i="15" s="1"/>
  <c r="I3" i="15"/>
  <c r="F3" i="15"/>
  <c r="H3" i="15" s="1"/>
  <c r="T2" i="15"/>
  <c r="W2" i="15" s="1"/>
  <c r="S2" i="15"/>
  <c r="R2" i="15"/>
  <c r="N2" i="15"/>
  <c r="L2" i="15"/>
  <c r="M2" i="15" s="1"/>
  <c r="I2" i="15"/>
  <c r="F2" i="15"/>
  <c r="H2" i="15" s="1"/>
  <c r="D9" i="14"/>
  <c r="D8" i="14"/>
  <c r="H19" i="14"/>
  <c r="I19" i="14" s="1"/>
  <c r="C19" i="14"/>
  <c r="J19" i="14" s="1"/>
  <c r="B19" i="14"/>
  <c r="I18" i="14"/>
  <c r="H18" i="14"/>
  <c r="B18" i="14"/>
  <c r="C18" i="14" s="1"/>
  <c r="J18" i="14" s="1"/>
  <c r="I17" i="14"/>
  <c r="H17" i="14"/>
  <c r="B17" i="14"/>
  <c r="C17" i="14" s="1"/>
  <c r="J17" i="14" s="1"/>
  <c r="S10" i="14"/>
  <c r="T10" i="14" s="1"/>
  <c r="R10" i="14"/>
  <c r="W10" i="14" s="1"/>
  <c r="N10" i="14"/>
  <c r="M10" i="14"/>
  <c r="O10" i="14" s="1"/>
  <c r="H10" i="14"/>
  <c r="F10" i="14"/>
  <c r="S9" i="14"/>
  <c r="T9" i="14" s="1"/>
  <c r="R9" i="14"/>
  <c r="N9" i="14"/>
  <c r="M9" i="14"/>
  <c r="O9" i="14" s="1"/>
  <c r="L9" i="14"/>
  <c r="I9" i="14"/>
  <c r="F9" i="14"/>
  <c r="H9" i="14" s="1"/>
  <c r="S8" i="14"/>
  <c r="T8" i="14" s="1"/>
  <c r="R8" i="14"/>
  <c r="W8" i="14" s="1"/>
  <c r="N8" i="14"/>
  <c r="L8" i="14"/>
  <c r="M8" i="14" s="1"/>
  <c r="O8" i="14" s="1"/>
  <c r="I8" i="14"/>
  <c r="F8" i="14"/>
  <c r="H8" i="14" s="1"/>
  <c r="S7" i="14"/>
  <c r="T7" i="14" s="1"/>
  <c r="R7" i="14"/>
  <c r="N7" i="14"/>
  <c r="L7" i="14"/>
  <c r="M7" i="14" s="1"/>
  <c r="O7" i="14" s="1"/>
  <c r="I7" i="14"/>
  <c r="F7" i="14"/>
  <c r="H7" i="14" s="1"/>
  <c r="T6" i="14"/>
  <c r="S6" i="14"/>
  <c r="R6" i="14"/>
  <c r="N6" i="14"/>
  <c r="O6" i="14" s="1"/>
  <c r="M6" i="14"/>
  <c r="I6" i="14"/>
  <c r="F6" i="14"/>
  <c r="H6" i="14" s="1"/>
  <c r="S5" i="14"/>
  <c r="T5" i="14" s="1"/>
  <c r="R5" i="14"/>
  <c r="W5" i="14" s="1"/>
  <c r="N5" i="14"/>
  <c r="M5" i="14"/>
  <c r="O5" i="14" s="1"/>
  <c r="I5" i="14"/>
  <c r="F5" i="14"/>
  <c r="H5" i="14" s="1"/>
  <c r="T4" i="14"/>
  <c r="S4" i="14"/>
  <c r="R4" i="14"/>
  <c r="N4" i="14"/>
  <c r="L4" i="14"/>
  <c r="M4" i="14" s="1"/>
  <c r="O4" i="14" s="1"/>
  <c r="F4" i="14"/>
  <c r="H4" i="14" s="1"/>
  <c r="S3" i="14"/>
  <c r="T3" i="14" s="1"/>
  <c r="R3" i="14"/>
  <c r="W3" i="14" s="1"/>
  <c r="N3" i="14"/>
  <c r="L3" i="14"/>
  <c r="M3" i="14" s="1"/>
  <c r="O3" i="14" s="1"/>
  <c r="I3" i="14"/>
  <c r="F3" i="14"/>
  <c r="H3" i="14" s="1"/>
  <c r="S2" i="14"/>
  <c r="T2" i="14" s="1"/>
  <c r="R2" i="14"/>
  <c r="N2" i="14"/>
  <c r="L2" i="14"/>
  <c r="M2" i="14" s="1"/>
  <c r="O2" i="14" s="1"/>
  <c r="I2" i="14"/>
  <c r="F2" i="14"/>
  <c r="H2" i="14" s="1"/>
  <c r="H18" i="13"/>
  <c r="I18" i="13" s="1"/>
  <c r="B18" i="13"/>
  <c r="C18" i="13" s="1"/>
  <c r="J18" i="13" s="1"/>
  <c r="I17" i="13"/>
  <c r="H17" i="13"/>
  <c r="C17" i="13"/>
  <c r="J17" i="13" s="1"/>
  <c r="B17" i="13"/>
  <c r="I16" i="13"/>
  <c r="H16" i="13"/>
  <c r="C16" i="13"/>
  <c r="J16" i="13" s="1"/>
  <c r="B16" i="13"/>
  <c r="T9" i="13"/>
  <c r="S9" i="13"/>
  <c r="R9" i="13"/>
  <c r="N9" i="13"/>
  <c r="I9" i="13"/>
  <c r="F9" i="13"/>
  <c r="H9" i="13" s="1"/>
  <c r="S8" i="13"/>
  <c r="T8" i="13" s="1"/>
  <c r="R8" i="13"/>
  <c r="N8" i="13"/>
  <c r="M8" i="13"/>
  <c r="O8" i="13" s="1"/>
  <c r="I8" i="13"/>
  <c r="F8" i="13"/>
  <c r="H8" i="13" s="1"/>
  <c r="T7" i="13"/>
  <c r="S7" i="13"/>
  <c r="R7" i="13"/>
  <c r="W7" i="13" s="1"/>
  <c r="O7" i="13"/>
  <c r="N7" i="13"/>
  <c r="M7" i="13"/>
  <c r="I7" i="13"/>
  <c r="F7" i="13"/>
  <c r="H7" i="13" s="1"/>
  <c r="S6" i="13"/>
  <c r="T6" i="13" s="1"/>
  <c r="R6" i="13"/>
  <c r="W6" i="13" s="1"/>
  <c r="N6" i="13"/>
  <c r="M6" i="13"/>
  <c r="O6" i="13" s="1"/>
  <c r="I6" i="13"/>
  <c r="F6" i="13"/>
  <c r="H6" i="13" s="1"/>
  <c r="C6" i="13"/>
  <c r="S5" i="13"/>
  <c r="T5" i="13" s="1"/>
  <c r="R5" i="13"/>
  <c r="W5" i="13" s="1"/>
  <c r="N5" i="13"/>
  <c r="M5" i="13"/>
  <c r="O5" i="13" s="1"/>
  <c r="H5" i="13"/>
  <c r="F5" i="13"/>
  <c r="S4" i="13"/>
  <c r="T4" i="13" s="1"/>
  <c r="R4" i="13"/>
  <c r="N4" i="13"/>
  <c r="M4" i="13"/>
  <c r="O4" i="13" s="1"/>
  <c r="L4" i="13"/>
  <c r="F4" i="13"/>
  <c r="H4" i="13" s="1"/>
  <c r="C4" i="13"/>
  <c r="S3" i="13"/>
  <c r="T3" i="13" s="1"/>
  <c r="R3" i="13"/>
  <c r="N3" i="13"/>
  <c r="L3" i="13"/>
  <c r="M3" i="13" s="1"/>
  <c r="O3" i="13" s="1"/>
  <c r="I3" i="13"/>
  <c r="F3" i="13"/>
  <c r="H3" i="13" s="1"/>
  <c r="W2" i="13"/>
  <c r="T2" i="13"/>
  <c r="S2" i="13"/>
  <c r="R2" i="13"/>
  <c r="N2" i="13"/>
  <c r="L2" i="13"/>
  <c r="M2" i="13" s="1"/>
  <c r="O2" i="13" s="1"/>
  <c r="I2" i="13"/>
  <c r="F2" i="13"/>
  <c r="H2" i="13" s="1"/>
  <c r="H10" i="13" s="1"/>
  <c r="J19" i="12"/>
  <c r="B18" i="12"/>
  <c r="C18" i="12" s="1"/>
  <c r="J18" i="12" s="1"/>
  <c r="H18" i="12"/>
  <c r="I18" i="12" s="1"/>
  <c r="H17" i="12"/>
  <c r="I17" i="12" s="1"/>
  <c r="C17" i="12"/>
  <c r="B17" i="12"/>
  <c r="I16" i="12"/>
  <c r="H16" i="12"/>
  <c r="B16" i="12"/>
  <c r="C16" i="12" s="1"/>
  <c r="J16" i="12" s="1"/>
  <c r="R9" i="11"/>
  <c r="W9" i="11" s="1"/>
  <c r="W11" i="11" s="1"/>
  <c r="W3" i="12"/>
  <c r="W4" i="12"/>
  <c r="W5" i="12"/>
  <c r="W6" i="12"/>
  <c r="W7" i="12"/>
  <c r="W8" i="12"/>
  <c r="W9" i="12"/>
  <c r="W2" i="12"/>
  <c r="R9" i="12"/>
  <c r="R3" i="12"/>
  <c r="R4" i="12"/>
  <c r="R5" i="12"/>
  <c r="R6" i="12"/>
  <c r="R7" i="12"/>
  <c r="R8" i="12"/>
  <c r="R2" i="12"/>
  <c r="O10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N3" i="12"/>
  <c r="N4" i="12"/>
  <c r="N5" i="12"/>
  <c r="N6" i="12"/>
  <c r="N7" i="12"/>
  <c r="N8" i="12"/>
  <c r="N9" i="12"/>
  <c r="N2" i="12"/>
  <c r="M4" i="12"/>
  <c r="O4" i="12" s="1"/>
  <c r="M5" i="12"/>
  <c r="O5" i="12" s="1"/>
  <c r="M6" i="12"/>
  <c r="O6" i="12" s="1"/>
  <c r="M7" i="12"/>
  <c r="O7" i="12" s="1"/>
  <c r="M2" i="12"/>
  <c r="O2" i="12" s="1"/>
  <c r="L9" i="12"/>
  <c r="M9" i="12" s="1"/>
  <c r="O9" i="12" s="1"/>
  <c r="L8" i="12"/>
  <c r="M8" i="12" s="1"/>
  <c r="O8" i="12" s="1"/>
  <c r="L4" i="12"/>
  <c r="L3" i="12"/>
  <c r="M3" i="12" s="1"/>
  <c r="O3" i="12" s="1"/>
  <c r="L2" i="12"/>
  <c r="I9" i="12"/>
  <c r="I8" i="12"/>
  <c r="I7" i="12"/>
  <c r="I6" i="12"/>
  <c r="I3" i="12"/>
  <c r="I2" i="12"/>
  <c r="H3" i="12"/>
  <c r="H4" i="12"/>
  <c r="H5" i="12"/>
  <c r="H6" i="12"/>
  <c r="H7" i="12"/>
  <c r="H8" i="12"/>
  <c r="H9" i="12"/>
  <c r="H2" i="12"/>
  <c r="F3" i="12"/>
  <c r="F4" i="12"/>
  <c r="F5" i="12"/>
  <c r="F6" i="12"/>
  <c r="F7" i="12"/>
  <c r="F8" i="12"/>
  <c r="F9" i="12"/>
  <c r="F2" i="12"/>
  <c r="C6" i="12"/>
  <c r="C4" i="12"/>
  <c r="J20" i="11"/>
  <c r="J18" i="11"/>
  <c r="J19" i="11"/>
  <c r="J17" i="11"/>
  <c r="I18" i="11"/>
  <c r="I19" i="11"/>
  <c r="I17" i="11"/>
  <c r="H18" i="11"/>
  <c r="H19" i="11"/>
  <c r="H17" i="11"/>
  <c r="C18" i="11"/>
  <c r="C19" i="11"/>
  <c r="C17" i="11"/>
  <c r="B19" i="11"/>
  <c r="B18" i="11"/>
  <c r="B17" i="11"/>
  <c r="O11" i="11"/>
  <c r="T4" i="11"/>
  <c r="T6" i="11"/>
  <c r="T8" i="11"/>
  <c r="T10" i="11"/>
  <c r="S3" i="11"/>
  <c r="T3" i="11" s="1"/>
  <c r="S4" i="11"/>
  <c r="S5" i="11"/>
  <c r="T5" i="11" s="1"/>
  <c r="S6" i="11"/>
  <c r="S7" i="11"/>
  <c r="T7" i="11" s="1"/>
  <c r="W7" i="11" s="1"/>
  <c r="S8" i="11"/>
  <c r="S9" i="11"/>
  <c r="T9" i="11" s="1"/>
  <c r="S10" i="11"/>
  <c r="S2" i="11"/>
  <c r="T2" i="11" s="1"/>
  <c r="W2" i="11" s="1"/>
  <c r="R3" i="11"/>
  <c r="W3" i="11" s="1"/>
  <c r="R4" i="11"/>
  <c r="W4" i="11" s="1"/>
  <c r="R5" i="11"/>
  <c r="W5" i="11" s="1"/>
  <c r="R6" i="11"/>
  <c r="W6" i="11" s="1"/>
  <c r="R7" i="11"/>
  <c r="R8" i="11"/>
  <c r="W8" i="11" s="1"/>
  <c r="R10" i="11"/>
  <c r="W10" i="11" s="1"/>
  <c r="R2" i="11"/>
  <c r="O3" i="11"/>
  <c r="O6" i="11"/>
  <c r="O7" i="11"/>
  <c r="O10" i="11"/>
  <c r="N3" i="11"/>
  <c r="N4" i="11"/>
  <c r="N5" i="11"/>
  <c r="N6" i="11"/>
  <c r="N7" i="11"/>
  <c r="N8" i="11"/>
  <c r="N9" i="11"/>
  <c r="N10" i="11"/>
  <c r="N2" i="11"/>
  <c r="M3" i="11"/>
  <c r="M4" i="11"/>
  <c r="O4" i="11" s="1"/>
  <c r="M5" i="11"/>
  <c r="O5" i="11" s="1"/>
  <c r="M6" i="11"/>
  <c r="M7" i="11"/>
  <c r="M9" i="11"/>
  <c r="O9" i="11" s="1"/>
  <c r="M10" i="11"/>
  <c r="L9" i="11"/>
  <c r="L8" i="11"/>
  <c r="M8" i="11" s="1"/>
  <c r="O8" i="11" s="1"/>
  <c r="L7" i="11"/>
  <c r="L4" i="11"/>
  <c r="L3" i="11"/>
  <c r="L2" i="11"/>
  <c r="M2" i="11" s="1"/>
  <c r="O2" i="11" s="1"/>
  <c r="I9" i="11"/>
  <c r="I8" i="11"/>
  <c r="I7" i="11"/>
  <c r="I6" i="11"/>
  <c r="I5" i="11"/>
  <c r="I3" i="11"/>
  <c r="I2" i="11"/>
  <c r="H3" i="11"/>
  <c r="H5" i="11"/>
  <c r="H7" i="11"/>
  <c r="H9" i="11"/>
  <c r="H2" i="11"/>
  <c r="F3" i="11"/>
  <c r="F4" i="11"/>
  <c r="H4" i="11" s="1"/>
  <c r="F5" i="11"/>
  <c r="F6" i="11"/>
  <c r="H6" i="11" s="1"/>
  <c r="F7" i="11"/>
  <c r="F8" i="11"/>
  <c r="H8" i="11" s="1"/>
  <c r="F9" i="11"/>
  <c r="F10" i="11"/>
  <c r="H10" i="11" s="1"/>
  <c r="F2" i="11"/>
  <c r="D5" i="10"/>
  <c r="D4" i="10"/>
  <c r="D3" i="10"/>
  <c r="C8" i="10"/>
  <c r="C6" i="10"/>
  <c r="H19" i="10"/>
  <c r="I19" i="10" s="1"/>
  <c r="B19" i="10"/>
  <c r="C19" i="10" s="1"/>
  <c r="J19" i="10" s="1"/>
  <c r="H18" i="10"/>
  <c r="I18" i="10" s="1"/>
  <c r="C18" i="10"/>
  <c r="J18" i="10" s="1"/>
  <c r="J20" i="10" s="1"/>
  <c r="B18" i="10"/>
  <c r="S10" i="10"/>
  <c r="T10" i="10" s="1"/>
  <c r="R10" i="10"/>
  <c r="N10" i="10"/>
  <c r="L10" i="10"/>
  <c r="M10" i="10" s="1"/>
  <c r="O10" i="10" s="1"/>
  <c r="I10" i="10"/>
  <c r="F10" i="10"/>
  <c r="H10" i="10" s="1"/>
  <c r="S9" i="10"/>
  <c r="T9" i="10" s="1"/>
  <c r="R9" i="10"/>
  <c r="N9" i="10"/>
  <c r="L9" i="10"/>
  <c r="M9" i="10" s="1"/>
  <c r="O9" i="10" s="1"/>
  <c r="I9" i="10"/>
  <c r="F9" i="10"/>
  <c r="H9" i="10" s="1"/>
  <c r="S8" i="10"/>
  <c r="T8" i="10" s="1"/>
  <c r="W8" i="10" s="1"/>
  <c r="R8" i="10"/>
  <c r="O8" i="10"/>
  <c r="N8" i="10"/>
  <c r="M8" i="10"/>
  <c r="I8" i="10"/>
  <c r="F8" i="10"/>
  <c r="H8" i="10" s="1"/>
  <c r="T7" i="10"/>
  <c r="W7" i="10" s="1"/>
  <c r="S7" i="10"/>
  <c r="R7" i="10"/>
  <c r="N7" i="10"/>
  <c r="O7" i="10" s="1"/>
  <c r="M7" i="10"/>
  <c r="F7" i="10"/>
  <c r="H7" i="10" s="1"/>
  <c r="S6" i="10"/>
  <c r="T6" i="10" s="1"/>
  <c r="W6" i="10" s="1"/>
  <c r="R6" i="10"/>
  <c r="N6" i="10"/>
  <c r="L6" i="10"/>
  <c r="M6" i="10" s="1"/>
  <c r="O6" i="10" s="1"/>
  <c r="H6" i="10"/>
  <c r="F6" i="10"/>
  <c r="T5" i="10"/>
  <c r="W5" i="10" s="1"/>
  <c r="S5" i="10"/>
  <c r="R5" i="10"/>
  <c r="N5" i="10"/>
  <c r="O5" i="10" s="1"/>
  <c r="M5" i="10"/>
  <c r="F5" i="10"/>
  <c r="H5" i="10" s="1"/>
  <c r="S4" i="10"/>
  <c r="T4" i="10" s="1"/>
  <c r="W4" i="10" s="1"/>
  <c r="R4" i="10"/>
  <c r="N4" i="10"/>
  <c r="L4" i="10"/>
  <c r="M4" i="10" s="1"/>
  <c r="O4" i="10" s="1"/>
  <c r="H4" i="10"/>
  <c r="F4" i="10"/>
  <c r="S3" i="10"/>
  <c r="T3" i="10" s="1"/>
  <c r="W3" i="10" s="1"/>
  <c r="R3" i="10"/>
  <c r="N3" i="10"/>
  <c r="L3" i="10"/>
  <c r="M3" i="10" s="1"/>
  <c r="O3" i="10" s="1"/>
  <c r="I3" i="10"/>
  <c r="F3" i="10"/>
  <c r="H3" i="10" s="1"/>
  <c r="S2" i="10"/>
  <c r="T2" i="10" s="1"/>
  <c r="R2" i="10"/>
  <c r="N2" i="10"/>
  <c r="L2" i="10"/>
  <c r="M2" i="10" s="1"/>
  <c r="O2" i="10" s="1"/>
  <c r="F2" i="10"/>
  <c r="H2" i="10" s="1"/>
  <c r="D7" i="9"/>
  <c r="D6" i="9"/>
  <c r="F6" i="9" s="1"/>
  <c r="H6" i="9" s="1"/>
  <c r="D3" i="9"/>
  <c r="R3" i="9" s="1"/>
  <c r="D2" i="9"/>
  <c r="L2" i="9" s="1"/>
  <c r="M2" i="9" s="1"/>
  <c r="O2" i="9" s="1"/>
  <c r="C9" i="9"/>
  <c r="C4" i="9"/>
  <c r="G22" i="9"/>
  <c r="H22" i="9" s="1"/>
  <c r="G21" i="9"/>
  <c r="H21" i="9" s="1"/>
  <c r="G20" i="9"/>
  <c r="H20" i="9" s="1"/>
  <c r="B17" i="9"/>
  <c r="B22" i="9" s="1"/>
  <c r="B16" i="9"/>
  <c r="B21" i="9" s="1"/>
  <c r="B15" i="9"/>
  <c r="B20" i="9" s="1"/>
  <c r="V10" i="9"/>
  <c r="S10" i="9"/>
  <c r="T10" i="9" s="1"/>
  <c r="R10" i="9"/>
  <c r="N10" i="9"/>
  <c r="L10" i="9"/>
  <c r="M10" i="9" s="1"/>
  <c r="O10" i="9" s="1"/>
  <c r="I10" i="9"/>
  <c r="F10" i="9"/>
  <c r="H10" i="9" s="1"/>
  <c r="V9" i="9"/>
  <c r="S9" i="9"/>
  <c r="T9" i="9" s="1"/>
  <c r="W9" i="9" s="1"/>
  <c r="R9" i="9"/>
  <c r="N9" i="9"/>
  <c r="L9" i="9"/>
  <c r="M9" i="9" s="1"/>
  <c r="O9" i="9" s="1"/>
  <c r="I9" i="9"/>
  <c r="F9" i="9"/>
  <c r="H9" i="9" s="1"/>
  <c r="V8" i="9"/>
  <c r="S8" i="9"/>
  <c r="T8" i="9" s="1"/>
  <c r="R8" i="9"/>
  <c r="N8" i="9"/>
  <c r="L8" i="9"/>
  <c r="M8" i="9" s="1"/>
  <c r="O8" i="9" s="1"/>
  <c r="I8" i="9"/>
  <c r="F8" i="9"/>
  <c r="H8" i="9" s="1"/>
  <c r="V7" i="9"/>
  <c r="S7" i="9"/>
  <c r="T7" i="9" s="1"/>
  <c r="R7" i="9"/>
  <c r="N7" i="9"/>
  <c r="L7" i="9"/>
  <c r="M7" i="9" s="1"/>
  <c r="O7" i="9" s="1"/>
  <c r="F7" i="9"/>
  <c r="H7" i="9" s="1"/>
  <c r="V6" i="9"/>
  <c r="S6" i="9"/>
  <c r="T6" i="9" s="1"/>
  <c r="R6" i="9"/>
  <c r="N6" i="9"/>
  <c r="L6" i="9"/>
  <c r="M6" i="9" s="1"/>
  <c r="O6" i="9" s="1"/>
  <c r="I6" i="9"/>
  <c r="V5" i="9"/>
  <c r="S5" i="9"/>
  <c r="T5" i="9" s="1"/>
  <c r="R5" i="9"/>
  <c r="N5" i="9"/>
  <c r="L5" i="9"/>
  <c r="M5" i="9" s="1"/>
  <c r="O5" i="9" s="1"/>
  <c r="F5" i="9"/>
  <c r="H5" i="9" s="1"/>
  <c r="V4" i="9"/>
  <c r="S4" i="9"/>
  <c r="T4" i="9" s="1"/>
  <c r="R4" i="9"/>
  <c r="N4" i="9"/>
  <c r="L4" i="9"/>
  <c r="M4" i="9" s="1"/>
  <c r="O4" i="9" s="1"/>
  <c r="F4" i="9"/>
  <c r="H4" i="9" s="1"/>
  <c r="V3" i="9"/>
  <c r="S3" i="9"/>
  <c r="T3" i="9" s="1"/>
  <c r="N3" i="9"/>
  <c r="L3" i="9"/>
  <c r="M3" i="9" s="1"/>
  <c r="O3" i="9" s="1"/>
  <c r="F3" i="9"/>
  <c r="H3" i="9" s="1"/>
  <c r="V2" i="9"/>
  <c r="S2" i="9"/>
  <c r="T2" i="9" s="1"/>
  <c r="N2" i="9"/>
  <c r="F2" i="9"/>
  <c r="H2" i="9" s="1"/>
  <c r="D8" i="8"/>
  <c r="R8" i="8" s="1"/>
  <c r="D10" i="8"/>
  <c r="M10" i="8" s="1"/>
  <c r="O10" i="8" s="1"/>
  <c r="D7" i="8"/>
  <c r="L7" i="8" s="1"/>
  <c r="M7" i="8" s="1"/>
  <c r="D6" i="8"/>
  <c r="D3" i="8"/>
  <c r="R3" i="8" s="1"/>
  <c r="C10" i="8"/>
  <c r="C4" i="8"/>
  <c r="I17" i="8"/>
  <c r="K17" i="8" s="1"/>
  <c r="H17" i="8"/>
  <c r="J17" i="8" s="1"/>
  <c r="B17" i="8"/>
  <c r="I16" i="8"/>
  <c r="K16" i="8" s="1"/>
  <c r="H16" i="8"/>
  <c r="J16" i="8" s="1"/>
  <c r="B16" i="8"/>
  <c r="I15" i="8"/>
  <c r="K15" i="8" s="1"/>
  <c r="H15" i="8"/>
  <c r="J15" i="8" s="1"/>
  <c r="E15" i="8"/>
  <c r="B15" i="8"/>
  <c r="V10" i="8"/>
  <c r="S10" i="8"/>
  <c r="T10" i="8" s="1"/>
  <c r="R10" i="8"/>
  <c r="N10" i="8"/>
  <c r="F10" i="8"/>
  <c r="H10" i="8" s="1"/>
  <c r="V9" i="8"/>
  <c r="S9" i="8"/>
  <c r="T9" i="8" s="1"/>
  <c r="R9" i="8"/>
  <c r="N9" i="8"/>
  <c r="L9" i="8"/>
  <c r="M9" i="8" s="1"/>
  <c r="O9" i="8" s="1"/>
  <c r="F9" i="8"/>
  <c r="H9" i="8" s="1"/>
  <c r="V8" i="8"/>
  <c r="S8" i="8"/>
  <c r="T8" i="8" s="1"/>
  <c r="N8" i="8"/>
  <c r="V7" i="8"/>
  <c r="S7" i="8"/>
  <c r="T7" i="8" s="1"/>
  <c r="N7" i="8"/>
  <c r="V6" i="8"/>
  <c r="S6" i="8"/>
  <c r="T6" i="8" s="1"/>
  <c r="R6" i="8"/>
  <c r="N6" i="8"/>
  <c r="M6" i="8"/>
  <c r="O6" i="8" s="1"/>
  <c r="F6" i="8"/>
  <c r="H6" i="8" s="1"/>
  <c r="V5" i="8"/>
  <c r="S5" i="8"/>
  <c r="T5" i="8" s="1"/>
  <c r="R5" i="8"/>
  <c r="N5" i="8"/>
  <c r="M5" i="8"/>
  <c r="O5" i="8" s="1"/>
  <c r="F5" i="8"/>
  <c r="H5" i="8" s="1"/>
  <c r="V4" i="8"/>
  <c r="S4" i="8"/>
  <c r="T4" i="8" s="1"/>
  <c r="R4" i="8"/>
  <c r="N4" i="8"/>
  <c r="L4" i="8"/>
  <c r="M4" i="8" s="1"/>
  <c r="O4" i="8" s="1"/>
  <c r="F4" i="8"/>
  <c r="H4" i="8" s="1"/>
  <c r="V3" i="8"/>
  <c r="S3" i="8"/>
  <c r="T3" i="8" s="1"/>
  <c r="N3" i="8"/>
  <c r="V2" i="8"/>
  <c r="S2" i="8"/>
  <c r="T2" i="8" s="1"/>
  <c r="R2" i="8"/>
  <c r="N2" i="8"/>
  <c r="L2" i="8"/>
  <c r="M2" i="8" s="1"/>
  <c r="O2" i="8" s="1"/>
  <c r="G2" i="8"/>
  <c r="F2" i="8"/>
  <c r="L7" i="7"/>
  <c r="M7" i="7" s="1"/>
  <c r="B17" i="6"/>
  <c r="B17" i="7"/>
  <c r="L5" i="7"/>
  <c r="M5" i="7" s="1"/>
  <c r="O5" i="7" s="1"/>
  <c r="M6" i="7"/>
  <c r="M9" i="7"/>
  <c r="M10" i="7"/>
  <c r="L2" i="7"/>
  <c r="D8" i="7"/>
  <c r="R8" i="7" s="1"/>
  <c r="D7" i="7"/>
  <c r="D6" i="7"/>
  <c r="D3" i="7"/>
  <c r="L3" i="7" s="1"/>
  <c r="M3" i="7" s="1"/>
  <c r="O3" i="7" s="1"/>
  <c r="D2" i="7"/>
  <c r="F2" i="7" s="1"/>
  <c r="H2" i="7" s="1"/>
  <c r="I4" i="6"/>
  <c r="I5" i="6"/>
  <c r="I6" i="6"/>
  <c r="I7" i="6"/>
  <c r="I8" i="6"/>
  <c r="I9" i="6"/>
  <c r="I10" i="6"/>
  <c r="I3" i="6"/>
  <c r="T3" i="6"/>
  <c r="T7" i="6"/>
  <c r="W7" i="6" s="1"/>
  <c r="T10" i="6"/>
  <c r="T2" i="6"/>
  <c r="S3" i="6"/>
  <c r="S4" i="6"/>
  <c r="T4" i="6" s="1"/>
  <c r="S5" i="6"/>
  <c r="T5" i="6" s="1"/>
  <c r="S6" i="6"/>
  <c r="T6" i="6" s="1"/>
  <c r="S7" i="6"/>
  <c r="S8" i="6"/>
  <c r="T8" i="6" s="1"/>
  <c r="S9" i="6"/>
  <c r="T9" i="6" s="1"/>
  <c r="S10" i="6"/>
  <c r="R3" i="6"/>
  <c r="R4" i="6"/>
  <c r="R5" i="6"/>
  <c r="R6" i="6"/>
  <c r="R7" i="6"/>
  <c r="R8" i="6"/>
  <c r="R9" i="6"/>
  <c r="R10" i="6"/>
  <c r="W10" i="6" s="1"/>
  <c r="S2" i="6"/>
  <c r="R2" i="6"/>
  <c r="M3" i="6"/>
  <c r="O3" i="6" s="1"/>
  <c r="M5" i="6"/>
  <c r="O5" i="6" s="1"/>
  <c r="M7" i="6"/>
  <c r="O7" i="6" s="1"/>
  <c r="M8" i="6"/>
  <c r="O8" i="6" s="1"/>
  <c r="M9" i="6"/>
  <c r="O9" i="6" s="1"/>
  <c r="G22" i="7"/>
  <c r="H22" i="7" s="1"/>
  <c r="G21" i="7"/>
  <c r="H21" i="7" s="1"/>
  <c r="G20" i="7"/>
  <c r="H20" i="7" s="1"/>
  <c r="B22" i="7"/>
  <c r="B16" i="7"/>
  <c r="B21" i="7" s="1"/>
  <c r="B15" i="7"/>
  <c r="B20" i="7" s="1"/>
  <c r="V10" i="7"/>
  <c r="S10" i="7"/>
  <c r="T10" i="7" s="1"/>
  <c r="R10" i="7"/>
  <c r="N10" i="7"/>
  <c r="I10" i="7"/>
  <c r="F10" i="7"/>
  <c r="H10" i="7" s="1"/>
  <c r="V9" i="7"/>
  <c r="S9" i="7"/>
  <c r="T9" i="7" s="1"/>
  <c r="R9" i="7"/>
  <c r="N9" i="7"/>
  <c r="I9" i="7"/>
  <c r="F9" i="7"/>
  <c r="H9" i="7" s="1"/>
  <c r="V8" i="7"/>
  <c r="S8" i="7"/>
  <c r="T8" i="7" s="1"/>
  <c r="N8" i="7"/>
  <c r="V7" i="7"/>
  <c r="S7" i="7"/>
  <c r="T7" i="7" s="1"/>
  <c r="R7" i="7"/>
  <c r="N7" i="7"/>
  <c r="F7" i="7"/>
  <c r="H7" i="7" s="1"/>
  <c r="V6" i="7"/>
  <c r="S6" i="7"/>
  <c r="T6" i="7" s="1"/>
  <c r="R6" i="7"/>
  <c r="N6" i="7"/>
  <c r="I6" i="7"/>
  <c r="F6" i="7"/>
  <c r="H6" i="7" s="1"/>
  <c r="V5" i="7"/>
  <c r="S5" i="7"/>
  <c r="T5" i="7" s="1"/>
  <c r="R5" i="7"/>
  <c r="N5" i="7"/>
  <c r="F5" i="7"/>
  <c r="H5" i="7" s="1"/>
  <c r="V4" i="7"/>
  <c r="S4" i="7"/>
  <c r="T4" i="7" s="1"/>
  <c r="R4" i="7"/>
  <c r="N4" i="7"/>
  <c r="F4" i="7"/>
  <c r="H4" i="7" s="1"/>
  <c r="V3" i="7"/>
  <c r="S3" i="7"/>
  <c r="T3" i="7" s="1"/>
  <c r="R3" i="7"/>
  <c r="N3" i="7"/>
  <c r="F3" i="7"/>
  <c r="H3" i="7" s="1"/>
  <c r="V2" i="7"/>
  <c r="S2" i="7"/>
  <c r="T2" i="7" s="1"/>
  <c r="R2" i="7"/>
  <c r="N2" i="7"/>
  <c r="B19" i="5"/>
  <c r="C19" i="5" s="1"/>
  <c r="J19" i="5" s="1"/>
  <c r="J20" i="5" s="1"/>
  <c r="J17" i="6"/>
  <c r="J18" i="6" s="1"/>
  <c r="J16" i="6"/>
  <c r="C17" i="6"/>
  <c r="H17" i="6"/>
  <c r="I17" i="6" s="1"/>
  <c r="H16" i="6"/>
  <c r="I16" i="6" s="1"/>
  <c r="C16" i="6"/>
  <c r="B16" i="6"/>
  <c r="H3" i="6"/>
  <c r="H4" i="6"/>
  <c r="H5" i="6"/>
  <c r="H6" i="6"/>
  <c r="H7" i="6"/>
  <c r="H8" i="6"/>
  <c r="H9" i="6"/>
  <c r="H10" i="6"/>
  <c r="H2" i="6"/>
  <c r="N10" i="6"/>
  <c r="L10" i="6"/>
  <c r="M10" i="6" s="1"/>
  <c r="O10" i="6" s="1"/>
  <c r="N9" i="6"/>
  <c r="L9" i="6"/>
  <c r="N8" i="6"/>
  <c r="N7" i="6"/>
  <c r="N6" i="6"/>
  <c r="N5" i="6"/>
  <c r="N4" i="6"/>
  <c r="N3" i="6"/>
  <c r="N2" i="6"/>
  <c r="L2" i="6"/>
  <c r="M2" i="6" s="1"/>
  <c r="O2" i="6" s="1"/>
  <c r="J18" i="5"/>
  <c r="I19" i="5"/>
  <c r="I18" i="5"/>
  <c r="H19" i="5"/>
  <c r="H18" i="5"/>
  <c r="C18" i="5"/>
  <c r="B18" i="5"/>
  <c r="T4" i="5"/>
  <c r="W4" i="5" s="1"/>
  <c r="T6" i="5"/>
  <c r="W6" i="5" s="1"/>
  <c r="S3" i="5"/>
  <c r="T3" i="5" s="1"/>
  <c r="W3" i="5" s="1"/>
  <c r="S4" i="5"/>
  <c r="S5" i="5"/>
  <c r="T5" i="5" s="1"/>
  <c r="S6" i="5"/>
  <c r="S7" i="5"/>
  <c r="T7" i="5" s="1"/>
  <c r="W7" i="5" s="1"/>
  <c r="S8" i="5"/>
  <c r="T8" i="5" s="1"/>
  <c r="W8" i="5" s="1"/>
  <c r="S9" i="5"/>
  <c r="T9" i="5" s="1"/>
  <c r="W9" i="5" s="1"/>
  <c r="S10" i="5"/>
  <c r="T10" i="5" s="1"/>
  <c r="W10" i="5" s="1"/>
  <c r="S2" i="5"/>
  <c r="T2" i="5" s="1"/>
  <c r="W2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O3" i="5"/>
  <c r="N3" i="5"/>
  <c r="N4" i="5"/>
  <c r="N5" i="5"/>
  <c r="N6" i="5"/>
  <c r="N7" i="5"/>
  <c r="N8" i="5"/>
  <c r="N9" i="5"/>
  <c r="N10" i="5"/>
  <c r="N2" i="5"/>
  <c r="N2" i="3"/>
  <c r="N3" i="3"/>
  <c r="N4" i="3"/>
  <c r="N5" i="3"/>
  <c r="N6" i="3"/>
  <c r="N7" i="3"/>
  <c r="N8" i="3"/>
  <c r="N9" i="3"/>
  <c r="N10" i="3"/>
  <c r="M3" i="5"/>
  <c r="M5" i="5"/>
  <c r="O5" i="5" s="1"/>
  <c r="M7" i="5"/>
  <c r="O7" i="5" s="1"/>
  <c r="M8" i="5"/>
  <c r="O8" i="5" s="1"/>
  <c r="L10" i="5"/>
  <c r="M10" i="5" s="1"/>
  <c r="O10" i="5" s="1"/>
  <c r="L9" i="5"/>
  <c r="M9" i="5" s="1"/>
  <c r="O9" i="5" s="1"/>
  <c r="L6" i="5"/>
  <c r="M6" i="5" s="1"/>
  <c r="O6" i="5" s="1"/>
  <c r="L4" i="5"/>
  <c r="M4" i="5" s="1"/>
  <c r="O4" i="5" s="1"/>
  <c r="L2" i="5"/>
  <c r="M2" i="5" s="1"/>
  <c r="O2" i="5" s="1"/>
  <c r="O11" i="5" s="1"/>
  <c r="N35" i="5" s="1"/>
  <c r="L3" i="5"/>
  <c r="I10" i="5"/>
  <c r="I9" i="5"/>
  <c r="I9" i="3"/>
  <c r="I8" i="5"/>
  <c r="I3" i="5"/>
  <c r="H4" i="5"/>
  <c r="H5" i="5"/>
  <c r="H9" i="5"/>
  <c r="F3" i="5"/>
  <c r="H3" i="5" s="1"/>
  <c r="F4" i="5"/>
  <c r="F5" i="5"/>
  <c r="F6" i="5"/>
  <c r="H6" i="5" s="1"/>
  <c r="F7" i="5"/>
  <c r="H7" i="5" s="1"/>
  <c r="F8" i="5"/>
  <c r="H8" i="5" s="1"/>
  <c r="F9" i="5"/>
  <c r="F10" i="5"/>
  <c r="H10" i="5" s="1"/>
  <c r="F2" i="5"/>
  <c r="H2" i="5" s="1"/>
  <c r="C8" i="5"/>
  <c r="C6" i="5"/>
  <c r="W4" i="6" l="1"/>
  <c r="W8" i="6"/>
  <c r="AB7" i="6"/>
  <c r="AA7" i="6"/>
  <c r="AB8" i="6"/>
  <c r="AA8" i="6"/>
  <c r="AB6" i="6"/>
  <c r="AA6" i="6"/>
  <c r="W6" i="6"/>
  <c r="AB2" i="6"/>
  <c r="AA2" i="6"/>
  <c r="AB3" i="6"/>
  <c r="AA3" i="6"/>
  <c r="AA10" i="6"/>
  <c r="AB10" i="6"/>
  <c r="AB5" i="6"/>
  <c r="AA5" i="6"/>
  <c r="AA4" i="6"/>
  <c r="AB4" i="6"/>
  <c r="AA9" i="6"/>
  <c r="AB9" i="6"/>
  <c r="W9" i="6"/>
  <c r="AA10" i="9"/>
  <c r="AB10" i="9"/>
  <c r="AB4" i="9"/>
  <c r="AA4" i="9"/>
  <c r="AB9" i="9"/>
  <c r="AA9" i="9"/>
  <c r="AB7" i="9"/>
  <c r="AA7" i="9"/>
  <c r="AA3" i="9"/>
  <c r="AB3" i="9"/>
  <c r="AB6" i="9"/>
  <c r="AA6" i="9"/>
  <c r="AB5" i="9"/>
  <c r="AA5" i="9"/>
  <c r="AB8" i="9"/>
  <c r="AA8" i="9"/>
  <c r="W6" i="9"/>
  <c r="W5" i="9"/>
  <c r="AB9" i="8"/>
  <c r="AA9" i="8"/>
  <c r="AB6" i="8"/>
  <c r="AA6" i="8"/>
  <c r="AB3" i="8"/>
  <c r="AA3" i="8"/>
  <c r="AB4" i="8"/>
  <c r="AA4" i="8"/>
  <c r="AB10" i="8"/>
  <c r="AA10" i="8"/>
  <c r="AB5" i="8"/>
  <c r="AA5" i="8"/>
  <c r="AB8" i="8"/>
  <c r="AA8" i="8"/>
  <c r="AB2" i="8"/>
  <c r="AA2" i="8"/>
  <c r="W5" i="8"/>
  <c r="O4" i="7"/>
  <c r="I8" i="7"/>
  <c r="O7" i="7"/>
  <c r="O10" i="7"/>
  <c r="O9" i="7"/>
  <c r="O6" i="7"/>
  <c r="W5" i="6"/>
  <c r="W2" i="6"/>
  <c r="W3" i="6"/>
  <c r="H11" i="5"/>
  <c r="N34" i="5" s="1"/>
  <c r="W11" i="5"/>
  <c r="N36" i="5" s="1"/>
  <c r="W5" i="5"/>
  <c r="H10" i="12"/>
  <c r="H11" i="6"/>
  <c r="N21" i="6"/>
  <c r="K33" i="16"/>
  <c r="I33" i="16"/>
  <c r="M23" i="15"/>
  <c r="M24" i="15"/>
  <c r="P22" i="13"/>
  <c r="P24" i="13" s="1"/>
  <c r="M25" i="10"/>
  <c r="L3" i="8"/>
  <c r="M3" i="8" s="1"/>
  <c r="O3" i="8" s="1"/>
  <c r="L16" i="8"/>
  <c r="O7" i="8"/>
  <c r="W3" i="8"/>
  <c r="F3" i="8"/>
  <c r="H3" i="8" s="1"/>
  <c r="F8" i="8"/>
  <c r="H8" i="8" s="1"/>
  <c r="L15" i="8"/>
  <c r="L17" i="8"/>
  <c r="L20" i="8" s="1"/>
  <c r="O11" i="6"/>
  <c r="H10" i="15"/>
  <c r="M20" i="15" s="1"/>
  <c r="O2" i="15"/>
  <c r="W10" i="15"/>
  <c r="O10" i="15"/>
  <c r="H11" i="11"/>
  <c r="W2" i="14"/>
  <c r="W4" i="14"/>
  <c r="W9" i="14"/>
  <c r="W7" i="14"/>
  <c r="W6" i="14"/>
  <c r="O11" i="14"/>
  <c r="H11" i="14"/>
  <c r="N18" i="14" s="1"/>
  <c r="N22" i="14" s="1"/>
  <c r="J20" i="14"/>
  <c r="W9" i="13"/>
  <c r="W4" i="13"/>
  <c r="W8" i="13"/>
  <c r="W3" i="13"/>
  <c r="W10" i="13" s="1"/>
  <c r="J19" i="13"/>
  <c r="L9" i="13"/>
  <c r="M9" i="13" s="1"/>
  <c r="O9" i="13" s="1"/>
  <c r="O10" i="13" s="1"/>
  <c r="J17" i="12"/>
  <c r="W10" i="12"/>
  <c r="H11" i="10"/>
  <c r="M21" i="10" s="1"/>
  <c r="M24" i="10" s="1"/>
  <c r="W2" i="10"/>
  <c r="W10" i="10"/>
  <c r="W9" i="10"/>
  <c r="O11" i="10"/>
  <c r="H11" i="9"/>
  <c r="M32" i="9" s="1"/>
  <c r="I2" i="9"/>
  <c r="R2" i="9"/>
  <c r="W3" i="9"/>
  <c r="O11" i="9"/>
  <c r="M33" i="9" s="1"/>
  <c r="W4" i="9"/>
  <c r="W7" i="9"/>
  <c r="W8" i="9"/>
  <c r="W10" i="9"/>
  <c r="L8" i="8"/>
  <c r="M8" i="8" s="1"/>
  <c r="O8" i="8" s="1"/>
  <c r="W10" i="8"/>
  <c r="W8" i="8"/>
  <c r="H2" i="8"/>
  <c r="F7" i="8"/>
  <c r="H7" i="8" s="1"/>
  <c r="R7" i="8"/>
  <c r="W9" i="8"/>
  <c r="W2" i="8"/>
  <c r="W4" i="8"/>
  <c r="W6" i="8"/>
  <c r="I2" i="7"/>
  <c r="M8" i="7"/>
  <c r="O8" i="7" s="1"/>
  <c r="M2" i="7"/>
  <c r="O2" i="7" s="1"/>
  <c r="O11" i="7" s="1"/>
  <c r="M37" i="7" s="1"/>
  <c r="F8" i="7"/>
  <c r="H8" i="7" s="1"/>
  <c r="H11" i="7" s="1"/>
  <c r="M36" i="7" s="1"/>
  <c r="W10" i="7"/>
  <c r="W4" i="7"/>
  <c r="W2" i="7"/>
  <c r="W6" i="7"/>
  <c r="W7" i="7"/>
  <c r="W8" i="7"/>
  <c r="W3" i="7"/>
  <c r="W5" i="7"/>
  <c r="W9" i="7"/>
  <c r="AA11" i="6" l="1"/>
  <c r="O22" i="6"/>
  <c r="P22" i="6"/>
  <c r="W11" i="6"/>
  <c r="N23" i="6" s="1"/>
  <c r="AB11" i="6"/>
  <c r="W2" i="9"/>
  <c r="AB2" i="9"/>
  <c r="AB11" i="9" s="1"/>
  <c r="AA2" i="9"/>
  <c r="AA11" i="9" s="1"/>
  <c r="AA11" i="8"/>
  <c r="O11" i="8"/>
  <c r="P25" i="8" s="1"/>
  <c r="W7" i="8"/>
  <c r="AB7" i="8"/>
  <c r="AB11" i="8" s="1"/>
  <c r="AA7" i="8"/>
  <c r="N37" i="5"/>
  <c r="N38" i="5"/>
  <c r="M16" i="15"/>
  <c r="N21" i="14"/>
  <c r="N23" i="14" s="1"/>
  <c r="M16" i="12"/>
  <c r="P19" i="12"/>
  <c r="P16" i="11"/>
  <c r="P21" i="11"/>
  <c r="M26" i="10"/>
  <c r="N22" i="6"/>
  <c r="Q14" i="6"/>
  <c r="M25" i="15"/>
  <c r="W11" i="14"/>
  <c r="P16" i="14" s="1"/>
  <c r="M16" i="13"/>
  <c r="W11" i="10"/>
  <c r="M17" i="10" s="1"/>
  <c r="W11" i="9"/>
  <c r="H11" i="8"/>
  <c r="W11" i="8"/>
  <c r="P26" i="8" s="1"/>
  <c r="W11" i="7"/>
  <c r="P23" i="6" l="1"/>
  <c r="P25" i="6" s="1"/>
  <c r="O23" i="6"/>
  <c r="O25" i="6" s="1"/>
  <c r="N24" i="6"/>
  <c r="N39" i="5"/>
  <c r="P23" i="12"/>
  <c r="P24" i="12" s="1"/>
  <c r="P22" i="12"/>
  <c r="P26" i="11"/>
  <c r="P24" i="11"/>
  <c r="P25" i="11"/>
  <c r="M52" i="16"/>
  <c r="N25" i="6"/>
  <c r="H33" i="16"/>
  <c r="K29" i="8"/>
  <c r="P24" i="8"/>
  <c r="P28" i="8" s="1"/>
  <c r="O24" i="6" l="1"/>
  <c r="O26" i="6" s="1"/>
  <c r="P24" i="6"/>
  <c r="P26" i="6" s="1"/>
  <c r="N26" i="6"/>
  <c r="P27" i="8"/>
  <c r="H21" i="3" l="1"/>
  <c r="H22" i="3"/>
  <c r="G21" i="3"/>
  <c r="G22" i="3"/>
  <c r="G20" i="3"/>
  <c r="H20" i="3" s="1"/>
  <c r="I20" i="7" l="1"/>
  <c r="I23" i="9"/>
  <c r="I22" i="7"/>
  <c r="I21" i="7"/>
  <c r="B17" i="3"/>
  <c r="B22" i="3" s="1"/>
  <c r="I22" i="3" s="1"/>
  <c r="B16" i="3"/>
  <c r="B21" i="3" s="1"/>
  <c r="I21" i="3" s="1"/>
  <c r="B15" i="3"/>
  <c r="B20" i="3" s="1"/>
  <c r="I20" i="3" s="1"/>
  <c r="B17" i="2"/>
  <c r="B16" i="2"/>
  <c r="L16" i="2" s="1"/>
  <c r="B15" i="2"/>
  <c r="L10" i="3"/>
  <c r="M10" i="3" s="1"/>
  <c r="L9" i="3"/>
  <c r="M9" i="3" s="1"/>
  <c r="L8" i="3"/>
  <c r="M8" i="3" s="1"/>
  <c r="O8" i="3" s="1"/>
  <c r="L7" i="3"/>
  <c r="M7" i="3" s="1"/>
  <c r="O7" i="3" s="1"/>
  <c r="L6" i="3"/>
  <c r="M6" i="3" s="1"/>
  <c r="L5" i="3"/>
  <c r="M5" i="3" s="1"/>
  <c r="O5" i="3" s="1"/>
  <c r="L3" i="3"/>
  <c r="M3" i="3" s="1"/>
  <c r="L2" i="3"/>
  <c r="M2" i="3" s="1"/>
  <c r="O2" i="3" s="1"/>
  <c r="V3" i="3"/>
  <c r="V4" i="3"/>
  <c r="V5" i="3"/>
  <c r="V6" i="3"/>
  <c r="V7" i="3"/>
  <c r="V8" i="3"/>
  <c r="V9" i="3"/>
  <c r="V10" i="3"/>
  <c r="V2" i="3"/>
  <c r="S3" i="3"/>
  <c r="T3" i="3" s="1"/>
  <c r="S4" i="3"/>
  <c r="T4" i="3" s="1"/>
  <c r="S5" i="3"/>
  <c r="T5" i="3" s="1"/>
  <c r="S6" i="3"/>
  <c r="T6" i="3" s="1"/>
  <c r="S7" i="3"/>
  <c r="T7" i="3" s="1"/>
  <c r="W7" i="3" s="1"/>
  <c r="S8" i="3"/>
  <c r="T8" i="3" s="1"/>
  <c r="W8" i="3" s="1"/>
  <c r="S9" i="3"/>
  <c r="T9" i="3" s="1"/>
  <c r="W9" i="3" s="1"/>
  <c r="S10" i="3"/>
  <c r="T10" i="3" s="1"/>
  <c r="S2" i="3"/>
  <c r="T2" i="3" s="1"/>
  <c r="N2" i="2"/>
  <c r="L4" i="3"/>
  <c r="M4" i="3" s="1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K17" i="2"/>
  <c r="I16" i="2"/>
  <c r="K16" i="2" s="1"/>
  <c r="I17" i="2"/>
  <c r="I15" i="2"/>
  <c r="K15" i="2" s="1"/>
  <c r="H16" i="2"/>
  <c r="H17" i="2"/>
  <c r="J17" i="2" s="1"/>
  <c r="L17" i="2" s="1"/>
  <c r="H15" i="2"/>
  <c r="J15" i="2" s="1"/>
  <c r="E15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V3" i="2"/>
  <c r="V4" i="2"/>
  <c r="V5" i="2"/>
  <c r="V6" i="2"/>
  <c r="V7" i="2"/>
  <c r="V8" i="2"/>
  <c r="V9" i="2"/>
  <c r="V10" i="2"/>
  <c r="V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AA11" i="2" s="1"/>
  <c r="N3" i="2"/>
  <c r="N4" i="2"/>
  <c r="N5" i="2"/>
  <c r="N6" i="2"/>
  <c r="N7" i="2"/>
  <c r="N8" i="2"/>
  <c r="N9" i="2"/>
  <c r="N10" i="2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W10" i="3" l="1"/>
  <c r="M34" i="9"/>
  <c r="G31" i="9"/>
  <c r="W5" i="3"/>
  <c r="I23" i="3"/>
  <c r="I23" i="7"/>
  <c r="O3" i="3"/>
  <c r="W4" i="3"/>
  <c r="O8" i="2"/>
  <c r="H2" i="2"/>
  <c r="H11" i="2" s="1"/>
  <c r="W2" i="3"/>
  <c r="W3" i="3"/>
  <c r="O9" i="3"/>
  <c r="H11" i="3"/>
  <c r="N26" i="3" s="1"/>
  <c r="W6" i="3"/>
  <c r="O6" i="3"/>
  <c r="O10" i="3"/>
  <c r="L20" i="2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M38" i="7" l="1"/>
  <c r="M15" i="7"/>
  <c r="M36" i="9"/>
  <c r="M35" i="9"/>
  <c r="O11" i="3"/>
  <c r="N27" i="3" s="1"/>
  <c r="I26" i="2"/>
  <c r="W11" i="3"/>
  <c r="W11" i="2"/>
  <c r="O11" i="2"/>
  <c r="I27" i="2" s="1"/>
  <c r="M37" i="9" l="1"/>
  <c r="M39" i="7"/>
  <c r="M40" i="7"/>
  <c r="M18" i="3"/>
  <c r="Q28" i="2"/>
  <c r="I28" i="2"/>
  <c r="I29" i="2" s="1"/>
  <c r="M41" i="7" l="1"/>
  <c r="N29" i="3"/>
  <c r="N30" i="3"/>
  <c r="I30" i="2"/>
  <c r="I31" i="2" s="1"/>
  <c r="N31" i="3" l="1"/>
</calcChain>
</file>

<file path=xl/sharedStrings.xml><?xml version="1.0" encoding="utf-8"?>
<sst xmlns="http://schemas.openxmlformats.org/spreadsheetml/2006/main" count="946" uniqueCount="123">
  <si>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</si>
  <si>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</si>
  <si>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</si>
  <si>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</si>
  <si>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</si>
  <si>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</si>
  <si>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</si>
  <si>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</si>
  <si>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</si>
  <si>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</si>
  <si>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</si>
  <si>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</si>
  <si>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</si>
  <si>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</si>
  <si>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</si>
  <si>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</si>
  <si>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</si>
  <si>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</si>
  <si>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</si>
  <si>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</si>
  <si>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</si>
  <si>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</si>
  <si>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</si>
  <si>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</si>
  <si>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</si>
  <si>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</si>
  <si>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</si>
  <si>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</si>
  <si>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</si>
  <si>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</si>
  <si>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</si>
  <si>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</si>
  <si>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Residential</t>
  </si>
  <si>
    <t>FM Penalty Business</t>
  </si>
  <si>
    <t>FM Penalty ITS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</si>
  <si>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</si>
  <si>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</si>
  <si>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</si>
  <si>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</si>
  <si>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</si>
  <si>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</si>
  <si>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</si>
  <si>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</si>
  <si>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</si>
  <si>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</si>
  <si>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</si>
  <si>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</si>
  <si>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</si>
  <si>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</si>
  <si>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</si>
  <si>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</si>
  <si>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</si>
  <si>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</si>
  <si>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</si>
  <si>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</si>
  <si>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</si>
  <si>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</si>
  <si>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</si>
  <si>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</si>
  <si>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</si>
  <si>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</si>
  <si>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</si>
  <si>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</si>
  <si>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</si>
  <si>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</si>
  <si>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</si>
  <si>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</si>
  <si>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</si>
  <si>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</si>
  <si>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</si>
  <si>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</si>
  <si>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</si>
  <si>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</si>
  <si>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</si>
  <si>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</si>
  <si>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</si>
  <si>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</si>
  <si>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</si>
  <si>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</si>
  <si>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</si>
  <si>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</si>
  <si>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GPON OLT Card(6*10Gbps)</t>
  </si>
  <si>
    <t>1:4 Power Splitter</t>
  </si>
  <si>
    <t>1:6 Mini DSLAM+Cabinet</t>
  </si>
  <si>
    <t>NIL</t>
  </si>
  <si>
    <t>EDFA</t>
  </si>
  <si>
    <t>1:4 Mini DSLAM+Cabinet</t>
  </si>
  <si>
    <t>HybridPON ONT</t>
  </si>
  <si>
    <t>1:16 DSLAM</t>
  </si>
  <si>
    <t>Buildings</t>
  </si>
  <si>
    <t>1:16 Power Splitter</t>
  </si>
  <si>
    <t>1:6 Mini DSLAM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</si>
  <si>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</si>
  <si>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</si>
  <si>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</si>
  <si>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</si>
  <si>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</si>
  <si>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</si>
  <si>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</si>
  <si>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</si>
  <si>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</si>
  <si>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FTTB_DWDM_50</t>
  </si>
  <si>
    <t>FTTH_DWDM_100</t>
  </si>
  <si>
    <t>FTTH_XGPON_100</t>
  </si>
  <si>
    <t>FTTC_GPON_100</t>
  </si>
  <si>
    <t>FTTB_XGPON_100</t>
  </si>
  <si>
    <t>FTTC_Hybridpon_25</t>
  </si>
  <si>
    <t>FTTB_DWDM_100</t>
  </si>
  <si>
    <t>FTTB_Hybridpon_50</t>
  </si>
  <si>
    <t>FTTH_Hybridpon_100</t>
  </si>
  <si>
    <t>FTTB_Hybridpon_100</t>
  </si>
  <si>
    <t>FTTC_Hybridpon_100</t>
  </si>
  <si>
    <t>SLA CU per hour</t>
  </si>
  <si>
    <t>Residential</t>
  </si>
  <si>
    <t>Business</t>
  </si>
  <si>
    <t>ITS</t>
  </si>
  <si>
    <t>Percentage of Business Users</t>
  </si>
  <si>
    <t>Percentage of ITS and business users</t>
  </si>
  <si>
    <t>Percentage of business users</t>
  </si>
  <si>
    <t>Percentage of ITS users</t>
  </si>
  <si>
    <t>FM Fiber penalty business</t>
  </si>
  <si>
    <t>FM Fiber penalty business its</t>
  </si>
  <si>
    <t>Business 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</si>
</sst>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33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5" fillId="5" borderId="8" xfId="0" applyFont="1" applyFill="1" applyBorder="1"/>
    <xf numFmtId="0" fontId="0" fillId="5" borderId="8" xfId="0" applyFont="1" applyFill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5" fillId="0" borderId="9" xfId="0" applyFont="1" applyBorder="1"/>
    <xf numFmtId="0" fontId="5" fillId="5" borderId="4" xfId="0" applyFont="1" applyFill="1" applyBorder="1"/>
    <xf numFmtId="0" fontId="6" fillId="5" borderId="10" xfId="0" applyFont="1" applyFill="1" applyBorder="1"/>
    <xf numFmtId="0" fontId="7" fillId="6" borderId="0" xfId="0" applyFont="1" applyFill="1"/>
    <xf numFmtId="0" fontId="5" fillId="0" borderId="0" xfId="0" applyFont="1"/>
    <xf numFmtId="0" fontId="1" fillId="6" borderId="0" xfId="0" applyFont="1" applyFill="1"/>
  </cellXfs>
  <cellStyles count="4">
    <cellStyle name="Good" xfId="1" builtinId="26"/>
    <cellStyle name="Input" xfId="2" builtinId="20"/>
    <cellStyle name="Normal" xfId="0" builtinId="0"/>
    <cellStyle name="Standard 2" xfId="3"/>
  </cellStyles>
  <dxfs count="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640448"/>
        <c:axId val="176350912"/>
      </c:barChart>
      <c:catAx>
        <c:axId val="976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50912"/>
        <c:crosses val="autoZero"/>
        <c:auto val="1"/>
        <c:lblAlgn val="ctr"/>
        <c:lblOffset val="100"/>
        <c:noMultiLvlLbl val="0"/>
      </c:catAx>
      <c:valAx>
        <c:axId val="1763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4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</a:t>
            </a:r>
            <a:r>
              <a:rPr lang="en-US" baseline="0"/>
              <a:t> Year OPEX for different Technologies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11115.468565056002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860.85009459689138</c:v>
                </c:pt>
                <c:pt idx="1">
                  <c:v>1951.3314148312002</c:v>
                </c:pt>
                <c:pt idx="2">
                  <c:v>1975.3759844882859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2276.0587554388112</c:v>
                </c:pt>
                <c:pt idx="6">
                  <c:v>2130.6635446429923</c:v>
                </c:pt>
                <c:pt idx="7">
                  <c:v>2152.6914807682861</c:v>
                </c:pt>
                <c:pt idx="8">
                  <c:v>1682.2708800678593</c:v>
                </c:pt>
                <c:pt idx="9">
                  <c:v>2001.2442901880002</c:v>
                </c:pt>
                <c:pt idx="10">
                  <c:v>541.95602366962737</c:v>
                </c:pt>
                <c:pt idx="11">
                  <c:v>2116.9453018054592</c:v>
                </c:pt>
                <c:pt idx="12">
                  <c:v>2236.0927196696271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1205.1901324356479</c:v>
                </c:pt>
                <c:pt idx="1">
                  <c:v>2731.8639807636805</c:v>
                </c:pt>
                <c:pt idx="2">
                  <c:v>2765.5263782836005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3186.482257614336</c:v>
                </c:pt>
                <c:pt idx="6">
                  <c:v>2982.9289625001893</c:v>
                </c:pt>
                <c:pt idx="7">
                  <c:v>3013.7680730756006</c:v>
                </c:pt>
                <c:pt idx="8">
                  <c:v>2355.179232095003</c:v>
                </c:pt>
                <c:pt idx="9">
                  <c:v>2801.7420062632004</c:v>
                </c:pt>
                <c:pt idx="10">
                  <c:v>758.73843313747841</c:v>
                </c:pt>
                <c:pt idx="11">
                  <c:v>2963.7234225276429</c:v>
                </c:pt>
                <c:pt idx="12">
                  <c:v>3130.5298075374781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9216384"/>
        <c:axId val="183894016"/>
      </c:barChart>
      <c:catAx>
        <c:axId val="17921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894016"/>
        <c:crosses val="autoZero"/>
        <c:auto val="1"/>
        <c:lblAlgn val="ctr"/>
        <c:lblOffset val="100"/>
        <c:noMultiLvlLbl val="0"/>
      </c:catAx>
      <c:valAx>
        <c:axId val="1838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2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1114425</xdr:colOff>
      <xdr:row>0</xdr:row>
      <xdr:rowOff>0</xdr:rowOff>
    </xdr:from>
    <xdr:to>
      <xdr:col>13</xdr:col>
      <xdr:colOff>822960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2AF6944-48DA-45D6-93A4-52064D7B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, Sai Kireet" refreshedDate="43276.827178819447" createdVersion="4" refreshedVersion="4" minRefreshableVersion="3" recordCount="9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B11" totalsRowCount="1">
  <autoFilter ref="A1:AB10"/>
  <tableColumns count="28">
    <tableColumn id="1" name="Position of component"/>
    <tableColumn id="2" name="Component Name"/>
    <tableColumn id="3" name="Cost per Unit (OASE)"/>
    <tableColumn id="4" name="Quantity"/>
    <tableColumn id="24" name="Floor Space per component"/>
    <tableColumn id="25" name="Total Floor Space">
      <calculatedColumnFormula>Table2[[#This Row],[Floor Space per component]]*Table2[[#This Row],[Quantity]]</calculatedColumnFormula>
    </tableColumn>
    <tableColumn id="26" name="Rent per sqm per year"/>
    <tableColumn id="27" name="Total Rent cost per year" totalsRowFunction="custom" totalsRowDxfId="169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68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name="Mean dist in km from CO"/>
    <tableColumn id="13" name="Avg Travel Speed"/>
    <tableColumn id="14" name="Failures per year">
      <calculatedColumnFormula>Table2[[#This Row],[Quantity]]*(Table2[[#This Row],[FIT]]*24*365)/1000000000</calculatedColumnFormula>
    </tableColumn>
    <tableColumn id="15" name="Twice Travel Time">
      <calculatedColumnFormula>2*Table2[[#This Row],[Mean dist in km from CO]]/Table2[[#This Row],[Avg Travel Speed]]</calculatedColumnFormula>
    </tableColumn>
    <tableColumn id="16" name="Total Time to Repair(h)">
      <calculatedColumnFormula>Table2[[#This Row],[MTTR]]+Table2[[#This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67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name="SLA CU per hour"/>
    <tableColumn id="21" name="Percentage of Business Users"/>
    <tableColumn id="22" name="Percentage of ITS and business users">
      <calculatedColumnFormula>0.07+2*0.00027</calculatedColumnFormula>
    </tableColumn>
    <tableColumn id="23" name="FM Penalty Business" totalsRowFunction="sum">
      <calculatedColumnFormula>Table2[[#This Row],[Percentage of Business Users]]*Table2[[#This Row],[SLA CU per hour]]*Table2[[#This Row],[Failures per year]]*Table2[[#This Row],[Total Time to Repair(h)]]</calculatedColumnFormula>
    </tableColumn>
    <tableColumn id="28" name="FM Penalty ITS" totalsRowFunction="sum">
      <calculatedColumnFormula>Table2[[#This Row],[Percentage of ITS and business users]]*Table2[[#This Row],[SLA CU per hour]]*Table2[[#This Row],[Failures per year]]*Table2[[#This Row],[Total Time to Repair(h)]]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B1:W11" totalsRowCount="1">
  <autoFilter ref="B1:W10"/>
  <tableColumns count="22">
    <tableColumn id="1" name="Component Name" dataDxfId="124" totalsRowDxfId="123"/>
    <tableColumn id="2" name="Cost per Unit (OASE)" dataDxfId="122" totalsRowDxfId="121"/>
    <tableColumn id="3" name="Quantity" dataDxfId="120" totalsRowDxfId="119"/>
    <tableColumn id="4" name="Floor Space per component" totalsRowDxfId="118"/>
    <tableColumn id="5" name="Total Floor Space" totalsRowDxfId="117">
      <calculatedColumnFormula>E2*D2</calculatedColumnFormula>
    </tableColumn>
    <tableColumn id="6" name="Rent per sqm per year" totalsRowDxfId="116"/>
    <tableColumn id="7" name="Total Rent cost per year" totalsRowFunction="sum" totalsRowDxfId="115">
      <calculatedColumnFormula>G2*F2</calculatedColumnFormula>
    </tableColumn>
    <tableColumn id="8" name="Installation Time in hours" totalsRowDxfId="114"/>
    <tableColumn id="9" name="MTTR" totalsRowDxfId="113"/>
    <tableColumn id="10" name="FIT" totalsRowDxfId="112"/>
    <tableColumn id="11" name="Energy consumption in W" totalsRowDxfId="111"/>
    <tableColumn id="12" name="Yearly Energy Consumption in kWh" totalsRowDxfId="110">
      <calculatedColumnFormula>Table19[[#This Row],[Energy consumption in W]]*24*365/1000</calculatedColumnFormula>
    </tableColumn>
    <tableColumn id="13" name="CU/kWh" totalsRowDxfId="109">
      <calculatedColumnFormula>0.3048/50</calculatedColumnFormula>
    </tableColumn>
    <tableColumn id="14" name="Energy Cost per year in CU" totalsRowFunction="sum" totalsRowDxfId="108">
      <calculatedColumnFormula>Table19[[#This Row],[Yearly Energy Consumption in kWh]]*Table19[[#This Row],[CU/kWh]]</calculatedColumnFormula>
    </tableColumn>
    <tableColumn id="15" name="Mean dist in km from CO" totalsRowDxfId="107"/>
    <tableColumn id="16" name="Avg Travel Speed" totalsRowDxfId="106"/>
    <tableColumn id="17" name="Failures per year" totalsRowDxfId="105">
      <calculatedColumnFormula>Table19[[#This Row],[Quantity]]*Table19[[#This Row],[FIT]]*24*365/1000000000</calculatedColumnFormula>
    </tableColumn>
    <tableColumn id="18" name="Twice Travel Time" totalsRowDxfId="104">
      <calculatedColumnFormula>2*Table19[[#This Row],[Mean dist in km from CO]]/Table19[[#This Row],[Avg Travel Speed]]</calculatedColumnFormula>
    </tableColumn>
    <tableColumn id="19" name="Total Time to Repair(h)" totalsRowDxfId="103">
      <calculatedColumnFormula>Table19[[#This Row],[MTTR]]+Table19[[#This Row],[Twice Travel Time]]</calculatedColumnFormula>
    </tableColumn>
    <tableColumn id="20" name="No. Of technicians" totalsRowDxfId="102"/>
    <tableColumn id="21" name="Cost per hour" totalsRowDxfId="101"/>
    <tableColumn id="22" name="FM Cost" totalsRowFunction="custom" totalsRowDxfId="100">
      <calculatedColumnFormula>Table19[[#This Row],[Cost per hour]]*Table19[[#This Row],[No. Of technicians]]*Table19[[#This Row],[Total Time to Repair(h)]]*Table19[[#This Row],[Failures per year]]</calculatedColumnFormula>
      <totalsRowFormula>SUM(Table19[FM Cost])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Table141617" displayName="Table141617" ref="L20:M26" totalsRowCount="1">
  <autoFilter ref="L20:M25"/>
  <tableColumns count="2">
    <tableColumn id="1" name="Component"/>
    <tableColumn id="2" name="Cost" totalsRowFunction="custom">
      <totalsRowFormula>SUM(Table141617[Cost])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9" displayName="Table9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Table9[[#This Row],[Floor Space per component]]*Table9[[#This Row],[Quantity]]</calculatedColumnFormula>
    </tableColumn>
    <tableColumn id="7" name="Rent per sqm per year"/>
    <tableColumn id="8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Table9[[#This Row],[Yearly Energy Consumption in kWh]]*Table9[[#This Row],[CU/kWh]]</calculatedColumnFormula>
    </tableColumn>
    <tableColumn id="16" name="Mean dist in km from CO"/>
    <tableColumn id="17" name="Avg Travel Speed"/>
    <tableColumn id="18" name="Failures per year">
      <calculatedColumnFormula>Table9[[#This Row],[FIT]]*Table9[[#This Row],[Quantity]]*24*365/1000000000</calculatedColumnFormula>
    </tableColumn>
    <tableColumn id="19" name="Twice Travel Time">
      <calculatedColumnFormula>2*Table9[[#This Row],[Mean dist in km from CO]]/Table9[[#This Row],[Avg Travel Speed]]</calculatedColumnFormula>
    </tableColumn>
    <tableColumn id="20" name="Total Time to Repair(h)">
      <calculatedColumnFormula>Table9[[#This Row],[MTTR]]+Table9[[#This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4161718" displayName="Table14161718" ref="O20:P26" totalsRowCount="1">
  <autoFilter ref="O20:P25"/>
  <tableColumns count="2">
    <tableColumn id="1" name="Component"/>
    <tableColumn id="2" name="Cost" totalsRowFunction="custom">
      <totalsRowFormula>SUM(Table14161718[Cost])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W10" totalsRowCount="1">
  <autoFilter ref="A1:W9"/>
  <tableColumns count="23">
    <tableColumn id="1" name="Position of component" dataDxfId="99" totalsRowDxfId="98"/>
    <tableColumn id="2" name="Component Name" dataDxfId="97" totalsRowDxfId="96"/>
    <tableColumn id="3" name="Cost per Unit (OASE)" dataDxfId="95" totalsRowDxfId="94"/>
    <tableColumn id="4" name="Quantity" dataDxfId="93" totalsRowDxfId="92"/>
    <tableColumn id="5" name="Floor Space per component" totalsRowDxfId="91"/>
    <tableColumn id="6" name="Total Floor Space" totalsRowDxfId="90">
      <calculatedColumnFormula>E2*D2</calculatedColumnFormula>
    </tableColumn>
    <tableColumn id="7" name="Rent per sqm per year" totalsRowDxfId="89"/>
    <tableColumn id="8" name="Total Rent cost per year" totalsRowFunction="custom" totalsRowDxfId="88">
      <calculatedColumnFormula>Table10[[#This Row],[Total Floor Space]]*Table10[[#This Row],[Rent per sqm per year]]</calculatedColumnFormula>
      <totalsRowFormula>SUM(Table10[Total Rent cost per year])</totalsRowFormula>
    </tableColumn>
    <tableColumn id="9" name="Installation Time in hours" totalsRowDxfId="87"/>
    <tableColumn id="10" name="MTTR" totalsRowDxfId="86"/>
    <tableColumn id="11" name="FIT" totalsRowDxfId="85"/>
    <tableColumn id="12" name="Energy consumption in W" totalsRowDxfId="84"/>
    <tableColumn id="13" name="Yearly Energy Consumption in kWh" totalsRowDxfId="83">
      <calculatedColumnFormula>Table10[[#This Row],[Energy consumption in W]]*24*365/1000</calculatedColumnFormula>
    </tableColumn>
    <tableColumn id="14" name="CU/kWh" totalsRowDxfId="82">
      <calculatedColumnFormula>0.3084/50</calculatedColumnFormula>
    </tableColumn>
    <tableColumn id="15" name="Energy Cost per year in CU" totalsRowFunction="sum" totalsRowDxfId="81">
      <calculatedColumnFormula>Table10[[#This Row],[Yearly Energy Consumption in kWh]]*Table10[[#This Row],[CU/kWh]]</calculatedColumnFormula>
    </tableColumn>
    <tableColumn id="16" name="Mean dist in km from CO" totalsRowDxfId="80"/>
    <tableColumn id="17" name="Avg Travel Speed" totalsRowDxfId="79"/>
    <tableColumn id="18" name="Failures per year" totalsRowDxfId="78">
      <calculatedColumnFormula>Table10[[#This Row],[FIT]]*Table10[[#This Row],[Quantity]]*24*365/1000000000</calculatedColumnFormula>
    </tableColumn>
    <tableColumn id="19" name="Twice Travel Time" totalsRowDxfId="77">
      <calculatedColumnFormula>2*Table10[[#This Row],[Mean dist in km from CO]]/Table10[[#This Row],[Avg Travel Speed]]</calculatedColumnFormula>
    </tableColumn>
    <tableColumn id="20" name="Total Time to Repair(h)" totalsRowDxfId="76">
      <calculatedColumnFormula>Table10[[#This Row],[MTTR]]+Table10[[#This Row],[Twice Travel Time]]</calculatedColumnFormula>
    </tableColumn>
    <tableColumn id="21" name="No. Of technicians" totalsRowDxfId="75"/>
    <tableColumn id="22" name="Cost per hour" totalsRowDxfId="74"/>
    <tableColumn id="23" name="FM Cost" totalsRowFunction="sum" totalsRowDxfId="73">
      <calculatedColumnFormula>Table10[[#This Row],[Failures per year]]*Table10[[#This Row],[Total Time to Repair(h)]]*Table10[[#This Row],[No. Of technicians]]*Table10[[#This Row],[Cost per hour]]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416171819" displayName="Table1416171819" ref="O18:P24" totalsRowCount="1">
  <autoFilter ref="O18:P23"/>
  <tableColumns count="2">
    <tableColumn id="1" name="Component"/>
    <tableColumn id="2" name="Cost" totalsRowFunction="custom">
      <totalsRowFormula>SUM(Table1416171819[Cost])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1012" displayName="Table1012" ref="A1:W10" totalsRowCount="1">
  <autoFilter ref="A1:W9"/>
  <tableColumns count="23">
    <tableColumn id="1" name="Position of component" dataDxfId="72" totalsRowDxfId="71"/>
    <tableColumn id="2" name="Component Name" dataDxfId="70" totalsRowDxfId="69"/>
    <tableColumn id="3" name="Cost per Unit (OASE)" dataDxfId="68" totalsRowDxfId="67"/>
    <tableColumn id="4" name="Quantity" dataDxfId="66" totalsRowDxfId="65"/>
    <tableColumn id="5" name="Floor Space per component" totalsRowDxfId="64"/>
    <tableColumn id="6" name="Total Floor Space" totalsRowDxfId="63">
      <calculatedColumnFormula>E2*D2</calculatedColumnFormula>
    </tableColumn>
    <tableColumn id="7" name="Rent per sqm per year" totalsRowDxfId="62"/>
    <tableColumn id="8" name="Total Rent cost per year" totalsRowFunction="custom" totalsRowDxfId="61">
      <calculatedColumnFormula>Table1012[[#This Row],[Total Floor Space]]*Table1012[[#This Row],[Rent per sqm per year]]</calculatedColumnFormula>
      <totalsRowFormula>SUM(Table1012[Total Rent cost per year])</totalsRowFormula>
    </tableColumn>
    <tableColumn id="9" name="Installation Time in hours" totalsRowDxfId="60"/>
    <tableColumn id="10" name="MTTR" totalsRowDxfId="59"/>
    <tableColumn id="11" name="FIT" totalsRowDxfId="58"/>
    <tableColumn id="12" name="Energy consumption in W" totalsRowDxfId="57"/>
    <tableColumn id="13" name="Yearly Energy Consumption in kWh" totalsRowDxfId="56">
      <calculatedColumnFormula>Table1012[[#This Row],[Energy consumption in W]]*24*365/1000</calculatedColumnFormula>
    </tableColumn>
    <tableColumn id="14" name="CU/kWh" totalsRowDxfId="55">
      <calculatedColumnFormula>0.3084/50</calculatedColumnFormula>
    </tableColumn>
    <tableColumn id="15" name="Energy Cost per year in CU" totalsRowFunction="sum" totalsRowDxfId="54">
      <calculatedColumnFormula>Table1012[[#This Row],[Yearly Energy Consumption in kWh]]*Table1012[[#This Row],[CU/kWh]]</calculatedColumnFormula>
    </tableColumn>
    <tableColumn id="16" name="Mean dist in km from CO" totalsRowDxfId="53"/>
    <tableColumn id="17" name="Avg Travel Speed" totalsRowDxfId="52"/>
    <tableColumn id="18" name="Failures per year" totalsRowDxfId="51">
      <calculatedColumnFormula>Table1012[[#This Row],[FIT]]*Table1012[[#This Row],[Quantity]]*24*365/1000000000</calculatedColumnFormula>
    </tableColumn>
    <tableColumn id="19" name="Twice Travel Time" totalsRowDxfId="50">
      <calculatedColumnFormula>2*Table1012[[#This Row],[Mean dist in km from CO]]/Table1012[[#This Row],[Avg Travel Speed]]</calculatedColumnFormula>
    </tableColumn>
    <tableColumn id="20" name="Total Time to Repair(h)" totalsRowDxfId="49">
      <calculatedColumnFormula>Table1012[[#This Row],[MTTR]]+Table1012[[#This Row],[Twice Travel Time]]</calculatedColumnFormula>
    </tableColumn>
    <tableColumn id="21" name="No. Of technicians" totalsRowDxfId="48"/>
    <tableColumn id="22" name="Cost per hour" totalsRowDxfId="47"/>
    <tableColumn id="23" name="FM Cost" totalsRowFunction="sum" totalsRowDxfId="46">
      <calculatedColumnFormula>Table1012[[#This Row],[Failures per year]]*Table1012[[#This Row],[Total Time to Repair(h)]]*Table1012[[#This Row],[No. Of technicians]]*Table1012[[#This Row],[Cost per hour]]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e141617181920" displayName="Table141617181920" ref="O18:P24" totalsRowCount="1">
  <autoFilter ref="O18:P23"/>
  <tableColumns count="2">
    <tableColumn id="1" name="Component"/>
    <tableColumn id="2" name="Cost" totalsRowFunction="custom">
      <totalsRowFormula>SUM(Table141617181920[Cost])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913" displayName="Table913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 dataDxfId="45"/>
    <tableColumn id="5" name="Floor Space per component"/>
    <tableColumn id="6" name="Total Floor Space">
      <calculatedColumnFormula>Table913[[#This Row],[Floor Space per component]]*Table913[[#This Row],[Quantity]]</calculatedColumnFormula>
    </tableColumn>
    <tableColumn id="7" name="Rent per sqm per year"/>
    <tableColumn id="8" name="Total Rent cost per year" totalsRowFunction="custom">
      <calculatedColumnFormula>Table913[[#This Row],[Total Floor Space]]*Table913[[#This Row],[Rent per sqm per year]]</calculatedColumnFormula>
      <totalsRowFormula>SUM(Table913[Total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Table913[[#This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Table913[[#This Row],[Yearly Energy Consumption in kWh]]*Table913[[#This Row],[CU/kWh]]</calculatedColumnFormula>
    </tableColumn>
    <tableColumn id="16" name="Mean dist in km from CO"/>
    <tableColumn id="17" name="Avg Travel Speed"/>
    <tableColumn id="18" name="Failures per year">
      <calculatedColumnFormula>Table913[[#This Row],[FIT]]*Table913[[#This Row],[Quantity]]*24*365/1000000000</calculatedColumnFormula>
    </tableColumn>
    <tableColumn id="19" name="Twice Travel Time">
      <calculatedColumnFormula>2*Table913[[#This Row],[Mean dist in km from CO]]/Table913[[#This Row],[Avg Travel Speed]]</calculatedColumnFormula>
    </tableColumn>
    <tableColumn id="20" name="Total Time to Repair(h)">
      <calculatedColumnFormula>Table913[[#This Row],[MTTR]]+Table913[[#This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Table913[[#This Row],[Failures per year]]*Table913[[#This Row],[Total Time to Repair(h)]]*Table913[[#This Row],[No. Of technicians]]*Table913[[#This Row],[Cost per hour]]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14161718192021" displayName="Table14161718192021" ref="M17:N23" totalsRowCount="1">
  <autoFilter ref="M17:N22"/>
  <tableColumns count="2">
    <tableColumn id="1" name="Component"/>
    <tableColumn id="2" name="Cost" totalsRowFunction="custom">
      <totalsRowFormula>SUM(Table14161718192021[Cost])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B11" totalsRowCount="1">
  <autoFilter ref="A1:AB10"/>
  <tableColumns count="28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Table3[[#This Row],[Floor Space per component]]*Table3[[#This Row],[Quantity]]</calculatedColumnFormula>
    </tableColumn>
    <tableColumn id="7" name="Rent per sqm per year"/>
    <tableColumn id="8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Table3[[#This Row],[Yearly Energy Consumption in kWh]]*Table3[[#This Row],[CU/kWh]]</calculatedColumnFormula>
    </tableColumn>
    <tableColumn id="16" name="Mean dist in km from CO"/>
    <tableColumn id="17" name="Avg Travel Speed"/>
    <tableColumn id="18" name="Failures per year">
      <calculatedColumnFormula>Table3[[#This Row],[Quantity]]*(Table3[[#This Row],[FIT]]*24*365)/1000000000</calculatedColumnFormula>
    </tableColumn>
    <tableColumn id="19" name="Twice Travel Time">
      <calculatedColumnFormula>2*Table3[[#This Row],[Mean dist in km from CO]]/Table3[[#This Row],[Avg Travel Speed]]</calculatedColumnFormula>
    </tableColumn>
    <tableColumn id="20" name="Total Time to Repair(h)">
      <calculatedColumnFormula>Table3[[#This Row],[MTTR]]+Table3[[#This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Table3[[#This Row],[Cost per hour]]*Table3[[#This Row],[Total Time to Repair(h)]]*Table3[[#This Row],[Failures per year]]</calculatedColumnFormula>
    </tableColumn>
    <tableColumn id="24" name="SLA CU per hour"/>
    <tableColumn id="25" name="Percentage of Business Users"/>
    <tableColumn id="26" name="Percentage of ITS and business users">
      <calculatedColumnFormula>0.07+2*0.00027</calculatedColumnFormula>
    </tableColumn>
    <tableColumn id="27" name="FM Penalty Business" totalsRowFunction="sum">
      <calculatedColumnFormula>Table3[[#This Row],[Percentage of Business Users]]*Table3[[#This Row],[SLA CU per hour]]*Table3[[#This Row],[Failures per year]]*Table3[[#This Row],[Total Time to Repair(h)]]</calculatedColumnFormula>
    </tableColumn>
    <tableColumn id="28" name="FM Penalty ITS" totalsRowFunction="sum">
      <calculatedColumnFormula>Table3[[#This Row],[Percentage of ITS and business users]]*Table3[[#This Row],[SLA CU per hour]]*Table3[[#This Row],[Failures per year]]*Table3[[#This Row],[Total Time to Repair(h)]]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014" displayName="Table1014" ref="A1:W10" totalsRowCount="1">
  <autoFilter ref="A1:W9"/>
  <tableColumns count="23">
    <tableColumn id="1" name="Position of component" dataDxfId="44" totalsRowDxfId="43"/>
    <tableColumn id="2" name="Component Name" dataDxfId="42" totalsRowDxfId="41"/>
    <tableColumn id="3" name="Cost per Unit (OASE)" dataDxfId="40" totalsRowDxfId="39"/>
    <tableColumn id="4" name="Quantity" dataDxfId="38" totalsRowDxfId="37"/>
    <tableColumn id="5" name="Floor Space per component" totalsRowDxfId="36"/>
    <tableColumn id="6" name="Total Floor Space" totalsRowDxfId="35">
      <calculatedColumnFormula>E2*D2</calculatedColumnFormula>
    </tableColumn>
    <tableColumn id="7" name="Rent per sqm per year" totalsRowDxfId="34"/>
    <tableColumn id="8" name="Total Rent cost per year" totalsRowFunction="custom" totalsRowDxfId="33">
      <calculatedColumnFormula>Table1014[[#This Row],[Total Floor Space]]*Table1014[[#This Row],[Rent per sqm per year]]</calculatedColumnFormula>
      <totalsRowFormula>SUM(Table1014[Total Rent cost per year])</totalsRowFormula>
    </tableColumn>
    <tableColumn id="9" name="Installation Time in hours" totalsRowDxfId="32"/>
    <tableColumn id="10" name="MTTR" totalsRowDxfId="31"/>
    <tableColumn id="11" name="FIT" totalsRowDxfId="30"/>
    <tableColumn id="12" name="Energy consumption in W" totalsRowDxfId="29"/>
    <tableColumn id="13" name="Yearly Energy Consumption in kWh" totalsRowDxfId="28">
      <calculatedColumnFormula>Table1014[[#This Row],[Energy consumption in W]]*24*365/1000</calculatedColumnFormula>
    </tableColumn>
    <tableColumn id="14" name="CU/kWh" totalsRowDxfId="27">
      <calculatedColumnFormula>0.3084/50</calculatedColumnFormula>
    </tableColumn>
    <tableColumn id="15" name="Energy Cost per year in CU" totalsRowFunction="sum" totalsRowDxfId="26">
      <calculatedColumnFormula>Table1014[[#This Row],[Yearly Energy Consumption in kWh]]*Table1014[[#This Row],[CU/kWh]]</calculatedColumnFormula>
    </tableColumn>
    <tableColumn id="16" name="Mean dist in km from CO" totalsRowDxfId="25"/>
    <tableColumn id="17" name="Avg Travel Speed" totalsRowDxfId="24"/>
    <tableColumn id="18" name="Failures per year" totalsRowDxfId="23">
      <calculatedColumnFormula>Table1014[[#This Row],[FIT]]*Table1014[[#This Row],[Quantity]]*24*365/1000000000</calculatedColumnFormula>
    </tableColumn>
    <tableColumn id="19" name="Twice Travel Time" totalsRowDxfId="22">
      <calculatedColumnFormula>2*Table1014[[#This Row],[Mean dist in km from CO]]/Table1014[[#This Row],[Avg Travel Speed]]</calculatedColumnFormula>
    </tableColumn>
    <tableColumn id="20" name="Total Time to Repair(h)" totalsRowDxfId="21">
      <calculatedColumnFormula>Table1014[[#This Row],[MTTR]]+Table1014[[#This Row],[Twice Travel Time]]</calculatedColumnFormula>
    </tableColumn>
    <tableColumn id="21" name="No. Of technicians" totalsRowDxfId="20"/>
    <tableColumn id="22" name="Cost per hour" totalsRowDxfId="19"/>
    <tableColumn id="23" name="FM Cost" totalsRowFunction="sum" totalsRowDxfId="18">
      <calculatedColumnFormula>Table1014[[#This Row],[Failures per year]]*Table1014[[#This Row],[Total Time to Repair(h)]]*Table1014[[#This Row],[No. Of technicians]]*Table1014[[#This Row],[Cost per hour]]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416171819202122" displayName="Table1416171819202122" ref="L19:M25" totalsRowCount="1">
  <autoFilter ref="L19:M24"/>
  <tableColumns count="2">
    <tableColumn id="1" name="Component"/>
    <tableColumn id="2" name="Cost" totalsRowFunction="custom">
      <totalsRowFormula>SUM(Table1416171819202122[Cost])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D27:Q33" totalsRowCount="1">
  <autoFilter ref="D27:Q32"/>
  <tableColumns count="14">
    <tableColumn id="1" name="Component" totalsRowDxfId="17"/>
    <tableColumn id="2" name="FTTC_GPON_25" totalsRowFunction="custom" totalsRowDxfId="16">
      <totalsRowFormula>SUM(Table22[FTTC_GPON_25])</totalsRowFormula>
    </tableColumn>
    <tableColumn id="3" name="FTTB_XGPON_50" totalsRowFunction="sum" totalsRowDxfId="15"/>
    <tableColumn id="4" name="FTTB_DWDM_50" totalsRowFunction="sum" totalsRowDxfId="14"/>
    <tableColumn id="5" name="FTTH_DWDM_100" totalsRowFunction="sum" totalsRowDxfId="13"/>
    <tableColumn id="6" name="FTTH_XGPON_100" totalsRowFunction="sum" totalsRowDxfId="12"/>
    <tableColumn id="7" name="FTTC_GPON_100" totalsRowFunction="sum" totalsRowDxfId="11"/>
    <tableColumn id="8" name="FTTB_XGPON_100" totalsRowFunction="sum" dataDxfId="10" totalsRowDxfId="9"/>
    <tableColumn id="9" name="FTTB_DWDM_100" totalsRowFunction="sum" dataDxfId="8" totalsRowDxfId="7"/>
    <tableColumn id="10" name="FTTC_Hybridpon_25" totalsRowFunction="sum" dataDxfId="6" totalsRowDxfId="5"/>
    <tableColumn id="11" name="FTTB_Hybridpon_50" totalsRowFunction="sum" totalsRowDxfId="4"/>
    <tableColumn id="12" name="FTTH_Hybridpon_100" totalsRowFunction="sum" totalsRowDxfId="3"/>
    <tableColumn id="13" name="FTTC_Hybridpon_100" totalsRowFunction="sum" totalsRowDxfId="2"/>
    <tableColumn id="14" name="FTTB_Hybridpon_100" totalsRowFunction="sum" totalsRow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AB11" totalsRowCount="1">
  <autoFilter ref="B1:AB10"/>
  <tableColumns count="27">
    <tableColumn id="1" name="Component Name" dataDxfId="166" totalsRowDxfId="165"/>
    <tableColumn id="2" name="Cost per Unit (OASE)" dataDxfId="164" totalsRowDxfId="163"/>
    <tableColumn id="3" name="Quantity" dataDxfId="162" totalsRowDxfId="161"/>
    <tableColumn id="4" name="Floor Space per component" totalsRowDxfId="160"/>
    <tableColumn id="5" name="Total Floor Space" totalsRowDxfId="159">
      <calculatedColumnFormula>E2*D2</calculatedColumnFormula>
    </tableColumn>
    <tableColumn id="6" name="Rent per sqm per year" totalsRowDxfId="158"/>
    <tableColumn id="7" name="Total Rent cost per year" totalsRowFunction="sum" totalsRowDxfId="157">
      <calculatedColumnFormula>G2*F2</calculatedColumnFormula>
    </tableColumn>
    <tableColumn id="8" name="Installation Time in hours" totalsRowDxfId="156"/>
    <tableColumn id="9" name="MTTR" totalsRowDxfId="155"/>
    <tableColumn id="10" name="FIT" totalsRowDxfId="154"/>
    <tableColumn id="11" name="Energy consumption in W" totalsRowDxfId="153"/>
    <tableColumn id="12" name="Yearly Energy Consumption in kWh" totalsRowDxfId="152">
      <calculatedColumnFormula>Table1[[#This Row],[Energy consumption in W]]*24*365/1000</calculatedColumnFormula>
    </tableColumn>
    <tableColumn id="13" name="CU/kWh" totalsRowDxfId="151">
      <calculatedColumnFormula>0.3048/50</calculatedColumnFormula>
    </tableColumn>
    <tableColumn id="14" name="Energy Cost per year in CU" totalsRowFunction="sum" totalsRowDxfId="150">
      <calculatedColumnFormula>Table1[[#This Row],[Yearly Energy Consumption in kWh]]*Table1[[#This Row],[CU/kWh]]</calculatedColumnFormula>
    </tableColumn>
    <tableColumn id="15" name="Mean dist in km from CO" totalsRowDxfId="149"/>
    <tableColumn id="16" name="Avg Travel Speed" totalsRowDxfId="148"/>
    <tableColumn id="17" name="Failures per year" totalsRowDxfId="147">
      <calculatedColumnFormula>Table1[[#This Row],[Quantity]]*Table1[[#This Row],[FIT]]*24*365/1000000000</calculatedColumnFormula>
    </tableColumn>
    <tableColumn id="18" name="Twice Travel Time" totalsRowDxfId="146">
      <calculatedColumnFormula>2*Table1[[#This Row],[Mean dist in km from CO]]/Table1[[#This Row],[Avg Travel Speed]]</calculatedColumnFormula>
    </tableColumn>
    <tableColumn id="19" name="Total Time to Repair(h)" totalsRowDxfId="145">
      <calculatedColumnFormula>Table1[[#This Row],[MTTR]]+Table1[[#This Row],[Twice Travel Time]]</calculatedColumnFormula>
    </tableColumn>
    <tableColumn id="20" name="No. Of technicians" totalsRowDxfId="144"/>
    <tableColumn id="21" name="Cost per hour" totalsRowDxfId="143"/>
    <tableColumn id="22" name="FM Cost" totalsRowFunction="custom" totalsRowDxfId="142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  <tableColumn id="23" name="SLA CU per hour" totalsRowDxfId="141"/>
    <tableColumn id="24" name="Percentage of Business Users" totalsRowDxfId="140"/>
    <tableColumn id="25" name="Percentage of ITS and business users" totalsRowDxfId="139"/>
    <tableColumn id="26" name="FM Penalty Business" totalsRowFunction="sum" totalsRowDxfId="138">
      <calculatedColumnFormula>Table1[[#This Row],[Percentage of Business Users]]*Table1[[#This Row],[SLA CU per hour]]*Table1[[#This Row],[Failures per year]]*Table1[[#This Row],[Total Time to Repair(h)]]</calculatedColumnFormula>
    </tableColumn>
    <tableColumn id="27" name="FM Penalty ITS" totalsRowFunction="sum" totalsRowDxfId="137">
      <calculatedColumnFormula>Table1[[#This Row],[Percentage of ITS and business users]]*Table1[[#This Row],[SLA CU per hour]]*Table1[[#This Row],[Failures per year]]*Table1[[#This Row],[Total Time to Repair(h)]]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B11" totalsRowCount="1">
  <autoFilter ref="A1:AB10"/>
  <tableColumns count="28">
    <tableColumn id="1" name="Position of component"/>
    <tableColumn id="2" name="Component Name" dataDxfId="136"/>
    <tableColumn id="3" name="Cost per Unit (OASE)"/>
    <tableColumn id="4" name="Quantity" dataDxfId="0"/>
    <tableColumn id="5" name="Floor Space per component"/>
    <tableColumn id="6" name="Total Floor Space"/>
    <tableColumn id="7" name="Rent per sqm per year"/>
    <tableColumn id="8" name="Total Rent cost per year" totalsRowFunction="sum">
      <calculatedColumnFormula>G2*F2</calculatedColumnFormula>
    </tableColumn>
    <tableColumn id="10" name="Installation Time in hours"/>
    <tableColumn id="11" name="MTTR"/>
    <tableColumn id="12" name="FIT"/>
    <tableColumn id="13" name="Energy consumption in W"/>
    <tableColumn id="14" name="Yearly Energy Consumption in kWh">
      <calculatedColumnFormula>Table4[[#This Row],[Energy consumption in W]]*24*365/1000</calculatedColumnFormula>
    </tableColumn>
    <tableColumn id="15" name="CU/kWh">
      <calculatedColumnFormula>0.3048/50</calculatedColumnFormula>
    </tableColumn>
    <tableColumn id="16" name="Energy Cost per year in CU" totalsRowFunction="sum">
      <calculatedColumnFormula>Table4[[#This Row],[Yearly Energy Consumption in kWh]]*Table1[[#This Row],[CU/kWh]]</calculatedColumnFormula>
    </tableColumn>
    <tableColumn id="17" name="Mean dist in km from CO"/>
    <tableColumn id="18" name="Avg Travel Speed"/>
    <tableColumn id="19" name="Failures per year">
      <calculatedColumnFormula>Table4[[#This Row],[Quantity]]*Table4[[#This Row],[FIT]]*24*365/1000000000</calculatedColumnFormula>
    </tableColumn>
    <tableColumn id="20" name="Twice Travel Time">
      <calculatedColumnFormula>2*Table4[[#This Row],[Mean dist in km from CO]]/Table4[[#This Row],[Avg Travel Speed]]</calculatedColumnFormula>
    </tableColumn>
    <tableColumn id="21" name="Total Time to Repair(h)">
      <calculatedColumnFormula>Table4[[#This Row],[MTTR]]+Table4[[#This Row],[Twice Travel Time]]</calculatedColumnFormula>
    </tableColumn>
    <tableColumn id="22" name="No. Of technicians"/>
    <tableColumn id="23" name="Cost per hour"/>
    <tableColumn id="24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  <tableColumn id="9" name="SLA CU per hour"/>
    <tableColumn id="25" name="Percentage of Business Users"/>
    <tableColumn id="26" name="Percentage of ITS and business users"/>
    <tableColumn id="27" name="FM Penalty Business" totalsRowFunction="sum">
      <calculatedColumnFormula>Table4[[#This Row],[Percentage of Business Users]]*Table4[[#This Row],[SLA CU per hour]]*Table4[[#This Row],[Failures per year]]*Table4[[#This Row],[Total Time to Repair(h)]]</calculatedColumnFormula>
    </tableColumn>
    <tableColumn id="28" name="FM Penalty ITS" totalsRowFunction="sum">
      <calculatedColumnFormula>Table4[[#This Row],[Percentage of ITS and business users]]*Table4[[#This Row],[SLA CU per hour]]*Table4[[#This Row],[Failures per year]]*Table4[[#This Row],[Total Time to Repair(h)]]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AB11" totalsRowCount="1">
  <autoFilter ref="A1:AB10"/>
  <tableColumns count="28">
    <tableColumn id="1" name="Position of component"/>
    <tableColumn id="2" name="Component Name" dataDxfId="135"/>
    <tableColumn id="3" name="Cost per Unit (OASE)"/>
    <tableColumn id="4" name="Quantity" dataDxfId="134"/>
    <tableColumn id="5" name="Floor Space per component"/>
    <tableColumn id="6" name="Total Floor Space">
      <calculatedColumnFormula>Table36[[#This Row],[Floor Space per component]]*Table36[[#This Row],[Quantity]]</calculatedColumnFormula>
    </tableColumn>
    <tableColumn id="7" name="Rent per sqm per year"/>
    <tableColumn id="8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name="Installation Time in hours"/>
    <tableColumn id="10" name="MTTR"/>
    <tableColumn id="11" name="FIT"/>
    <tableColumn id="12" name="Energy consumption in W">
      <calculatedColumnFormula>100*Table36[[#This Row],[Quantity]]</calculatedColumnFormula>
    </tableColumn>
    <tableColumn id="13" name="Yearly Energy Consumption in kWh">
      <calculatedColumnFormula>Table36[[#This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Table36[[#This Row],[Yearly Energy Consumption in kWh]]*Table36[[#This Row],[CU/kWh]]</calculatedColumnFormula>
    </tableColumn>
    <tableColumn id="16" name="Mean dist in km from CO"/>
    <tableColumn id="17" name="Avg Travel Speed"/>
    <tableColumn id="18" name="Failures per year">
      <calculatedColumnFormula>Table36[[#This Row],[Quantity]]*(Table36[[#This Row],[FIT]]*24*365)/1000000000</calculatedColumnFormula>
    </tableColumn>
    <tableColumn id="19" name="Twice Travel Time">
      <calculatedColumnFormula>2*Table36[[#This Row],[Mean dist in km from CO]]/Table36[[#This Row],[Avg Travel Speed]]</calculatedColumnFormula>
    </tableColumn>
    <tableColumn id="20" name="Total Time to Repair(h)">
      <calculatedColumnFormula>Table36[[#This Row],[MTTR]]+Table36[[#This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Table36[[#This Row],[Cost per hour]]*Table36[[#This Row],[Total Time to Repair(h)]]*Table36[[#This Row],[Failures per year]]</calculatedColumnFormula>
    </tableColumn>
    <tableColumn id="24" name="SLA CU per hour"/>
    <tableColumn id="25" name="Percentage of Business Users"/>
    <tableColumn id="26" name="Percentage of ITS and business users"/>
    <tableColumn id="27" name="FM Penalty Business" totalsRowFunction="sum">
      <calculatedColumnFormula>Table36[[#This Row],[Percentage of Business Users]]*Table36[[#This Row],[SLA CU per hour]]*Table36[[#This Row],[Failures per year]]*Table36[[#This Row],[Total Time to Repair(h)]]</calculatedColumnFormula>
    </tableColumn>
    <tableColumn id="28" name="FM Penalty ITS" totalsRowFunction="sum">
      <calculatedColumnFormula>Table36[[#This Row],[Percentage of ITS and business users]]*Table36[[#This Row],[SLA CU per hour]]*Table36[[#This Row],[Failures per year]]*Table36[[#This Row],[Total Time to Repair(h)]]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AB11" totalsRowCount="1">
  <autoFilter ref="A1:AB10"/>
  <tableColumns count="28">
    <tableColumn id="1" name="Position of component"/>
    <tableColumn id="2" name="Component Name" dataDxfId="133" totalsRowDxfId="132"/>
    <tableColumn id="3" name="Cost per Unit (OASE)" dataDxfId="131"/>
    <tableColumn id="4" name="Quantity" dataDxfId="130"/>
    <tableColumn id="24" name="Floor Space per component"/>
    <tableColumn id="25" name="Total Floor Space">
      <calculatedColumnFormula>Table27[[#This Row],[Floor Space per component]]*Table27[[#This Row],[Quantity]]</calculatedColumnFormula>
    </tableColumn>
    <tableColumn id="26" name="Rent per sqm per year"/>
    <tableColumn id="27" name="Total Rent cost per year" totalsRowFunction="custom" totalsRowDxfId="129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Table27[[#This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28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name="Mean dist in km from CO"/>
    <tableColumn id="13" name="Avg Travel Speed"/>
    <tableColumn id="14" name="Failures per year">
      <calculatedColumnFormula>Table27[[#This Row],[Quantity]]*(Table27[[#This Row],[FIT]]*24*365)/1000000000</calculatedColumnFormula>
    </tableColumn>
    <tableColumn id="15" name="Twice Travel Time">
      <calculatedColumnFormula>2*Table27[[#This Row],[Mean dist in km from CO]]/Table27[[#This Row],[Avg Travel Speed]]</calculatedColumnFormula>
    </tableColumn>
    <tableColumn id="16" name="Total Time to Repair(h)">
      <calculatedColumnFormula>Table27[[#This Row],[MTTR]]+Table27[[#This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27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name="SLA CU per hour"/>
    <tableColumn id="21" name="Percentage of Business Users"/>
    <tableColumn id="22" name="Percentage of ITS and business users">
      <calculatedColumnFormula>0.07+2*0.00027</calculatedColumnFormula>
    </tableColumn>
    <tableColumn id="23" name="FM Penalty Business" totalsRowFunction="sum">
      <calculatedColumnFormula>Table27[[#This Row],[Percentage of Business Users]]*Table27[[#This Row],[SLA CU per hour]]*Table27[[#This Row],[Failures per year]]*Table27[[#This Row],[Total Time to Repair(h)]]</calculatedColumnFormula>
    </tableColumn>
    <tableColumn id="28" name="FM Penalty ITS" totalsRowFunction="sum">
      <calculatedColumnFormula>Table27[[#This Row],[Percentage of ITS and business users]]*Table27[[#This Row],[SLA CU per hour]]*Table27[[#This Row],[Failures per year]]*Table27[[#This Row],[Total Time to Repair(h)]]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O23:R29" totalsRowCount="1">
  <autoFilter ref="O23:R28"/>
  <tableColumns count="4">
    <tableColumn id="1" name="Component"/>
    <tableColumn id="2" name="Residential" totalsRowFunction="custom">
      <totalsRowFormula>SUM(Table14[Residential])</totalsRowFormula>
    </tableColumn>
    <tableColumn id="3" name="Business" totalsRowFunction="sum"/>
    <tableColumn id="4" name="Business ITS" totalsRowFunction="su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8" displayName="Table38" ref="A1:AB11" totalsRowCount="1">
  <autoFilter ref="A1:AB10"/>
  <tableColumns count="28">
    <tableColumn id="1" name="Position of component"/>
    <tableColumn id="2" name="Component Name"/>
    <tableColumn id="3" name="Cost per Unit (OASE)" dataDxfId="126"/>
    <tableColumn id="4" name="Quantity" dataDxfId="125"/>
    <tableColumn id="5" name="Floor Space per component"/>
    <tableColumn id="6" name="Total Floor Space">
      <calculatedColumnFormula>Table38[[#This Row],[Floor Space per component]]*Table38[[#This Row],[Quantity]]</calculatedColumnFormula>
    </tableColumn>
    <tableColumn id="7" name="Rent per sqm per year"/>
    <tableColumn id="8" name="Total Rent cost per year" totalsRowFunction="custom">
      <calculatedColumnFormula>Table38[[#This Row],[Rent per sqm per year]]*Table38[[#This Row],[Total Floor Space]]</calculatedColumnFormula>
      <totalsRowFormula>SUM(Table38[Total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Table38[[#This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Table38[[#This Row],[Yearly Energy Consumption in kWh]]*Table38[[#This Row],[CU/kWh]]</calculatedColumnFormula>
    </tableColumn>
    <tableColumn id="16" name="Mean dist in km from CO"/>
    <tableColumn id="17" name="Avg Travel Speed"/>
    <tableColumn id="18" name="Failures per year">
      <calculatedColumnFormula>Table38[[#This Row],[Quantity]]*(Table38[[#This Row],[FIT]]*24*365)/1000000000</calculatedColumnFormula>
    </tableColumn>
    <tableColumn id="19" name="Twice Travel Time">
      <calculatedColumnFormula>2*Table38[[#This Row],[Mean dist in km from CO]]/Table38[[#This Row],[Avg Travel Speed]]</calculatedColumnFormula>
    </tableColumn>
    <tableColumn id="20" name="Total Time to Repair(h)">
      <calculatedColumnFormula>Table38[[#This Row],[MTTR]]+Table38[[#This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Table38[[#This Row],[Cost per hour]]*Table38[[#This Row],[Total Time to Repair(h)]]*Table38[[#This Row],[Failures per year]]</calculatedColumnFormula>
    </tableColumn>
    <tableColumn id="24" name="SLA CU per hour"/>
    <tableColumn id="25" name="Percentage of Business Users"/>
    <tableColumn id="26" name="Percentage of ITS and business users">
      <calculatedColumnFormula>0.07+2*0.00027</calculatedColumnFormula>
    </tableColumn>
    <tableColumn id="27" name="FM Penalty Business" totalsRowFunction="sum">
      <calculatedColumnFormula>Table38[[#This Row],[Percentage of Business Users]]*Table38[[#This Row],[SLA CU per hour]]*Table38[[#This Row],[Failures per year]]*Table38[[#This Row],[Total Time to Repair(h)]]</calculatedColumnFormula>
    </tableColumn>
    <tableColumn id="28" name="FM Penalty ITS" totalsRowFunction="sum">
      <calculatedColumnFormula>Table38[[#This Row],[Percentage of ITS and business users]]*Table38[[#This Row],[SLA CU per hour]]*Table38[[#This Row],[Failures per year]]*Table38[[#This Row],[Total Time to Repair(h)]]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416" displayName="Table1416" ref="L31:O37" totalsRowCount="1">
  <autoFilter ref="L31:O36"/>
  <tableColumns count="4">
    <tableColumn id="1" name="Component"/>
    <tableColumn id="2" name="Residential" totalsRowFunction="custom">
      <totalsRowFormula>SUM(Table1416[Residential])</totalsRowFormula>
    </tableColumn>
    <tableColumn id="3" name="Business" totalsRowFunction="sum"/>
    <tableColumn id="4" name="Business IT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F31" sqref="F31"/>
    </sheetView>
  </sheetViews>
  <sheetFormatPr defaultRowHeight="15" x14ac:dyDescent="0.25"/>
  <cols>
    <col min="1" max="1" width="15.28515625" customWidth="1"/>
    <col min="2" max="2" width="28.85546875" customWidth="1"/>
    <col min="3" max="3" width="14.85546875" customWidth="1"/>
    <col min="4" max="5" width="31.42578125" customWidth="1"/>
    <col min="6" max="12" width="14.85546875" customWidth="1"/>
    <col min="13" max="13" width="14.85546875" bestFit="1" customWidth="1"/>
  </cols>
  <sheetData>
    <row r="3" spans="1:6" x14ac:dyDescent="0.25">
      <c r="A3" s="3" t="s">
        <v>54</v>
      </c>
      <c r="B3" s="1" t="s">
        <v>56</v>
      </c>
      <c r="C3" s="1" t="s">
        <v>58</v>
      </c>
      <c r="D3" s="1" t="s">
        <v>57</v>
      </c>
    </row>
    <row r="4" spans="1:6" x14ac:dyDescent="0.25">
      <c r="A4" s="4" t="s">
        <v>13</v>
      </c>
      <c r="B4" s="5">
        <v>0</v>
      </c>
      <c r="C4" s="5">
        <v>0</v>
      </c>
      <c r="D4" s="5">
        <v>0</v>
      </c>
    </row>
    <row r="5" spans="1:6" x14ac:dyDescent="0.25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25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25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25">
      <c r="A8" s="4" t="s">
        <v>55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pageSetup paperSize="9" orientation="portrait" verticalDpi="0" r:id="rId2"/>
  <headerFooter>
    <oddFooter>&amp;LUnrestricted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F1" zoomScale="70" zoomScaleNormal="70" workbookViewId="0">
      <selection activeCell="P21" sqref="P21:P25"/>
    </sheetView>
  </sheetViews>
  <sheetFormatPr defaultRowHeight="15" x14ac:dyDescent="0.25"/>
  <cols>
    <col min="1" max="1" width="22.140625" customWidth="1"/>
    <col min="2" max="2" width="22.7109375" customWidth="1"/>
    <col min="3" max="3" width="20.140625" customWidth="1"/>
    <col min="4" max="4" width="13.5703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24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36</v>
      </c>
      <c r="F1" t="s">
        <v>35</v>
      </c>
      <c r="G1" t="s">
        <v>37</v>
      </c>
      <c r="H1" t="s">
        <v>38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t="s">
        <v>3</v>
      </c>
      <c r="B2" t="s">
        <v>4</v>
      </c>
      <c r="C2">
        <v>80</v>
      </c>
      <c r="D2">
        <v>40</v>
      </c>
      <c r="E2">
        <v>5</v>
      </c>
      <c r="F2">
        <f>Table9[[#This Row],[Floor Space per component]]*Table9[[#This Row],[Quantity]]</f>
        <v>200</v>
      </c>
      <c r="G2">
        <v>10.6</v>
      </c>
      <c r="H2">
        <f>Table9[[#This Row],[Total Floor Space]]*Table9[[#This Row],[Rent per sqm per year]]</f>
        <v>2120</v>
      </c>
      <c r="I2">
        <f>(0.5+1/6*8)*Table9[[#This Row],[Quantity]]</f>
        <v>73.333333333333329</v>
      </c>
      <c r="J2">
        <v>6</v>
      </c>
      <c r="K2">
        <v>256</v>
      </c>
      <c r="L2">
        <f>0.5*8*2.5*Table9[[#This Row],[Quantity]]</f>
        <v>400</v>
      </c>
      <c r="M2">
        <f>Table9[[#This Row],[Energy consumption in W]]*24*365/1000</f>
        <v>3504</v>
      </c>
      <c r="N2">
        <f>0.3084/50</f>
        <v>6.1679999999999999E-3</v>
      </c>
      <c r="O2">
        <f>Table9[[#This Row],[Yearly Energy Consumption in kWh]]*Table9[[#This Row],[CU/kWh]]</f>
        <v>21.612672</v>
      </c>
      <c r="P2">
        <v>0</v>
      </c>
      <c r="Q2">
        <v>20</v>
      </c>
      <c r="R2">
        <f>Table9[[#This Row],[FIT]]*Table9[[#This Row],[Quantity]]*24*365/1000000000</f>
        <v>8.9702400000000002E-2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3.8</v>
      </c>
      <c r="W2">
        <f>Table9[[#This Row],[Failures per year]]*Table9[[#This Row],[Total Time to Repair(h)]]*Table9[[#This Row],[No. Of technicians]]*Table9[[#This Row],[Cost per hour]]</f>
        <v>2.0452147199999997</v>
      </c>
    </row>
    <row r="3" spans="1:23" x14ac:dyDescent="0.25">
      <c r="A3" t="s">
        <v>3</v>
      </c>
      <c r="B3" t="s">
        <v>85</v>
      </c>
      <c r="C3">
        <v>40</v>
      </c>
      <c r="D3">
        <v>8</v>
      </c>
      <c r="E3">
        <v>1</v>
      </c>
      <c r="F3" s="8">
        <f>Table9[[#This Row],[Floor Space per component]]*Table9[[#This Row],[Quantity]]</f>
        <v>8</v>
      </c>
      <c r="G3" s="8">
        <v>10.6</v>
      </c>
      <c r="H3" s="8">
        <f>Table9[[#This Row],[Total Floor Space]]*Table9[[#This Row],[Rent per sqm per year]]</f>
        <v>84.8</v>
      </c>
      <c r="I3" s="5">
        <f>1/6*Table9[[#This Row],[Quantity]]</f>
        <v>1.3333333333333333</v>
      </c>
      <c r="J3">
        <v>6</v>
      </c>
      <c r="K3">
        <v>50</v>
      </c>
      <c r="L3">
        <f>100*Table9[[#This Row],[Quantity]]</f>
        <v>800</v>
      </c>
      <c r="M3" s="8">
        <f>Table9[[#This Row],[Energy consumption in W]]*24*365/1000</f>
        <v>7008</v>
      </c>
      <c r="N3" s="8">
        <f t="shared" ref="N3:N10" si="0">0.3084/50</f>
        <v>6.1679999999999999E-3</v>
      </c>
      <c r="O3" s="8">
        <f>Table9[[#This Row],[Yearly Energy Consumption in kWh]]*Table9[[#This Row],[CU/kWh]]</f>
        <v>43.225344</v>
      </c>
      <c r="P3">
        <v>0</v>
      </c>
      <c r="Q3" s="8">
        <v>20</v>
      </c>
      <c r="R3" s="8">
        <f>Table9[[#This Row],[FIT]]*Table9[[#This Row],[Quantity]]*24*365/1000000000</f>
        <v>3.5040000000000002E-3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3.8</v>
      </c>
      <c r="W3" s="8">
        <f>Table9[[#This Row],[Failures per year]]*Table9[[#This Row],[Total Time to Repair(h)]]*Table9[[#This Row],[No. Of technicians]]*Table9[[#This Row],[Cost per hour]]</f>
        <v>7.9891199999999996E-2</v>
      </c>
    </row>
    <row r="4" spans="1:23" x14ac:dyDescent="0.25">
      <c r="A4" t="s">
        <v>3</v>
      </c>
      <c r="B4" t="s">
        <v>6</v>
      </c>
      <c r="C4">
        <v>0.1</v>
      </c>
      <c r="D4">
        <v>800</v>
      </c>
      <c r="E4">
        <v>0</v>
      </c>
      <c r="F4" s="8">
        <f>Table9[[#This Row],[Floor Space per component]]*Table9[[#This Row],[Quantity]]</f>
        <v>0</v>
      </c>
      <c r="G4" s="8">
        <v>10.6</v>
      </c>
      <c r="H4" s="8">
        <f>Table9[[#This Row],[Total Floor Space]]*Table9[[#This Row],[Rent per sqm per year]]</f>
        <v>0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6.1679999999999999E-3</v>
      </c>
      <c r="O4" s="8">
        <f>Table9[[#This Row],[Yearly Energy Consumption in kWh]]*Table9[[#This Row],[CU/kWh]]</f>
        <v>32.419007999999998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3.8</v>
      </c>
      <c r="W4" s="8">
        <f>Table9[[#This Row],[Failures per year]]*Table9[[#This Row],[Total Time to Repair(h)]]*Table9[[#This Row],[No. Of technicians]]*Table9[[#This Row],[Cost per hour]]</f>
        <v>0</v>
      </c>
    </row>
    <row r="5" spans="1:23" x14ac:dyDescent="0.25">
      <c r="A5" t="s">
        <v>3</v>
      </c>
      <c r="B5" t="s">
        <v>76</v>
      </c>
      <c r="C5">
        <v>400</v>
      </c>
      <c r="D5">
        <v>1</v>
      </c>
      <c r="E5">
        <v>20</v>
      </c>
      <c r="F5" s="8">
        <f>Table9[[#This Row],[Floor Space per component]]*Table9[[#This Row],[Quantity]]</f>
        <v>20</v>
      </c>
      <c r="G5" s="8">
        <v>10.6</v>
      </c>
      <c r="H5" s="8">
        <f>Table9[[#This Row],[Total Floor Space]]*Table9[[#This Row],[Rent per sqm per year]]</f>
        <v>212</v>
      </c>
      <c r="I5">
        <f>24*Table9[[#This Row],[Quantity]]</f>
        <v>24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6.1679999999999999E-3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3.8</v>
      </c>
      <c r="W5" s="8">
        <f>Table9[[#This Row],[Failures per year]]*Table9[[#This Row],[Total Time to Repair(h)]]*Table9[[#This Row],[No. Of technicians]]*Table9[[#This Row],[Cost per hour]]</f>
        <v>0</v>
      </c>
    </row>
    <row r="6" spans="1:23" x14ac:dyDescent="0.25">
      <c r="A6" t="s">
        <v>8</v>
      </c>
      <c r="B6" t="s">
        <v>77</v>
      </c>
      <c r="C6">
        <v>24</v>
      </c>
      <c r="D6">
        <v>8</v>
      </c>
      <c r="E6">
        <v>0</v>
      </c>
      <c r="F6" s="8">
        <f>Table9[[#This Row],[Floor Space per component]]*Table9[[#This Row],[Quantity]]</f>
        <v>0</v>
      </c>
      <c r="G6" s="8">
        <v>10.6</v>
      </c>
      <c r="H6" s="8">
        <f>Table9[[#This Row],[Total Floor Space]]*Table9[[#This Row],[Rent per sqm per year]]</f>
        <v>0</v>
      </c>
      <c r="I6">
        <f>1/6*Table9[[#This Row],[Quantity]]</f>
        <v>1.3333333333333333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6.1679999999999999E-3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3.5040000000000002E-3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3.8</v>
      </c>
      <c r="W6" s="8">
        <f>Table9[[#This Row],[Failures per year]]*Table9[[#This Row],[Total Time to Repair(h)]]*Table9[[#This Row],[No. Of technicians]]*Table9[[#This Row],[Cost per hour]]</f>
        <v>8.1222719999999984E-2</v>
      </c>
    </row>
    <row r="7" spans="1:23" x14ac:dyDescent="0.25">
      <c r="A7" t="s">
        <v>10</v>
      </c>
      <c r="B7" t="s">
        <v>86</v>
      </c>
      <c r="C7">
        <v>112</v>
      </c>
      <c r="D7">
        <v>610</v>
      </c>
      <c r="E7">
        <v>1</v>
      </c>
      <c r="F7" s="8">
        <f>Table9[[#This Row],[Floor Space per component]]*Table9[[#This Row],[Quantity]]</f>
        <v>610</v>
      </c>
      <c r="G7" s="8">
        <v>10.6</v>
      </c>
      <c r="H7" s="8">
        <f>Table9[[#This Row],[Total Floor Space]]*Table9[[#This Row],[Rent per sqm per year]]</f>
        <v>6466</v>
      </c>
      <c r="I7">
        <f>(0.5+1/6*4)*Table9[[#This Row],[Quantity]]</f>
        <v>711.66666666666663</v>
      </c>
      <c r="J7">
        <v>24</v>
      </c>
      <c r="K7">
        <v>5000</v>
      </c>
      <c r="L7">
        <f>50*Table9[[#This Row],[Quantity]]</f>
        <v>30500</v>
      </c>
      <c r="M7" s="8">
        <f>Table9[[#This Row],[Energy consumption in W]]*24*365/1000</f>
        <v>267180</v>
      </c>
      <c r="N7" s="8">
        <f t="shared" si="0"/>
        <v>6.1679999999999999E-3</v>
      </c>
      <c r="O7" s="8">
        <f>Table9[[#This Row],[Yearly Energy Consumption in kWh]]*Table9[[#This Row],[CU/kWh]]</f>
        <v>1647.96624</v>
      </c>
      <c r="P7">
        <v>1.5</v>
      </c>
      <c r="Q7" s="8">
        <v>20</v>
      </c>
      <c r="R7" s="8">
        <f>Table9[[#This Row],[FIT]]*Table9[[#This Row],[Quantity]]*24*365/1000000000</f>
        <v>26.718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3.8</v>
      </c>
      <c r="W7" s="8">
        <f>Table9[[#This Row],[Failures per year]]*Table9[[#This Row],[Total Time to Repair(h)]]*Table9[[#This Row],[No. Of technicians]]*Table9[[#This Row],[Cost per hour]]</f>
        <v>2451.91086</v>
      </c>
    </row>
    <row r="8" spans="1:23" x14ac:dyDescent="0.25">
      <c r="A8" t="s">
        <v>10</v>
      </c>
      <c r="B8" t="s">
        <v>87</v>
      </c>
      <c r="C8">
        <v>3.1</v>
      </c>
      <c r="D8">
        <v>1830</v>
      </c>
      <c r="E8">
        <v>0</v>
      </c>
      <c r="F8" s="8">
        <f>Table9[[#This Row],[Floor Space per component]]*Table9[[#This Row],[Quantity]]</f>
        <v>0</v>
      </c>
      <c r="G8" s="8">
        <v>10.6</v>
      </c>
      <c r="H8" s="8">
        <f>Table9[[#This Row],[Total Floor Space]]*Table9[[#This Row],[Rent per sqm per year]]</f>
        <v>0</v>
      </c>
      <c r="I8">
        <f>(0.5)*Table9[[#This Row],[Quantity]]</f>
        <v>915</v>
      </c>
      <c r="J8">
        <v>6</v>
      </c>
      <c r="K8">
        <v>256</v>
      </c>
      <c r="L8">
        <f>5.5*Table9[[#This Row],[Quantity]]</f>
        <v>10065</v>
      </c>
      <c r="M8" s="8">
        <f>Table9[[#This Row],[Energy consumption in W]]*24*365/1000</f>
        <v>88169.4</v>
      </c>
      <c r="N8" s="8">
        <f t="shared" si="0"/>
        <v>6.1679999999999999E-3</v>
      </c>
      <c r="O8" s="8">
        <f>Table9[[#This Row],[Yearly Energy Consumption in kWh]]*Table9[[#This Row],[CU/kWh]]</f>
        <v>543.8288591999999</v>
      </c>
      <c r="P8">
        <v>1.5</v>
      </c>
      <c r="Q8" s="8">
        <v>20</v>
      </c>
      <c r="R8" s="8">
        <f>Table9[[#This Row],[FIT]]*Table9[[#This Row],[Quantity]]*24*365/1000000000</f>
        <v>4.1038848000000003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3.8</v>
      </c>
      <c r="W8" s="8">
        <f>Table9[[#This Row],[Failures per year]]*Table9[[#This Row],[Total Time to Repair(h)]]*Table9[[#This Row],[No. Of technicians]]*Table9[[#This Row],[Cost per hour]]</f>
        <v>95.907787776000006</v>
      </c>
    </row>
    <row r="9" spans="1:23" x14ac:dyDescent="0.25">
      <c r="A9" t="s">
        <v>10</v>
      </c>
      <c r="B9" t="s">
        <v>88</v>
      </c>
      <c r="C9">
        <v>12</v>
      </c>
      <c r="D9">
        <v>1830</v>
      </c>
      <c r="E9">
        <v>1</v>
      </c>
      <c r="F9" s="8">
        <f>Table9[[#This Row],[Floor Space per component]]*Table9[[#This Row],[Quantity]]</f>
        <v>1830</v>
      </c>
      <c r="G9" s="8">
        <v>4</v>
      </c>
      <c r="H9" s="8">
        <f>Table9[[#This Row],[Total Floor Space]]*Table9[[#This Row],[Rent per sqm per year]]</f>
        <v>7320</v>
      </c>
      <c r="I9">
        <f>(0.5+1/6*16)*Table9[[#This Row],[Quantity]]</f>
        <v>5795</v>
      </c>
      <c r="J9">
        <v>24</v>
      </c>
      <c r="K9">
        <v>5000</v>
      </c>
      <c r="L9">
        <f>50*Table9[[#This Row],[Quantity]]</f>
        <v>91500</v>
      </c>
      <c r="M9" s="8">
        <f>Table9[[#This Row],[Energy consumption in W]]*24*365/1000</f>
        <v>801540</v>
      </c>
      <c r="N9" s="8">
        <f t="shared" si="0"/>
        <v>6.1679999999999999E-3</v>
      </c>
      <c r="O9" s="8">
        <f>Table9[[#This Row],[Yearly Energy Consumption in kWh]]*Table9[[#This Row],[CU/kWh]]</f>
        <v>4943.8987200000001</v>
      </c>
      <c r="P9">
        <v>2</v>
      </c>
      <c r="Q9" s="8">
        <v>20</v>
      </c>
      <c r="R9" s="8">
        <f>Table9[[#This Row],[FIT]]*Table9[[#This Row],[Quantity]]*24*365/1000000000</f>
        <v>80.153999999999996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3.8</v>
      </c>
      <c r="W9" s="8">
        <f>Table9[[#This Row],[Failures per year]]*Table9[[#This Row],[Total Time to Repair(h)]]*Table9[[#This Row],[No. Of technicians]]*Table9[[#This Row],[Cost per hour]]</f>
        <v>7370.961839999999</v>
      </c>
    </row>
    <row r="10" spans="1:23" x14ac:dyDescent="0.25">
      <c r="A10" t="s">
        <v>89</v>
      </c>
      <c r="B10" t="s">
        <v>84</v>
      </c>
      <c r="C10">
        <v>0</v>
      </c>
      <c r="D10">
        <v>0</v>
      </c>
      <c r="E10">
        <v>0</v>
      </c>
      <c r="F10" s="8">
        <f>Table9[[#This Row],[Floor Space per component]]*Table9[[#This Row],[Quantity]]</f>
        <v>0</v>
      </c>
      <c r="G10" s="8">
        <v>4</v>
      </c>
      <c r="H10" s="8">
        <f>Table9[[#This Row],[Total Floor Space]]*Table9[[#This Row],[Rent per sqm per year]]</f>
        <v>0</v>
      </c>
      <c r="I10">
        <v>0</v>
      </c>
      <c r="J10">
        <v>0</v>
      </c>
      <c r="K10">
        <v>0</v>
      </c>
      <c r="L10">
        <v>0</v>
      </c>
      <c r="M10" s="8">
        <f>Table9[[#This Row],[Energy consumption in W]]*24*365/1000</f>
        <v>0</v>
      </c>
      <c r="N10" s="8">
        <f t="shared" si="0"/>
        <v>6.1679999999999999E-3</v>
      </c>
      <c r="O10" s="8">
        <f>Table9[[#This Row],[Yearly Energy Consumption in kWh]]*Table9[[#This Row],[CU/kWh]]</f>
        <v>0</v>
      </c>
      <c r="P10">
        <v>2</v>
      </c>
      <c r="Q10" s="8">
        <v>20</v>
      </c>
      <c r="R10" s="8">
        <f>Table9[[#This Row],[FIT]]*Table9[[#This Row],[Quantity]]*24*365/1000000000</f>
        <v>0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0.2</v>
      </c>
      <c r="U10">
        <v>1</v>
      </c>
      <c r="V10" s="8">
        <v>3.8</v>
      </c>
      <c r="W10" s="8">
        <f>Table9[[#This Row],[Failures per year]]*Table9[[#This Row],[Total Time to Repair(h)]]*Table9[[#This Row],[No. Of technicians]]*Table9[[#This Row],[Cost per hour]]</f>
        <v>0</v>
      </c>
    </row>
    <row r="11" spans="1:23" x14ac:dyDescent="0.25">
      <c r="H11">
        <f>SUM(Table9[Total Rent cost per year])</f>
        <v>16202.8</v>
      </c>
      <c r="O11">
        <f>SUBTOTAL(109,Table9[Energy Cost per year in CU])</f>
        <v>7232.9508432000002</v>
      </c>
      <c r="W11">
        <f>SUBTOTAL(109,Table9[FM Cost])</f>
        <v>9920.9868164159998</v>
      </c>
    </row>
    <row r="15" spans="1:23" x14ac:dyDescent="0.25">
      <c r="P15" t="s">
        <v>70</v>
      </c>
    </row>
    <row r="16" spans="1:23" x14ac:dyDescent="0.25">
      <c r="A16" s="8" t="s">
        <v>40</v>
      </c>
      <c r="B16" s="8" t="s">
        <v>64</v>
      </c>
      <c r="C16" s="8" t="s">
        <v>17</v>
      </c>
      <c r="D16" s="8" t="s">
        <v>16</v>
      </c>
      <c r="E16" s="8" t="s">
        <v>41</v>
      </c>
      <c r="F16" s="8" t="s">
        <v>30</v>
      </c>
      <c r="G16" s="8" t="s">
        <v>45</v>
      </c>
      <c r="H16" s="8" t="s">
        <v>48</v>
      </c>
      <c r="I16" s="8" t="s">
        <v>49</v>
      </c>
      <c r="J16" s="8" t="s">
        <v>51</v>
      </c>
      <c r="P16">
        <f>Table9[[#Totals],[Total Rent cost per year]]+Table9[[#Totals],[Energy Cost per year in CU]]+Table9[[#Totals],[FM Cost]]+J20</f>
        <v>33645.417601357185</v>
      </c>
    </row>
    <row r="17" spans="1:16" x14ac:dyDescent="0.25">
      <c r="A17" t="s">
        <v>42</v>
      </c>
      <c r="B17">
        <f>8635.15425010598/1000</f>
        <v>8.6351542501059786</v>
      </c>
      <c r="C17">
        <f>570*B17</f>
        <v>4922.0379225604074</v>
      </c>
      <c r="D17">
        <v>24</v>
      </c>
      <c r="E17">
        <v>1</v>
      </c>
      <c r="F17">
        <v>3.8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3.9404674007068903</v>
      </c>
    </row>
    <row r="18" spans="1:16" x14ac:dyDescent="0.25">
      <c r="A18" t="s">
        <v>43</v>
      </c>
      <c r="B18">
        <f>233483.637737831/1000</f>
        <v>233.483637737831</v>
      </c>
      <c r="C18" s="8">
        <f t="shared" ref="C18:C19" si="1">570*B18</f>
        <v>133085.67351056368</v>
      </c>
      <c r="D18">
        <v>24</v>
      </c>
      <c r="E18">
        <v>1</v>
      </c>
      <c r="F18">
        <v>3.8</v>
      </c>
      <c r="G1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</row>
    <row r="19" spans="1:16" x14ac:dyDescent="0.25">
      <c r="A19" t="s">
        <v>63</v>
      </c>
      <c r="B19">
        <f>387592.626526276/1000</f>
        <v>387.59262652627598</v>
      </c>
      <c r="C19" s="8">
        <f t="shared" si="1"/>
        <v>220927.7971199773</v>
      </c>
      <c r="D19">
        <v>24</v>
      </c>
      <c r="E19">
        <v>1</v>
      </c>
      <c r="F19">
        <v>3.8</v>
      </c>
      <c r="G19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</row>
    <row r="20" spans="1:16" x14ac:dyDescent="0.25">
      <c r="J20">
        <f>SUM(J17:J19)</f>
        <v>288.67994174118155</v>
      </c>
      <c r="O20" s="8" t="s">
        <v>98</v>
      </c>
      <c r="P20" s="8" t="s">
        <v>67</v>
      </c>
    </row>
    <row r="21" spans="1:16" x14ac:dyDescent="0.25">
      <c r="O21" s="8" t="s">
        <v>93</v>
      </c>
      <c r="P21" s="8">
        <f>Table9[[#Totals],[Total Rent cost per year]]</f>
        <v>16202.8</v>
      </c>
    </row>
    <row r="22" spans="1:16" x14ac:dyDescent="0.25">
      <c r="O22" s="8" t="s">
        <v>94</v>
      </c>
      <c r="P22" s="8">
        <f>Table9[[#Totals],[Energy Cost per year in CU]]</f>
        <v>7232.9508432000002</v>
      </c>
    </row>
    <row r="23" spans="1:16" x14ac:dyDescent="0.25">
      <c r="O23" s="8" t="s">
        <v>95</v>
      </c>
      <c r="P23" s="8">
        <f>Table9[[#Totals],[FM Cost]]+J20</f>
        <v>10209.666758157182</v>
      </c>
    </row>
    <row r="24" spans="1:16" x14ac:dyDescent="0.25">
      <c r="O24" s="8" t="s">
        <v>96</v>
      </c>
      <c r="P24" s="8">
        <f>0.05*SUM(P21:P23)</f>
        <v>1682.2708800678593</v>
      </c>
    </row>
    <row r="25" spans="1:16" x14ac:dyDescent="0.25">
      <c r="O25" s="8" t="s">
        <v>97</v>
      </c>
      <c r="P25" s="8">
        <f>0.07*SUM(P21:P23)</f>
        <v>2355.179232095003</v>
      </c>
    </row>
    <row r="26" spans="1:16" x14ac:dyDescent="0.25">
      <c r="O26" s="8"/>
      <c r="P26" s="8">
        <f>SUM(Table14161718[Cost])</f>
        <v>37682.867713520049</v>
      </c>
    </row>
    <row r="29" spans="1:16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J1" workbookViewId="0">
      <selection activeCell="P19" sqref="P19:P23"/>
    </sheetView>
  </sheetViews>
  <sheetFormatPr defaultRowHeight="15" x14ac:dyDescent="0.25"/>
  <cols>
    <col min="1" max="1" width="22.140625" customWidth="1"/>
    <col min="2" max="2" width="26.28515625" customWidth="1"/>
    <col min="3" max="3" width="20.140625" customWidth="1"/>
    <col min="4" max="4" width="18.42578125" customWidth="1"/>
    <col min="5" max="5" width="26" customWidth="1"/>
    <col min="6" max="6" width="20" customWidth="1"/>
    <col min="7" max="7" width="21.28515625" customWidth="1"/>
    <col min="8" max="8" width="22.7109375" customWidth="1"/>
    <col min="9" max="9" width="24" customWidth="1"/>
    <col min="10" max="10" width="15.28515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36</v>
      </c>
      <c r="F1" t="s">
        <v>35</v>
      </c>
      <c r="G1" t="s">
        <v>37</v>
      </c>
      <c r="H1" t="s">
        <v>38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s="16" t="s">
        <v>3</v>
      </c>
      <c r="B2" s="17" t="s">
        <v>59</v>
      </c>
      <c r="C2" s="18">
        <v>80</v>
      </c>
      <c r="D2" s="18">
        <v>80</v>
      </c>
      <c r="E2">
        <v>5</v>
      </c>
      <c r="F2">
        <f>E2*D2</f>
        <v>400</v>
      </c>
      <c r="G2">
        <v>10.6</v>
      </c>
      <c r="H2">
        <f>Table10[[#This Row],[Total Floor Space]]*Table10[[#This Row],[Rent per sqm per year]]</f>
        <v>4240</v>
      </c>
      <c r="I2">
        <f>(0.5+1/6*6)*Table10[[#This Row],[Quantity]]</f>
        <v>120</v>
      </c>
      <c r="J2">
        <v>6</v>
      </c>
      <c r="K2">
        <v>256</v>
      </c>
      <c r="L2">
        <f>0.5*10*6*Table10[[#This Row],[Quantity]]</f>
        <v>2400</v>
      </c>
      <c r="M2">
        <f>Table10[[#This Row],[Energy consumption in W]]*24*365/1000</f>
        <v>21024</v>
      </c>
      <c r="N2">
        <f>0.3084/50</f>
        <v>6.1679999999999999E-3</v>
      </c>
      <c r="O2">
        <f>Table10[[#This Row],[Yearly Energy Consumption in kWh]]*Table10[[#This Row],[CU/kWh]]</f>
        <v>129.67603199999999</v>
      </c>
      <c r="P2">
        <v>0</v>
      </c>
      <c r="Q2">
        <v>20</v>
      </c>
      <c r="R2">
        <f>Table10[[#This Row],[FIT]]*Table10[[#This Row],[Quantity]]*24*365/1000000000</f>
        <v>0.1794048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3.8</v>
      </c>
      <c r="W2">
        <f>Table10[[#This Row],[Failures per year]]*Table10[[#This Row],[Total Time to Repair(h)]]*Table10[[#This Row],[No. Of technicians]]*Table10[[#This Row],[Cost per hour]]</f>
        <v>4.0904294399999994</v>
      </c>
    </row>
    <row r="3" spans="1:23" x14ac:dyDescent="0.25">
      <c r="A3" s="19" t="s">
        <v>3</v>
      </c>
      <c r="B3" s="20" t="s">
        <v>85</v>
      </c>
      <c r="C3" s="21">
        <v>40</v>
      </c>
      <c r="D3" s="21">
        <v>8</v>
      </c>
      <c r="E3">
        <v>0</v>
      </c>
      <c r="F3" s="8">
        <f t="shared" ref="F3:F9" si="0">E3*D3</f>
        <v>0</v>
      </c>
      <c r="G3" s="8">
        <v>10.6</v>
      </c>
      <c r="H3" s="8">
        <f>Table10[[#This Row],[Total Floor Space]]*Table10[[#This Row],[Rent per sqm per year]]</f>
        <v>0</v>
      </c>
      <c r="I3">
        <f>1/6*Table10[[#This Row],[Quantity]]</f>
        <v>1.3333333333333333</v>
      </c>
      <c r="J3">
        <v>6</v>
      </c>
      <c r="K3">
        <v>50</v>
      </c>
      <c r="L3">
        <f>100*Table10[[#This Row],[Quantity]]</f>
        <v>800</v>
      </c>
      <c r="M3" s="8">
        <f>Table10[[#This Row],[Energy consumption in W]]*24*365/1000</f>
        <v>7008</v>
      </c>
      <c r="N3" s="8">
        <f t="shared" ref="N3:N9" si="1">0.3084/50</f>
        <v>6.1679999999999999E-3</v>
      </c>
      <c r="O3" s="8">
        <f>Table10[[#This Row],[Yearly Energy Consumption in kWh]]*Table10[[#This Row],[CU/kWh]]</f>
        <v>43.225344</v>
      </c>
      <c r="P3">
        <v>0</v>
      </c>
      <c r="Q3" s="8">
        <v>20</v>
      </c>
      <c r="R3" s="8">
        <f>Table10[[#This Row],[FIT]]*Table10[[#This Row],[Quantity]]*24*365/1000000000</f>
        <v>3.5040000000000002E-3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3.8</v>
      </c>
      <c r="W3" s="8">
        <f>Table10[[#This Row],[Failures per year]]*Table10[[#This Row],[Total Time to Repair(h)]]*Table10[[#This Row],[No. Of technicians]]*Table10[[#This Row],[Cost per hour]]</f>
        <v>7.9891199999999996E-2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18">
        <v>1600</v>
      </c>
      <c r="E4">
        <v>0</v>
      </c>
      <c r="F4" s="8">
        <f t="shared" si="0"/>
        <v>0</v>
      </c>
      <c r="G4" s="8">
        <v>10.6</v>
      </c>
      <c r="H4" s="8">
        <f>Table10[[#This Row],[Total Floor Space]]*Table10[[#This Row],[Rent per sqm per year]]</f>
        <v>0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6.1679999999999999E-3</v>
      </c>
      <c r="O4" s="8">
        <f>Table10[[#This Row],[Yearly Energy Consumption in kWh]]*Table10[[#This Row],[CU/kWh]]</f>
        <v>32.419007999999998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3.8</v>
      </c>
      <c r="W4" s="8">
        <f>Table10[[#This Row],[Failures per year]]*Table10[[#This Row],[Total Time to Repair(h)]]*Table10[[#This Row],[No. Of technicians]]*Table10[[#This Row],[Cost per hour]]</f>
        <v>0</v>
      </c>
    </row>
    <row r="5" spans="1:23" x14ac:dyDescent="0.25">
      <c r="A5" s="19" t="s">
        <v>3</v>
      </c>
      <c r="B5" s="20" t="s">
        <v>76</v>
      </c>
      <c r="C5" s="21">
        <v>400</v>
      </c>
      <c r="D5" s="21">
        <v>1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6.1679999999999999E-3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3.8</v>
      </c>
      <c r="W5" s="8">
        <f>Table10[[#This Row],[Failures per year]]*Table10[[#This Row],[Total Time to Repair(h)]]*Table10[[#This Row],[No. Of technicians]]*Table10[[#This Row],[Cost per hour]]</f>
        <v>0</v>
      </c>
    </row>
    <row r="6" spans="1:23" x14ac:dyDescent="0.25">
      <c r="A6" s="16" t="s">
        <v>8</v>
      </c>
      <c r="B6" s="17" t="s">
        <v>77</v>
      </c>
      <c r="C6" s="18">
        <f>80*0.3</f>
        <v>24</v>
      </c>
      <c r="D6" s="18">
        <v>8</v>
      </c>
      <c r="E6">
        <v>0</v>
      </c>
      <c r="F6" s="8">
        <f t="shared" si="0"/>
        <v>0</v>
      </c>
      <c r="G6" s="8">
        <v>10.6</v>
      </c>
      <c r="H6" s="8">
        <f>Table10[[#This Row],[Total Floor Space]]*Table10[[#This Row],[Rent per sqm per year]]</f>
        <v>0</v>
      </c>
      <c r="I6">
        <f>1/6*Table10[[#This Row],[Quantity]]</f>
        <v>1.3333333333333333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6.1679999999999999E-3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3.5040000000000002E-3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3.8</v>
      </c>
      <c r="W6" s="8">
        <f>Table10[[#This Row],[Failures per year]]*Table10[[#This Row],[Total Time to Repair(h)]]*Table10[[#This Row],[No. Of technicians]]*Table10[[#This Row],[Cost per hour]]</f>
        <v>8.1222719999999984E-2</v>
      </c>
    </row>
    <row r="7" spans="1:23" x14ac:dyDescent="0.25">
      <c r="A7" s="19" t="s">
        <v>10</v>
      </c>
      <c r="B7" s="20" t="s">
        <v>90</v>
      </c>
      <c r="C7" s="21">
        <v>0.9</v>
      </c>
      <c r="D7" s="21">
        <v>305</v>
      </c>
      <c r="E7">
        <v>0</v>
      </c>
      <c r="F7" s="8">
        <f t="shared" si="0"/>
        <v>0</v>
      </c>
      <c r="G7" s="8">
        <v>10.6</v>
      </c>
      <c r="H7" s="8">
        <f>Table10[[#This Row],[Total Floor Space]]*Table10[[#This Row],[Rent per sqm per year]]</f>
        <v>0</v>
      </c>
      <c r="I7">
        <f>0.5*Table10[[#This Row],[Quantity]]</f>
        <v>152.5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6.1679999999999999E-3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0.13358999999999999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3.8</v>
      </c>
      <c r="W7" s="8">
        <f>Table10[[#This Row],[Failures per year]]*Table10[[#This Row],[Total Time to Repair(h)]]*Table10[[#This Row],[No. Of technicians]]*Table10[[#This Row],[Cost per hour]]</f>
        <v>3.1473803999999994</v>
      </c>
    </row>
    <row r="8" spans="1:23" x14ac:dyDescent="0.25">
      <c r="A8" s="16" t="s">
        <v>89</v>
      </c>
      <c r="B8" s="17" t="s">
        <v>87</v>
      </c>
      <c r="C8" s="18">
        <v>3.1</v>
      </c>
      <c r="D8" s="18">
        <v>5000</v>
      </c>
      <c r="E8">
        <v>0</v>
      </c>
      <c r="F8" s="8">
        <f t="shared" si="0"/>
        <v>0</v>
      </c>
      <c r="G8" s="8">
        <v>4</v>
      </c>
      <c r="H8" s="8">
        <f>Table10[[#This Row],[Total Floor Space]]*Table10[[#This Row],[Rent per sqm per year]]</f>
        <v>0</v>
      </c>
      <c r="I8">
        <f>0.5*Table10[[#This Row],[Quantity]]</f>
        <v>2500</v>
      </c>
      <c r="J8">
        <v>6</v>
      </c>
      <c r="K8">
        <v>256</v>
      </c>
      <c r="L8">
        <f>5.5*Table10[[#This Row],[Quantity]]</f>
        <v>27500</v>
      </c>
      <c r="M8" s="8">
        <f>Table10[[#This Row],[Energy consumption in W]]*24*365/1000</f>
        <v>240900</v>
      </c>
      <c r="N8" s="8">
        <f t="shared" si="1"/>
        <v>6.1679999999999999E-3</v>
      </c>
      <c r="O8" s="8">
        <f>Table10[[#This Row],[Yearly Energy Consumption in kWh]]*Table10[[#This Row],[CU/kWh]]</f>
        <v>1485.8712</v>
      </c>
      <c r="P8">
        <v>4</v>
      </c>
      <c r="Q8" s="8">
        <v>20</v>
      </c>
      <c r="R8" s="8">
        <f>Table10[[#This Row],[FIT]]*Table10[[#This Row],[Quantity]]*24*365/1000000000</f>
        <v>11.2128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6.4</v>
      </c>
      <c r="U8" s="8">
        <v>1</v>
      </c>
      <c r="V8" s="8">
        <v>3.8</v>
      </c>
      <c r="W8" s="8">
        <f>Table10[[#This Row],[Failures per year]]*Table10[[#This Row],[Total Time to Repair(h)]]*Table10[[#This Row],[No. Of technicians]]*Table10[[#This Row],[Cost per hour]]</f>
        <v>272.69529599999998</v>
      </c>
    </row>
    <row r="9" spans="1:23" x14ac:dyDescent="0.25">
      <c r="A9" s="19" t="s">
        <v>89</v>
      </c>
      <c r="B9" s="20" t="s">
        <v>91</v>
      </c>
      <c r="C9" s="21">
        <v>8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>Table10[[#This Row],[Total Floor Space]]*Table10[[#This Row],[Rent per sqm per year]]</f>
        <v>0</v>
      </c>
      <c r="I9">
        <f>(0.5+1/6*6)*Table10[[#This Row],[Quantity]]</f>
        <v>7500</v>
      </c>
      <c r="J9">
        <v>24</v>
      </c>
      <c r="K9">
        <v>5000</v>
      </c>
      <c r="L9">
        <f>50*Table10[[#This Row],[Total Floor Space]]</f>
        <v>250000</v>
      </c>
      <c r="M9" s="8">
        <f>Table10[[#This Row],[Energy consumption in W]]*24*365/1000</f>
        <v>2190000</v>
      </c>
      <c r="N9" s="8">
        <f t="shared" si="1"/>
        <v>6.1679999999999999E-3</v>
      </c>
      <c r="O9" s="8">
        <f>Table10[[#This Row],[Yearly Energy Consumption in kWh]]*Table10[[#This Row],[CU/kWh]]</f>
        <v>13507.92</v>
      </c>
      <c r="P9">
        <v>4</v>
      </c>
      <c r="Q9">
        <v>20</v>
      </c>
      <c r="R9" s="8">
        <f>Table10[[#This Row],[FIT]]*Table10[[#This Row],[Quantity]]*24*365/1000000000</f>
        <v>219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3.8</v>
      </c>
      <c r="W9" s="8">
        <f>Table10[[#This Row],[Failures per year]]*Table10[[#This Row],[Total Time to Repair(h)]]*Table10[[#This Row],[No. Of technicians]]*Table10[[#This Row],[Cost per hour]]</f>
        <v>20305.679999999997</v>
      </c>
    </row>
    <row r="10" spans="1:23" x14ac:dyDescent="0.25">
      <c r="A10" s="27"/>
      <c r="B10" s="26"/>
      <c r="C10" s="25"/>
      <c r="D10" s="25"/>
      <c r="E10" s="24"/>
      <c r="F10" s="24"/>
      <c r="G10" s="24"/>
      <c r="H10" s="24">
        <f>SUM(Table10[Total Rent cost per year])</f>
        <v>4240</v>
      </c>
      <c r="I10" s="24"/>
      <c r="J10" s="24"/>
      <c r="K10" s="24"/>
      <c r="L10" s="24"/>
      <c r="M10" s="24"/>
      <c r="N10" s="24"/>
      <c r="O10" s="24">
        <f>SUBTOTAL(109,Table10[Energy Cost per year in CU])</f>
        <v>15199.111584</v>
      </c>
      <c r="P10" s="24"/>
      <c r="Q10" s="24"/>
      <c r="R10" s="24"/>
      <c r="S10" s="24"/>
      <c r="T10" s="24"/>
      <c r="U10" s="24"/>
      <c r="V10" s="24"/>
      <c r="W10" s="24">
        <f>SUBTOTAL(109,Table10[FM Cost])</f>
        <v>20585.774219759998</v>
      </c>
    </row>
    <row r="15" spans="1:23" x14ac:dyDescent="0.25">
      <c r="A15" s="8" t="s">
        <v>40</v>
      </c>
      <c r="B15" s="8" t="s">
        <v>64</v>
      </c>
      <c r="C15" s="8" t="s">
        <v>17</v>
      </c>
      <c r="D15" s="8" t="s">
        <v>16</v>
      </c>
      <c r="E15" s="8" t="s">
        <v>41</v>
      </c>
      <c r="F15" s="8" t="s">
        <v>30</v>
      </c>
      <c r="G15" s="8" t="s">
        <v>45</v>
      </c>
      <c r="H15" s="8" t="s">
        <v>48</v>
      </c>
      <c r="I15" s="8" t="s">
        <v>49</v>
      </c>
      <c r="J15" s="8" t="s">
        <v>51</v>
      </c>
      <c r="M15" t="s">
        <v>70</v>
      </c>
    </row>
    <row r="16" spans="1:23" x14ac:dyDescent="0.25">
      <c r="A16" s="8" t="s">
        <v>42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>
        <f>Table10[[#Totals],[Total Rent cost per year]]+Table10[[#Totals],[Energy Cost per year in CU]]+Table10[[#Totals],[FM Cost]]+J19</f>
        <v>40304.782696752547</v>
      </c>
    </row>
    <row r="17" spans="1:16" x14ac:dyDescent="0.25">
      <c r="A17" s="8" t="s">
        <v>43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63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98</v>
      </c>
      <c r="P18" s="8" t="s">
        <v>67</v>
      </c>
    </row>
    <row r="19" spans="1:16" x14ac:dyDescent="0.25">
      <c r="J19">
        <f>SUM(J16:J18)</f>
        <v>279.89689299254849</v>
      </c>
      <c r="O19" s="8" t="s">
        <v>93</v>
      </c>
      <c r="P19" s="8">
        <f>Table10[[#Totals],[Total Rent cost per year]]</f>
        <v>4240</v>
      </c>
    </row>
    <row r="20" spans="1:16" x14ac:dyDescent="0.25">
      <c r="O20" s="8" t="s">
        <v>94</v>
      </c>
      <c r="P20" s="8">
        <f>Table10[[#Totals],[Energy Cost per year in CU]]</f>
        <v>15199.111584</v>
      </c>
    </row>
    <row r="21" spans="1:16" x14ac:dyDescent="0.25">
      <c r="O21" s="8" t="s">
        <v>95</v>
      </c>
      <c r="P21" s="8">
        <f>Table10[[#Totals],[FM Cost]]</f>
        <v>20585.774219759998</v>
      </c>
    </row>
    <row r="22" spans="1:16" x14ac:dyDescent="0.25">
      <c r="O22" s="8" t="s">
        <v>96</v>
      </c>
      <c r="P22" s="8">
        <f>0.05*SUM(P19:P21)</f>
        <v>2001.2442901880002</v>
      </c>
    </row>
    <row r="23" spans="1:16" x14ac:dyDescent="0.25">
      <c r="O23" s="8" t="s">
        <v>97</v>
      </c>
      <c r="P23" s="8">
        <f>0.07*SUM(P19:P21)</f>
        <v>2801.7420062632004</v>
      </c>
    </row>
    <row r="24" spans="1:16" x14ac:dyDescent="0.25">
      <c r="O24" s="8"/>
      <c r="P24" s="8">
        <f>SUM(Table1416171819[Cost])</f>
        <v>44827.8721002112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H1" workbookViewId="0">
      <selection activeCell="P19" sqref="P19:P23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36</v>
      </c>
      <c r="F1" s="8" t="s">
        <v>35</v>
      </c>
      <c r="G1" s="8" t="s">
        <v>37</v>
      </c>
      <c r="H1" s="8" t="s">
        <v>38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26" t="s">
        <v>59</v>
      </c>
      <c r="C2" s="18">
        <v>80</v>
      </c>
      <c r="D2" s="25">
        <v>160</v>
      </c>
      <c r="E2" s="8">
        <v>5</v>
      </c>
      <c r="F2" s="8">
        <f>E2*D2</f>
        <v>800</v>
      </c>
      <c r="G2" s="8">
        <v>10.6</v>
      </c>
      <c r="H2" s="8">
        <f>Table1012[[#This Row],[Total Floor Space]]*Table1012[[#This Row],[Rent per sqm per year]]</f>
        <v>8480</v>
      </c>
      <c r="I2" s="8">
        <f>(0.5+1/6*6)*Table1012[[#This Row],[Quantity]]</f>
        <v>240</v>
      </c>
      <c r="J2" s="8">
        <v>6</v>
      </c>
      <c r="K2" s="8">
        <v>256</v>
      </c>
      <c r="L2" s="8">
        <f>0.5*10*6*Table1012[[#This Row],[Quantity]]</f>
        <v>4800</v>
      </c>
      <c r="M2" s="8">
        <f>Table1012[[#This Row],[Energy consumption in W]]*24*365/1000</f>
        <v>42048</v>
      </c>
      <c r="N2" s="8">
        <f>0.3084/50</f>
        <v>6.1679999999999999E-3</v>
      </c>
      <c r="O2" s="8">
        <f>Table1012[[#This Row],[Yearly Energy Consumption in kWh]]*Table1012[[#This Row],[CU/kWh]]</f>
        <v>259.35206399999998</v>
      </c>
      <c r="P2" s="8">
        <v>0</v>
      </c>
      <c r="Q2" s="8">
        <v>20</v>
      </c>
      <c r="R2" s="8">
        <f>Table1012[[#This Row],[FIT]]*Table1012[[#This Row],[Quantity]]*24*365/1000000000</f>
        <v>0.35880960000000001</v>
      </c>
      <c r="S2" s="8">
        <f>2*Table1012[[#This Row],[Mean dist in km from CO]]/Table1012[[#This Row],[Avg Travel Speed]]</f>
        <v>0</v>
      </c>
      <c r="T2" s="8">
        <f>Table1012[[#This Row],[MTTR]]+Table1012[[#This Row],[Twice Travel Time]]</f>
        <v>6</v>
      </c>
      <c r="U2" s="8">
        <v>1</v>
      </c>
      <c r="V2" s="8">
        <v>3.8</v>
      </c>
      <c r="W2" s="8">
        <f>Table1012[[#This Row],[Failures per year]]*Table1012[[#This Row],[Total Time to Repair(h)]]*Table1012[[#This Row],[No. Of technicians]]*Table1012[[#This Row],[Cost per hour]]</f>
        <v>8.1808588799999988</v>
      </c>
    </row>
    <row r="3" spans="1:23" x14ac:dyDescent="0.25">
      <c r="A3" s="19" t="s">
        <v>3</v>
      </c>
      <c r="B3" s="26" t="s">
        <v>85</v>
      </c>
      <c r="C3" s="21">
        <v>40</v>
      </c>
      <c r="D3" s="25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Table1012[[#This Row],[Total Floor Space]]*Table1012[[#This Row],[Rent per sqm per year]]</f>
        <v>0</v>
      </c>
      <c r="I3" s="8">
        <f>1/6*Table1012[[#This Row],[Quantity]]</f>
        <v>2.6666666666666665</v>
      </c>
      <c r="J3" s="8">
        <v>6</v>
      </c>
      <c r="K3" s="8">
        <v>50</v>
      </c>
      <c r="L3" s="8">
        <f>100*Table1012[[#This Row],[Quantity]]</f>
        <v>1600</v>
      </c>
      <c r="M3" s="8">
        <f>Table1012[[#This Row],[Energy consumption in W]]*24*365/1000</f>
        <v>14016</v>
      </c>
      <c r="N3" s="8">
        <f t="shared" ref="N3:N9" si="1">0.3084/50</f>
        <v>6.1679999999999999E-3</v>
      </c>
      <c r="O3" s="8">
        <f>Table1012[[#This Row],[Yearly Energy Consumption in kWh]]*Table1012[[#This Row],[CU/kWh]]</f>
        <v>86.450688</v>
      </c>
      <c r="P3" s="8">
        <v>0</v>
      </c>
      <c r="Q3" s="8">
        <v>20</v>
      </c>
      <c r="R3" s="8">
        <f>Table1012[[#This Row],[FIT]]*Table1012[[#This Row],[Quantity]]*24*365/1000000000</f>
        <v>7.0080000000000003E-3</v>
      </c>
      <c r="S3" s="8">
        <f>2*Table1012[[#This Row],[Mean dist in km from CO]]/Table1012[[#This Row],[Avg Travel Speed]]</f>
        <v>0</v>
      </c>
      <c r="T3" s="8">
        <f>Table1012[[#This Row],[MTTR]]+Table1012[[#This Row],[Twice Travel Time]]</f>
        <v>6</v>
      </c>
      <c r="U3" s="8">
        <v>1</v>
      </c>
      <c r="V3" s="8">
        <v>3.8</v>
      </c>
      <c r="W3" s="8">
        <f>Table1012[[#This Row],[Failures per year]]*Table1012[[#This Row],[Total Time to Repair(h)]]*Table1012[[#This Row],[No. Of technicians]]*Table1012[[#This Row],[Cost per hour]]</f>
        <v>0.15978239999999999</v>
      </c>
    </row>
    <row r="4" spans="1:23" x14ac:dyDescent="0.25">
      <c r="A4" s="16" t="s">
        <v>3</v>
      </c>
      <c r="B4" s="26" t="s">
        <v>6</v>
      </c>
      <c r="C4" s="18">
        <f>0.1</f>
        <v>0.1</v>
      </c>
      <c r="D4" s="25">
        <v>3200</v>
      </c>
      <c r="E4" s="8">
        <v>0</v>
      </c>
      <c r="F4" s="8">
        <f t="shared" si="0"/>
        <v>0</v>
      </c>
      <c r="G4" s="8">
        <v>10.6</v>
      </c>
      <c r="H4" s="8">
        <f>Table1012[[#This Row],[Total Floor Space]]*Table1012[[#This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Table1012[[#This Row],[Energy consumption in W]]*24*365/1000</f>
        <v>5256</v>
      </c>
      <c r="N4" s="8">
        <f t="shared" si="1"/>
        <v>6.1679999999999999E-3</v>
      </c>
      <c r="O4" s="8">
        <f>Table1012[[#This Row],[Yearly Energy Consumption in kWh]]*Table1012[[#This Row],[CU/kWh]]</f>
        <v>32.419007999999998</v>
      </c>
      <c r="P4" s="8">
        <v>0</v>
      </c>
      <c r="Q4" s="8">
        <v>20</v>
      </c>
      <c r="R4" s="8">
        <f>Table1012[[#This Row],[FIT]]*Table1012[[#This Row],[Quantity]]*24*365/1000000000</f>
        <v>0</v>
      </c>
      <c r="S4" s="8">
        <f>2*Table1012[[#This Row],[Mean dist in km from CO]]/Table1012[[#This Row],[Avg Travel Speed]]</f>
        <v>0</v>
      </c>
      <c r="T4" s="8">
        <f>Table1012[[#This Row],[MTTR]]+Table1012[[#This Row],[Twice Travel Time]]</f>
        <v>0</v>
      </c>
      <c r="U4" s="8">
        <v>1</v>
      </c>
      <c r="V4" s="8">
        <v>3.8</v>
      </c>
      <c r="W4" s="8">
        <f>Table1012[[#This Row],[Failures per year]]*Table1012[[#This Row],[Total Time to Repair(h)]]*Table1012[[#This Row],[No. Of technicians]]*Table1012[[#This Row],[Cost per hour]]</f>
        <v>0</v>
      </c>
    </row>
    <row r="5" spans="1:23" x14ac:dyDescent="0.25">
      <c r="A5" s="19" t="s">
        <v>3</v>
      </c>
      <c r="B5" s="26" t="s">
        <v>76</v>
      </c>
      <c r="C5" s="21">
        <v>400</v>
      </c>
      <c r="D5" s="25">
        <v>1</v>
      </c>
      <c r="E5" s="8">
        <v>0</v>
      </c>
      <c r="F5" s="8">
        <f t="shared" si="0"/>
        <v>0</v>
      </c>
      <c r="G5" s="8">
        <v>10.6</v>
      </c>
      <c r="H5" s="8">
        <f>Table1012[[#This Row],[Total Floor Space]]*Table1012[[#This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Table1012[[#This Row],[Energy consumption in W]]*24*365/1000</f>
        <v>0</v>
      </c>
      <c r="N5" s="8">
        <f t="shared" si="1"/>
        <v>6.1679999999999999E-3</v>
      </c>
      <c r="O5" s="8">
        <f>Table1012[[#This Row],[Yearly Energy Consumption in kWh]]*Table1012[[#This Row],[CU/kWh]]</f>
        <v>0</v>
      </c>
      <c r="P5" s="8">
        <v>0</v>
      </c>
      <c r="Q5" s="8">
        <v>20</v>
      </c>
      <c r="R5" s="8">
        <f>Table1012[[#This Row],[FIT]]*Table1012[[#This Row],[Quantity]]*24*365/1000000000</f>
        <v>0</v>
      </c>
      <c r="S5" s="8">
        <f>2*Table1012[[#This Row],[Mean dist in km from CO]]/Table1012[[#This Row],[Avg Travel Speed]]</f>
        <v>0</v>
      </c>
      <c r="T5" s="8">
        <f>Table1012[[#This Row],[MTTR]]+Table1012[[#This Row],[Twice Travel Time]]</f>
        <v>0</v>
      </c>
      <c r="U5" s="8">
        <v>1</v>
      </c>
      <c r="V5" s="8">
        <v>3.8</v>
      </c>
      <c r="W5" s="8">
        <f>Table1012[[#This Row],[Failures per year]]*Table1012[[#This Row],[Total Time to Repair(h)]]*Table1012[[#This Row],[No. Of technicians]]*Table1012[[#This Row],[Cost per hour]]</f>
        <v>0</v>
      </c>
    </row>
    <row r="6" spans="1:23" x14ac:dyDescent="0.25">
      <c r="A6" s="16" t="s">
        <v>8</v>
      </c>
      <c r="B6" s="26" t="s">
        <v>77</v>
      </c>
      <c r="C6" s="18">
        <f>80*0.3</f>
        <v>24</v>
      </c>
      <c r="D6" s="25">
        <v>8</v>
      </c>
      <c r="E6" s="8">
        <v>0</v>
      </c>
      <c r="F6" s="8">
        <f t="shared" si="0"/>
        <v>0</v>
      </c>
      <c r="G6" s="8">
        <v>10.6</v>
      </c>
      <c r="H6" s="8">
        <f>Table1012[[#This Row],[Total Floor Space]]*Table1012[[#This Row],[Rent per sqm per year]]</f>
        <v>0</v>
      </c>
      <c r="I6" s="8">
        <f>1/6*Table1012[[#This Row],[Quantity]]</f>
        <v>1.3333333333333333</v>
      </c>
      <c r="J6" s="8">
        <v>6</v>
      </c>
      <c r="K6" s="8">
        <v>50</v>
      </c>
      <c r="L6" s="8">
        <v>0</v>
      </c>
      <c r="M6" s="8">
        <f>Table1012[[#This Row],[Energy consumption in W]]*24*365/1000</f>
        <v>0</v>
      </c>
      <c r="N6" s="8">
        <f t="shared" si="1"/>
        <v>6.1679999999999999E-3</v>
      </c>
      <c r="O6" s="8">
        <f>Table1012[[#This Row],[Yearly Energy Consumption in kWh]]*Table1012[[#This Row],[CU/kWh]]</f>
        <v>0</v>
      </c>
      <c r="P6" s="8">
        <v>1</v>
      </c>
      <c r="Q6" s="8">
        <v>20</v>
      </c>
      <c r="R6" s="8">
        <f>Table1012[[#This Row],[FIT]]*Table1012[[#This Row],[Quantity]]*24*365/1000000000</f>
        <v>3.5040000000000002E-3</v>
      </c>
      <c r="S6" s="8">
        <f>2*Table1012[[#This Row],[Mean dist in km from CO]]/Table1012[[#This Row],[Avg Travel Speed]]</f>
        <v>0.1</v>
      </c>
      <c r="T6" s="8">
        <f>Table1012[[#This Row],[MTTR]]+Table1012[[#This Row],[Twice Travel Time]]</f>
        <v>6.1</v>
      </c>
      <c r="U6" s="8">
        <v>1</v>
      </c>
      <c r="V6" s="8">
        <v>3.8</v>
      </c>
      <c r="W6" s="8">
        <f>Table1012[[#This Row],[Failures per year]]*Table1012[[#This Row],[Total Time to Repair(h)]]*Table1012[[#This Row],[No. Of technicians]]*Table1012[[#This Row],[Cost per hour]]</f>
        <v>8.1222719999999984E-2</v>
      </c>
    </row>
    <row r="7" spans="1:23" x14ac:dyDescent="0.25">
      <c r="A7" s="19" t="s">
        <v>10</v>
      </c>
      <c r="B7" s="26" t="s">
        <v>90</v>
      </c>
      <c r="C7" s="21">
        <v>0.9</v>
      </c>
      <c r="D7" s="25">
        <v>305</v>
      </c>
      <c r="E7" s="8">
        <v>0</v>
      </c>
      <c r="F7" s="8">
        <f t="shared" si="0"/>
        <v>0</v>
      </c>
      <c r="G7" s="8">
        <v>10.6</v>
      </c>
      <c r="H7" s="8">
        <f>Table1012[[#This Row],[Total Floor Space]]*Table1012[[#This Row],[Rent per sqm per year]]</f>
        <v>0</v>
      </c>
      <c r="I7" s="8">
        <f>0.5*Table1012[[#This Row],[Quantity]]</f>
        <v>152.5</v>
      </c>
      <c r="J7" s="8">
        <v>6</v>
      </c>
      <c r="K7" s="8">
        <v>50</v>
      </c>
      <c r="L7" s="8">
        <v>0</v>
      </c>
      <c r="M7" s="8">
        <f>Table1012[[#This Row],[Energy consumption in W]]*24*365/1000</f>
        <v>0</v>
      </c>
      <c r="N7" s="8">
        <f t="shared" si="1"/>
        <v>6.1679999999999999E-3</v>
      </c>
      <c r="O7" s="8">
        <f>Table1012[[#This Row],[Yearly Energy Consumption in kWh]]*Table1012[[#This Row],[CU/kWh]]</f>
        <v>0</v>
      </c>
      <c r="P7" s="8">
        <v>2</v>
      </c>
      <c r="Q7" s="8">
        <v>20</v>
      </c>
      <c r="R7" s="8">
        <f>Table1012[[#This Row],[FIT]]*Table1012[[#This Row],[Quantity]]*24*365/1000000000</f>
        <v>0.13358999999999999</v>
      </c>
      <c r="S7" s="8">
        <f>2*Table1012[[#This Row],[Mean dist in km from CO]]/Table1012[[#This Row],[Avg Travel Speed]]</f>
        <v>0.2</v>
      </c>
      <c r="T7" s="8">
        <f>Table1012[[#This Row],[MTTR]]+Table1012[[#This Row],[Twice Travel Time]]</f>
        <v>6.2</v>
      </c>
      <c r="U7" s="8">
        <v>1</v>
      </c>
      <c r="V7" s="8">
        <v>3.8</v>
      </c>
      <c r="W7" s="8">
        <f>Table1012[[#This Row],[Failures per year]]*Table1012[[#This Row],[Total Time to Repair(h)]]*Table1012[[#This Row],[No. Of technicians]]*Table1012[[#This Row],[Cost per hour]]</f>
        <v>3.1473803999999994</v>
      </c>
    </row>
    <row r="8" spans="1:23" x14ac:dyDescent="0.25">
      <c r="A8" s="16" t="s">
        <v>89</v>
      </c>
      <c r="B8" s="26" t="s">
        <v>87</v>
      </c>
      <c r="C8" s="18">
        <v>3.1</v>
      </c>
      <c r="D8" s="25">
        <v>30000</v>
      </c>
      <c r="E8" s="8">
        <v>0</v>
      </c>
      <c r="F8" s="8">
        <f t="shared" si="0"/>
        <v>0</v>
      </c>
      <c r="G8" s="8">
        <v>0</v>
      </c>
      <c r="H8" s="8">
        <f>Table1012[[#This Row],[Total Floor Space]]*Table1012[[#This Row],[Rent per sqm per year]]</f>
        <v>0</v>
      </c>
      <c r="I8" s="8">
        <f>0.5*Table1012[[#This Row],[Quantity]]</f>
        <v>15000</v>
      </c>
      <c r="J8" s="8">
        <v>6</v>
      </c>
      <c r="K8" s="8">
        <v>256</v>
      </c>
      <c r="L8" s="8">
        <v>0</v>
      </c>
      <c r="M8" s="8">
        <f>Table1012[[#This Row],[Energy consumption in W]]*24*365/1000</f>
        <v>0</v>
      </c>
      <c r="N8" s="8">
        <f t="shared" si="1"/>
        <v>6.1679999999999999E-3</v>
      </c>
      <c r="O8" s="8">
        <f>Table1012[[#This Row],[Yearly Energy Consumption in kWh]]*Table1012[[#This Row],[CU/kWh]]</f>
        <v>0</v>
      </c>
      <c r="P8" s="8">
        <v>4</v>
      </c>
      <c r="Q8" s="8">
        <v>20</v>
      </c>
      <c r="R8" s="8">
        <f>Table1012[[#This Row],[FIT]]*Table1012[[#This Row],[Quantity]]*24*365/1000000000</f>
        <v>67.276799999999994</v>
      </c>
      <c r="S8" s="8">
        <f>2*Table1012[[#This Row],[Mean dist in km from CO]]/Table1012[[#This Row],[Avg Travel Speed]]</f>
        <v>0.4</v>
      </c>
      <c r="T8" s="8">
        <f>Table1012[[#This Row],[MTTR]]+Table1012[[#This Row],[Twice Travel Time]]</f>
        <v>6.4</v>
      </c>
      <c r="U8" s="8">
        <v>1</v>
      </c>
      <c r="V8" s="8">
        <v>3.8</v>
      </c>
      <c r="W8" s="8">
        <f>Table1012[[#This Row],[Failures per year]]*Table1012[[#This Row],[Total Time to Repair(h)]]*Table1012[[#This Row],[No. Of technicians]]*Table1012[[#This Row],[Cost per hour]]</f>
        <v>1636.1717759999997</v>
      </c>
    </row>
    <row r="9" spans="1:23" x14ac:dyDescent="0.25">
      <c r="A9" s="19" t="s">
        <v>89</v>
      </c>
      <c r="B9" s="26" t="s">
        <v>79</v>
      </c>
      <c r="C9" s="21">
        <v>8</v>
      </c>
      <c r="D9" s="25">
        <v>5000</v>
      </c>
      <c r="E9" s="8">
        <v>0</v>
      </c>
      <c r="F9" s="8">
        <f t="shared" si="0"/>
        <v>0</v>
      </c>
      <c r="G9" s="8">
        <v>0</v>
      </c>
      <c r="H9" s="8">
        <f>Table1012[[#This Row],[Total Floor Space]]*Table1012[[#This Row],[Rent per sqm per year]]</f>
        <v>0</v>
      </c>
      <c r="I9" s="8">
        <f>(0.5+1/6*6)*Table1012[[#This Row],[Quantity]]</f>
        <v>7500</v>
      </c>
      <c r="J9" s="8">
        <v>6</v>
      </c>
      <c r="K9" s="8">
        <v>50</v>
      </c>
      <c r="L9" s="8">
        <f>50*Table1012[[#This Row],[Total Floor Space]]</f>
        <v>0</v>
      </c>
      <c r="M9" s="8">
        <f>Table1012[[#This Row],[Energy consumption in W]]*24*365/1000</f>
        <v>0</v>
      </c>
      <c r="N9" s="8">
        <f t="shared" si="1"/>
        <v>6.1679999999999999E-3</v>
      </c>
      <c r="O9" s="8">
        <f>Table1012[[#This Row],[Yearly Energy Consumption in kWh]]*Table1012[[#This Row],[CU/kWh]]</f>
        <v>0</v>
      </c>
      <c r="P9" s="8">
        <v>4</v>
      </c>
      <c r="Q9" s="8">
        <v>20</v>
      </c>
      <c r="R9" s="8">
        <f>Table1012[[#This Row],[FIT]]*Table1012[[#This Row],[Quantity]]*24*365/1000000000</f>
        <v>2.19</v>
      </c>
      <c r="S9" s="8">
        <f>2*Table1012[[#This Row],[Mean dist in km from CO]]/Table1012[[#This Row],[Avg Travel Speed]]</f>
        <v>0.4</v>
      </c>
      <c r="T9" s="8">
        <f>Table1012[[#This Row],[MTTR]]+Table1012[[#This Row],[Twice Travel Time]]</f>
        <v>6.4</v>
      </c>
      <c r="U9" s="8">
        <v>1</v>
      </c>
      <c r="V9" s="8">
        <v>3.8</v>
      </c>
      <c r="W9" s="8">
        <f>Table1012[[#This Row],[Failures per year]]*Table1012[[#This Row],[Total Time to Repair(h)]]*Table1012[[#This Row],[No. Of technicians]]*Table1012[[#This Row],[Cost per hour]]</f>
        <v>53.260799999999996</v>
      </c>
    </row>
    <row r="10" spans="1:23" x14ac:dyDescent="0.25">
      <c r="A10" s="27"/>
      <c r="B10" s="26"/>
      <c r="C10" s="25"/>
      <c r="D10" s="25"/>
      <c r="E10" s="24"/>
      <c r="F10" s="24"/>
      <c r="G10" s="24"/>
      <c r="H10" s="24">
        <f>SUM(Table1012[Total Rent cost per year])</f>
        <v>8480</v>
      </c>
      <c r="I10" s="24"/>
      <c r="J10" s="24"/>
      <c r="K10" s="24"/>
      <c r="L10" s="24"/>
      <c r="M10" s="24"/>
      <c r="N10" s="24"/>
      <c r="O10" s="24">
        <f>SUBTOTAL(109,Table1012[Energy Cost per year in CU])</f>
        <v>378.22176000000002</v>
      </c>
      <c r="P10" s="24"/>
      <c r="Q10" s="24"/>
      <c r="R10" s="24"/>
      <c r="S10" s="24"/>
      <c r="T10" s="24"/>
      <c r="U10" s="24"/>
      <c r="V10" s="24"/>
      <c r="W10" s="24">
        <f>SUBTOTAL(109,Table1012[FM Cost])</f>
        <v>1701.0018203999996</v>
      </c>
    </row>
    <row r="15" spans="1:23" x14ac:dyDescent="0.25">
      <c r="A15" s="8" t="s">
        <v>40</v>
      </c>
      <c r="B15" s="8" t="s">
        <v>64</v>
      </c>
      <c r="C15" s="8" t="s">
        <v>17</v>
      </c>
      <c r="D15" s="8" t="s">
        <v>16</v>
      </c>
      <c r="E15" s="8" t="s">
        <v>41</v>
      </c>
      <c r="F15" s="8" t="s">
        <v>30</v>
      </c>
      <c r="G15" s="8" t="s">
        <v>45</v>
      </c>
      <c r="H15" s="8" t="s">
        <v>48</v>
      </c>
      <c r="I15" s="8" t="s">
        <v>49</v>
      </c>
      <c r="J15" s="8" t="s">
        <v>51</v>
      </c>
      <c r="M15" s="8" t="s">
        <v>70</v>
      </c>
    </row>
    <row r="16" spans="1:23" x14ac:dyDescent="0.25">
      <c r="A16" s="8" t="s">
        <v>42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Table1012[[#Totals],[Total Rent cost per year]]+Table1012[[#Totals],[Energy Cost per year in CU]]+Table1012[[#Totals],[FM Cost]]+J19</f>
        <v>10839.120473392548</v>
      </c>
    </row>
    <row r="17" spans="1:16" x14ac:dyDescent="0.25">
      <c r="A17" s="8" t="s">
        <v>43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63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98</v>
      </c>
      <c r="P18" s="8" t="s">
        <v>67</v>
      </c>
    </row>
    <row r="19" spans="1:16" x14ac:dyDescent="0.25">
      <c r="J19" s="8">
        <f>SUM(J16:J18)</f>
        <v>279.89689299254849</v>
      </c>
      <c r="O19" s="8" t="s">
        <v>93</v>
      </c>
      <c r="P19" s="8">
        <f>Table1012[[#Totals],[Total Rent cost per year]]</f>
        <v>8480</v>
      </c>
    </row>
    <row r="20" spans="1:16" x14ac:dyDescent="0.25">
      <c r="O20" s="8" t="s">
        <v>94</v>
      </c>
      <c r="P20" s="8">
        <f>Table1012[[#Totals],[Energy Cost per year in CU]]</f>
        <v>378.22176000000002</v>
      </c>
    </row>
    <row r="21" spans="1:16" x14ac:dyDescent="0.25">
      <c r="O21" s="8" t="s">
        <v>95</v>
      </c>
      <c r="P21" s="8">
        <f>Table1012[[#Totals],[FM Cost]]+J19</f>
        <v>1980.898713392548</v>
      </c>
    </row>
    <row r="22" spans="1:16" x14ac:dyDescent="0.25">
      <c r="O22" s="8" t="s">
        <v>96</v>
      </c>
      <c r="P22" s="8">
        <f>0.05*SUM(P19:P21)</f>
        <v>541.95602366962737</v>
      </c>
    </row>
    <row r="23" spans="1:16" x14ac:dyDescent="0.25">
      <c r="O23" s="8" t="s">
        <v>97</v>
      </c>
      <c r="P23" s="8">
        <f>0.07*SUM(P19:P21)</f>
        <v>758.73843313747841</v>
      </c>
    </row>
    <row r="24" spans="1:16" x14ac:dyDescent="0.25">
      <c r="P24" s="8">
        <f>SUM(Table141617181920[Cost])</f>
        <v>12139.814930199653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workbookViewId="0">
      <selection activeCell="N18" sqref="N18:N22"/>
    </sheetView>
  </sheetViews>
  <sheetFormatPr defaultColWidth="8.85546875" defaultRowHeight="15" x14ac:dyDescent="0.25"/>
  <cols>
    <col min="1" max="1" width="22.140625" style="8" customWidth="1"/>
    <col min="2" max="2" width="22.7109375" style="8" customWidth="1"/>
    <col min="3" max="3" width="20.140625" style="8" customWidth="1"/>
    <col min="4" max="4" width="13.5703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24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36</v>
      </c>
      <c r="F1" s="8" t="s">
        <v>35</v>
      </c>
      <c r="G1" s="8" t="s">
        <v>37</v>
      </c>
      <c r="H1" s="8" t="s">
        <v>38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8" t="s">
        <v>3</v>
      </c>
      <c r="B2" s="8" t="s">
        <v>4</v>
      </c>
      <c r="C2" s="8">
        <v>80</v>
      </c>
      <c r="D2" s="25">
        <v>160</v>
      </c>
      <c r="E2" s="8">
        <v>5</v>
      </c>
      <c r="F2" s="8">
        <f>Table913[[#This Row],[Floor Space per component]]*Table913[[#This Row],[Quantity]]</f>
        <v>800</v>
      </c>
      <c r="G2" s="8">
        <v>10.6</v>
      </c>
      <c r="H2" s="8">
        <f>Table913[[#This Row],[Total Floor Space]]*Table913[[#This Row],[Rent per sqm per year]]</f>
        <v>8480</v>
      </c>
      <c r="I2" s="8">
        <f>(0.5+1/6*8)*Table913[[#This Row],[Quantity]]</f>
        <v>293.33333333333331</v>
      </c>
      <c r="J2" s="8">
        <v>6</v>
      </c>
      <c r="K2" s="8">
        <v>256</v>
      </c>
      <c r="L2" s="8">
        <f>0.5*8*2.5*Table913[[#This Row],[Quantity]]</f>
        <v>1600</v>
      </c>
      <c r="M2" s="8">
        <f>Table913[[#This Row],[Energy consumption in W]]*24*365/1000</f>
        <v>14016</v>
      </c>
      <c r="N2" s="8">
        <f>0.3084/50</f>
        <v>6.1679999999999999E-3</v>
      </c>
      <c r="O2" s="8">
        <f>Table913[[#This Row],[Yearly Energy Consumption in kWh]]*Table913[[#This Row],[CU/kWh]]</f>
        <v>86.450688</v>
      </c>
      <c r="P2" s="8">
        <v>0</v>
      </c>
      <c r="Q2" s="8">
        <v>20</v>
      </c>
      <c r="R2" s="8">
        <f>Table913[[#This Row],[FIT]]*Table913[[#This Row],[Quantity]]*24*365/1000000000</f>
        <v>0.35880960000000001</v>
      </c>
      <c r="S2" s="8">
        <f>2*Table913[[#This Row],[Mean dist in km from CO]]/Table913[[#This Row],[Avg Travel Speed]]</f>
        <v>0</v>
      </c>
      <c r="T2" s="8">
        <f>Table913[[#This Row],[MTTR]]+Table913[[#This Row],[Twice Travel Time]]</f>
        <v>6</v>
      </c>
      <c r="U2" s="8">
        <v>1</v>
      </c>
      <c r="V2" s="8">
        <v>3.8</v>
      </c>
      <c r="W2" s="8">
        <f>Table913[[#This Row],[Failures per year]]*Table913[[#This Row],[Total Time to Repair(h)]]*Table913[[#This Row],[No. Of technicians]]*Table913[[#This Row],[Cost per hour]]</f>
        <v>8.1808588799999988</v>
      </c>
    </row>
    <row r="3" spans="1:23" x14ac:dyDescent="0.25">
      <c r="A3" s="8" t="s">
        <v>3</v>
      </c>
      <c r="B3" s="8" t="s">
        <v>85</v>
      </c>
      <c r="C3" s="8">
        <v>40</v>
      </c>
      <c r="D3" s="25">
        <v>32</v>
      </c>
      <c r="E3" s="8">
        <v>1</v>
      </c>
      <c r="F3" s="8">
        <f>Table913[[#This Row],[Floor Space per component]]*Table913[[#This Row],[Quantity]]</f>
        <v>32</v>
      </c>
      <c r="G3" s="8">
        <v>10.6</v>
      </c>
      <c r="H3" s="8">
        <f>Table913[[#This Row],[Total Floor Space]]*Table913[[#This Row],[Rent per sqm per year]]</f>
        <v>339.2</v>
      </c>
      <c r="I3" s="5">
        <f>1/6*Table913[[#This Row],[Quantity]]</f>
        <v>5.333333333333333</v>
      </c>
      <c r="J3" s="8">
        <v>6</v>
      </c>
      <c r="K3" s="8">
        <v>50</v>
      </c>
      <c r="L3" s="8">
        <f>100*Table913[[#This Row],[Quantity]]</f>
        <v>3200</v>
      </c>
      <c r="M3" s="8">
        <f>Table913[[#This Row],[Energy consumption in W]]*24*365/1000</f>
        <v>28032</v>
      </c>
      <c r="N3" s="8">
        <f t="shared" ref="N3:N10" si="0">0.3084/50</f>
        <v>6.1679999999999999E-3</v>
      </c>
      <c r="O3" s="8">
        <f>Table913[[#This Row],[Yearly Energy Consumption in kWh]]*Table913[[#This Row],[CU/kWh]]</f>
        <v>172.901376</v>
      </c>
      <c r="P3" s="8">
        <v>0</v>
      </c>
      <c r="Q3" s="8">
        <v>20</v>
      </c>
      <c r="R3" s="8">
        <f>Table913[[#This Row],[FIT]]*Table913[[#This Row],[Quantity]]*24*365/1000000000</f>
        <v>1.4016000000000001E-2</v>
      </c>
      <c r="S3" s="8">
        <f>2*Table913[[#This Row],[Mean dist in km from CO]]/Table913[[#This Row],[Avg Travel Speed]]</f>
        <v>0</v>
      </c>
      <c r="T3" s="8">
        <f>Table913[[#This Row],[MTTR]]+Table913[[#This Row],[Twice Travel Time]]</f>
        <v>6</v>
      </c>
      <c r="U3" s="8">
        <v>1</v>
      </c>
      <c r="V3" s="8">
        <v>3.8</v>
      </c>
      <c r="W3" s="8">
        <f>Table913[[#This Row],[Failures per year]]*Table913[[#This Row],[Total Time to Repair(h)]]*Table913[[#This Row],[No. Of technicians]]*Table913[[#This Row],[Cost per hour]]</f>
        <v>0.31956479999999998</v>
      </c>
    </row>
    <row r="4" spans="1:23" x14ac:dyDescent="0.25">
      <c r="A4" s="8" t="s">
        <v>3</v>
      </c>
      <c r="B4" s="8" t="s">
        <v>6</v>
      </c>
      <c r="C4" s="8">
        <v>0.1</v>
      </c>
      <c r="D4" s="25">
        <v>3200</v>
      </c>
      <c r="E4" s="8">
        <v>0</v>
      </c>
      <c r="F4" s="8">
        <f>Table913[[#This Row],[Floor Space per component]]*Table913[[#This Row],[Quantity]]</f>
        <v>0</v>
      </c>
      <c r="G4" s="8">
        <v>10.6</v>
      </c>
      <c r="H4" s="8">
        <f>Table913[[#This Row],[Total Floor Space]]*Table913[[#This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Table913[[#This Row],[Energy consumption in W]]*24*365/1000</f>
        <v>5256</v>
      </c>
      <c r="N4" s="8">
        <f t="shared" si="0"/>
        <v>6.1679999999999999E-3</v>
      </c>
      <c r="O4" s="8">
        <f>Table913[[#This Row],[Yearly Energy Consumption in kWh]]*Table913[[#This Row],[CU/kWh]]</f>
        <v>32.419007999999998</v>
      </c>
      <c r="P4" s="8">
        <v>0</v>
      </c>
      <c r="Q4" s="8">
        <v>20</v>
      </c>
      <c r="R4" s="8">
        <f>Table913[[#This Row],[FIT]]*Table913[[#This Row],[Quantity]]*24*365/1000000000</f>
        <v>0</v>
      </c>
      <c r="S4" s="8">
        <f>2*Table913[[#This Row],[Mean dist in km from CO]]/Table913[[#This Row],[Avg Travel Speed]]</f>
        <v>0</v>
      </c>
      <c r="T4" s="8">
        <f>Table913[[#This Row],[MTTR]]+Table913[[#This Row],[Twice Travel Time]]</f>
        <v>0</v>
      </c>
      <c r="U4" s="8">
        <v>1</v>
      </c>
      <c r="V4" s="8">
        <v>3.8</v>
      </c>
      <c r="W4" s="8">
        <f>Table913[[#This Row],[Failures per year]]*Table913[[#This Row],[Total Time to Repair(h)]]*Table913[[#This Row],[No. Of technicians]]*Table913[[#This Row],[Cost per hour]]</f>
        <v>0</v>
      </c>
    </row>
    <row r="5" spans="1:23" x14ac:dyDescent="0.25">
      <c r="A5" s="8" t="s">
        <v>3</v>
      </c>
      <c r="B5" s="8" t="s">
        <v>76</v>
      </c>
      <c r="C5" s="8">
        <v>400</v>
      </c>
      <c r="D5" s="25">
        <v>1</v>
      </c>
      <c r="E5" s="8">
        <v>20</v>
      </c>
      <c r="F5" s="8">
        <f>Table913[[#This Row],[Floor Space per component]]*Table913[[#This Row],[Quantity]]</f>
        <v>20</v>
      </c>
      <c r="G5" s="8">
        <v>10.6</v>
      </c>
      <c r="H5" s="8">
        <f>Table913[[#This Row],[Total Floor Space]]*Table913[[#This Row],[Rent per sqm per year]]</f>
        <v>212</v>
      </c>
      <c r="I5" s="8">
        <f>24*Table913[[#This Row],[Quantity]]</f>
        <v>24</v>
      </c>
      <c r="J5" s="8">
        <v>0</v>
      </c>
      <c r="K5" s="8">
        <v>0</v>
      </c>
      <c r="L5" s="8">
        <v>0</v>
      </c>
      <c r="M5" s="8">
        <f>Table913[[#This Row],[Energy consumption in W]]*24*365/1000</f>
        <v>0</v>
      </c>
      <c r="N5" s="8">
        <f t="shared" si="0"/>
        <v>6.1679999999999999E-3</v>
      </c>
      <c r="O5" s="8">
        <f>Table913[[#This Row],[Yearly Energy Consumption in kWh]]*Table913[[#This Row],[CU/kWh]]</f>
        <v>0</v>
      </c>
      <c r="P5" s="8">
        <v>0</v>
      </c>
      <c r="Q5" s="8">
        <v>20</v>
      </c>
      <c r="R5" s="8">
        <f>Table913[[#This Row],[FIT]]*Table913[[#This Row],[Quantity]]*24*365/1000000000</f>
        <v>0</v>
      </c>
      <c r="S5" s="8">
        <f>2*Table913[[#This Row],[Mean dist in km from CO]]/Table913[[#This Row],[Avg Travel Speed]]</f>
        <v>0</v>
      </c>
      <c r="T5" s="8">
        <f>Table913[[#This Row],[MTTR]]+Table913[[#This Row],[Twice Travel Time]]</f>
        <v>0</v>
      </c>
      <c r="U5" s="8">
        <v>1</v>
      </c>
      <c r="V5" s="8">
        <v>3.8</v>
      </c>
      <c r="W5" s="8">
        <f>Table913[[#This Row],[Failures per year]]*Table913[[#This Row],[Total Time to Repair(h)]]*Table913[[#This Row],[No. Of technicians]]*Table913[[#This Row],[Cost per hour]]</f>
        <v>0</v>
      </c>
    </row>
    <row r="6" spans="1:23" x14ac:dyDescent="0.25">
      <c r="A6" s="8" t="s">
        <v>8</v>
      </c>
      <c r="B6" s="8" t="s">
        <v>77</v>
      </c>
      <c r="C6" s="8">
        <v>24</v>
      </c>
      <c r="D6" s="25">
        <v>8</v>
      </c>
      <c r="E6" s="8">
        <v>0</v>
      </c>
      <c r="F6" s="8">
        <f>Table913[[#This Row],[Floor Space per component]]*Table913[[#This Row],[Quantity]]</f>
        <v>0</v>
      </c>
      <c r="G6" s="8">
        <v>10.6</v>
      </c>
      <c r="H6" s="8">
        <f>Table913[[#This Row],[Total Floor Space]]*Table913[[#This Row],[Rent per sqm per year]]</f>
        <v>0</v>
      </c>
      <c r="I6" s="8">
        <f>1/6*Table913[[#This Row],[Quantity]]</f>
        <v>1.3333333333333333</v>
      </c>
      <c r="J6" s="8">
        <v>6</v>
      </c>
      <c r="K6" s="8">
        <v>50</v>
      </c>
      <c r="L6" s="8">
        <v>0</v>
      </c>
      <c r="M6" s="8">
        <f>Table913[[#This Row],[Energy consumption in W]]*24*365/1000</f>
        <v>0</v>
      </c>
      <c r="N6" s="8">
        <f t="shared" si="0"/>
        <v>6.1679999999999999E-3</v>
      </c>
      <c r="O6" s="8">
        <f>Table913[[#This Row],[Yearly Energy Consumption in kWh]]*Table913[[#This Row],[CU/kWh]]</f>
        <v>0</v>
      </c>
      <c r="P6" s="8">
        <v>1</v>
      </c>
      <c r="Q6" s="8">
        <v>20</v>
      </c>
      <c r="R6" s="8">
        <f>Table913[[#This Row],[FIT]]*Table913[[#This Row],[Quantity]]*24*365/1000000000</f>
        <v>3.5040000000000002E-3</v>
      </c>
      <c r="S6" s="8">
        <f>2*Table913[[#This Row],[Mean dist in km from CO]]/Table913[[#This Row],[Avg Travel Speed]]</f>
        <v>0.1</v>
      </c>
      <c r="T6" s="8">
        <f>Table913[[#This Row],[MTTR]]+Table913[[#This Row],[Twice Travel Time]]</f>
        <v>6.1</v>
      </c>
      <c r="U6" s="8">
        <v>1</v>
      </c>
      <c r="V6" s="8">
        <v>3.8</v>
      </c>
      <c r="W6" s="8">
        <f>Table913[[#This Row],[Failures per year]]*Table913[[#This Row],[Total Time to Repair(h)]]*Table913[[#This Row],[No. Of technicians]]*Table913[[#This Row],[Cost per hour]]</f>
        <v>8.1222719999999984E-2</v>
      </c>
    </row>
    <row r="7" spans="1:23" x14ac:dyDescent="0.25">
      <c r="A7" s="8" t="s">
        <v>10</v>
      </c>
      <c r="B7" s="8" t="s">
        <v>86</v>
      </c>
      <c r="C7" s="8">
        <v>112</v>
      </c>
      <c r="D7" s="25">
        <v>610</v>
      </c>
      <c r="E7" s="8">
        <v>1</v>
      </c>
      <c r="F7" s="8">
        <f>Table913[[#This Row],[Floor Space per component]]*Table913[[#This Row],[Quantity]]</f>
        <v>610</v>
      </c>
      <c r="G7" s="8">
        <v>10.6</v>
      </c>
      <c r="H7" s="8">
        <f>Table913[[#This Row],[Total Floor Space]]*Table913[[#This Row],[Rent per sqm per year]]</f>
        <v>6466</v>
      </c>
      <c r="I7" s="8">
        <f>(0.5+1/6*4)*Table913[[#This Row],[Quantity]]</f>
        <v>711.66666666666663</v>
      </c>
      <c r="J7" s="8">
        <v>24</v>
      </c>
      <c r="K7" s="8">
        <v>5000</v>
      </c>
      <c r="L7" s="8">
        <f>50*Table913[[#This Row],[Quantity]]</f>
        <v>30500</v>
      </c>
      <c r="M7" s="8">
        <f>Table913[[#This Row],[Energy consumption in W]]*24*365/1000</f>
        <v>267180</v>
      </c>
      <c r="N7" s="8">
        <f t="shared" si="0"/>
        <v>6.1679999999999999E-3</v>
      </c>
      <c r="O7" s="8">
        <f>Table913[[#This Row],[Yearly Energy Consumption in kWh]]*Table913[[#This Row],[CU/kWh]]</f>
        <v>1647.96624</v>
      </c>
      <c r="P7" s="8">
        <v>1.5</v>
      </c>
      <c r="Q7" s="8">
        <v>20</v>
      </c>
      <c r="R7" s="8">
        <f>Table913[[#This Row],[FIT]]*Table913[[#This Row],[Quantity]]*24*365/1000000000</f>
        <v>26.718</v>
      </c>
      <c r="S7" s="8">
        <f>2*Table913[[#This Row],[Mean dist in km from CO]]/Table913[[#This Row],[Avg Travel Speed]]</f>
        <v>0.15</v>
      </c>
      <c r="T7" s="8">
        <f>Table913[[#This Row],[MTTR]]+Table913[[#This Row],[Twice Travel Time]]</f>
        <v>24.15</v>
      </c>
      <c r="U7" s="8">
        <v>1</v>
      </c>
      <c r="V7" s="8">
        <v>3.8</v>
      </c>
      <c r="W7" s="8">
        <f>Table913[[#This Row],[Failures per year]]*Table913[[#This Row],[Total Time to Repair(h)]]*Table913[[#This Row],[No. Of technicians]]*Table913[[#This Row],[Cost per hour]]</f>
        <v>2451.91086</v>
      </c>
    </row>
    <row r="8" spans="1:23" x14ac:dyDescent="0.25">
      <c r="A8" s="8" t="s">
        <v>10</v>
      </c>
      <c r="B8" s="8" t="s">
        <v>87</v>
      </c>
      <c r="C8" s="8">
        <v>3.1</v>
      </c>
      <c r="D8" s="25">
        <f>610*4</f>
        <v>2440</v>
      </c>
      <c r="E8" s="8">
        <v>0</v>
      </c>
      <c r="F8" s="8">
        <f>Table913[[#This Row],[Floor Space per component]]*Table913[[#This Row],[Quantity]]</f>
        <v>0</v>
      </c>
      <c r="G8" s="8">
        <v>10.6</v>
      </c>
      <c r="H8" s="8">
        <f>Table913[[#This Row],[Total Floor Space]]*Table913[[#This Row],[Rent per sqm per year]]</f>
        <v>0</v>
      </c>
      <c r="I8" s="8">
        <f>(0.5)*Table913[[#This Row],[Quantity]]</f>
        <v>1220</v>
      </c>
      <c r="J8" s="8">
        <v>6</v>
      </c>
      <c r="K8" s="8">
        <v>256</v>
      </c>
      <c r="L8" s="8">
        <f>5.5*Table913[[#This Row],[Quantity]]</f>
        <v>13420</v>
      </c>
      <c r="M8" s="8">
        <f>Table913[[#This Row],[Energy consumption in W]]*24*365/1000</f>
        <v>117559.2</v>
      </c>
      <c r="N8" s="8">
        <f t="shared" si="0"/>
        <v>6.1679999999999999E-3</v>
      </c>
      <c r="O8" s="8">
        <f>Table913[[#This Row],[Yearly Energy Consumption in kWh]]*Table913[[#This Row],[CU/kWh]]</f>
        <v>725.10514560000001</v>
      </c>
      <c r="P8" s="8">
        <v>1.5</v>
      </c>
      <c r="Q8" s="8">
        <v>20</v>
      </c>
      <c r="R8" s="8">
        <f>Table913[[#This Row],[FIT]]*Table913[[#This Row],[Quantity]]*24*365/1000000000</f>
        <v>5.4718464000000004</v>
      </c>
      <c r="S8" s="8">
        <f>2*Table913[[#This Row],[Mean dist in km from CO]]/Table913[[#This Row],[Avg Travel Speed]]</f>
        <v>0.15</v>
      </c>
      <c r="T8" s="8">
        <f>Table913[[#This Row],[MTTR]]+Table913[[#This Row],[Twice Travel Time]]</f>
        <v>6.15</v>
      </c>
      <c r="U8" s="8">
        <v>1</v>
      </c>
      <c r="V8" s="8">
        <v>3.8</v>
      </c>
      <c r="W8" s="8">
        <f>Table913[[#This Row],[Failures per year]]*Table913[[#This Row],[Total Time to Repair(h)]]*Table913[[#This Row],[No. Of technicians]]*Table913[[#This Row],[Cost per hour]]</f>
        <v>127.87705036800001</v>
      </c>
    </row>
    <row r="9" spans="1:23" x14ac:dyDescent="0.25">
      <c r="A9" s="8" t="s">
        <v>10</v>
      </c>
      <c r="B9" s="8" t="s">
        <v>88</v>
      </c>
      <c r="C9" s="8">
        <v>12</v>
      </c>
      <c r="D9" s="25">
        <f>610*4</f>
        <v>2440</v>
      </c>
      <c r="E9" s="8">
        <v>1</v>
      </c>
      <c r="F9" s="8">
        <f>Table913[[#This Row],[Floor Space per component]]*Table913[[#This Row],[Quantity]]</f>
        <v>2440</v>
      </c>
      <c r="G9" s="8">
        <v>2</v>
      </c>
      <c r="H9" s="8">
        <f>Table913[[#This Row],[Total Floor Space]]*Table913[[#This Row],[Rent per sqm per year]]</f>
        <v>4880</v>
      </c>
      <c r="I9" s="8">
        <f>(0.5+1/6*16)*Table913[[#This Row],[Quantity]]</f>
        <v>7726.6666666666661</v>
      </c>
      <c r="J9" s="8">
        <v>24</v>
      </c>
      <c r="K9" s="8">
        <v>5000</v>
      </c>
      <c r="L9" s="8">
        <f>50*Table913[[#This Row],[Quantity]]</f>
        <v>122000</v>
      </c>
      <c r="M9" s="8">
        <f>Table913[[#This Row],[Energy consumption in W]]*24*365/1000</f>
        <v>1068720</v>
      </c>
      <c r="N9" s="8">
        <f t="shared" si="0"/>
        <v>6.1679999999999999E-3</v>
      </c>
      <c r="O9" s="8">
        <f>Table913[[#This Row],[Yearly Energy Consumption in kWh]]*Table913[[#This Row],[CU/kWh]]</f>
        <v>6591.8649599999999</v>
      </c>
      <c r="P9" s="8">
        <v>2</v>
      </c>
      <c r="Q9" s="8">
        <v>20</v>
      </c>
      <c r="R9" s="8">
        <f>Table913[[#This Row],[FIT]]*Table913[[#This Row],[Quantity]]*24*365/1000000000</f>
        <v>106.872</v>
      </c>
      <c r="S9" s="8">
        <f>2*Table913[[#This Row],[Mean dist in km from CO]]/Table913[[#This Row],[Avg Travel Speed]]</f>
        <v>0.2</v>
      </c>
      <c r="T9" s="8">
        <f>Table913[[#This Row],[MTTR]]+Table913[[#This Row],[Twice Travel Time]]</f>
        <v>24.2</v>
      </c>
      <c r="U9" s="8">
        <v>1</v>
      </c>
      <c r="V9" s="8">
        <v>3.8</v>
      </c>
      <c r="W9" s="8">
        <f>Table913[[#This Row],[Failures per year]]*Table913[[#This Row],[Total Time to Repair(h)]]*Table913[[#This Row],[No. Of technicians]]*Table913[[#This Row],[Cost per hour]]</f>
        <v>9827.9491199999993</v>
      </c>
    </row>
    <row r="10" spans="1:23" x14ac:dyDescent="0.25">
      <c r="A10" s="8" t="s">
        <v>89</v>
      </c>
      <c r="B10" s="8" t="s">
        <v>84</v>
      </c>
      <c r="C10" s="8">
        <v>0</v>
      </c>
      <c r="D10" s="25">
        <v>0</v>
      </c>
      <c r="E10" s="8">
        <v>0</v>
      </c>
      <c r="F10" s="8">
        <f>Table913[[#This Row],[Floor Space per component]]*Table913[[#This Row],[Quantity]]</f>
        <v>0</v>
      </c>
      <c r="G10" s="8">
        <v>4</v>
      </c>
      <c r="H10" s="8">
        <f>Table913[[#This Row],[Total Floor Space]]*Table913[[#This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Table913[[#This Row],[Energy consumption in W]]*24*365/1000</f>
        <v>0</v>
      </c>
      <c r="N10" s="8">
        <f t="shared" si="0"/>
        <v>6.1679999999999999E-3</v>
      </c>
      <c r="O10" s="8">
        <f>Table913[[#This Row],[Yearly Energy Consumption in kWh]]*Table913[[#This Row],[CU/kWh]]</f>
        <v>0</v>
      </c>
      <c r="P10" s="8">
        <v>2</v>
      </c>
      <c r="Q10" s="8">
        <v>20</v>
      </c>
      <c r="R10" s="8">
        <f>Table913[[#This Row],[FIT]]*Table913[[#This Row],[Quantity]]*24*365/1000000000</f>
        <v>0</v>
      </c>
      <c r="S10" s="8">
        <f>2*Table913[[#This Row],[Mean dist in km from CO]]/Table913[[#This Row],[Avg Travel Speed]]</f>
        <v>0.2</v>
      </c>
      <c r="T10" s="8">
        <f>Table913[[#This Row],[MTTR]]+Table913[[#This Row],[Twice Travel Time]]</f>
        <v>0.2</v>
      </c>
      <c r="U10" s="8">
        <v>1</v>
      </c>
      <c r="V10" s="8">
        <v>3.8</v>
      </c>
      <c r="W10" s="8">
        <f>Table913[[#This Row],[Failures per year]]*Table913[[#This Row],[Total Time to Repair(h)]]*Table913[[#This Row],[No. Of technicians]]*Table913[[#This Row],[Cost per hour]]</f>
        <v>0</v>
      </c>
    </row>
    <row r="11" spans="1:23" x14ac:dyDescent="0.25">
      <c r="H11" s="8">
        <f>SUM(Table913[Total Rent cost per year])</f>
        <v>20377.2</v>
      </c>
      <c r="O11" s="8">
        <f>SUBTOTAL(109,Table913[Energy Cost per year in CU])</f>
        <v>9256.7074175999987</v>
      </c>
      <c r="W11" s="8">
        <f>SUBTOTAL(109,Table913[FM Cost])</f>
        <v>12416.318676767998</v>
      </c>
    </row>
    <row r="15" spans="1:23" x14ac:dyDescent="0.25">
      <c r="P15" s="8" t="s">
        <v>70</v>
      </c>
    </row>
    <row r="16" spans="1:23" x14ac:dyDescent="0.25">
      <c r="A16" s="8" t="s">
        <v>40</v>
      </c>
      <c r="B16" s="8" t="s">
        <v>64</v>
      </c>
      <c r="C16" s="8" t="s">
        <v>17</v>
      </c>
      <c r="D16" s="8" t="s">
        <v>16</v>
      </c>
      <c r="E16" s="8" t="s">
        <v>41</v>
      </c>
      <c r="F16" s="8" t="s">
        <v>30</v>
      </c>
      <c r="G16" s="8" t="s">
        <v>45</v>
      </c>
      <c r="H16" s="8" t="s">
        <v>48</v>
      </c>
      <c r="I16" s="8" t="s">
        <v>49</v>
      </c>
      <c r="J16" s="8" t="s">
        <v>51</v>
      </c>
      <c r="P16" s="8">
        <f>Table913[[#Totals],[Total Rent cost per year]]+Table913[[#Totals],[Energy Cost per year in CU]]+Table913[[#Totals],[FM Cost]]+J20</f>
        <v>42338.906036109183</v>
      </c>
    </row>
    <row r="17" spans="1:14" x14ac:dyDescent="0.25">
      <c r="A17" s="8" t="s">
        <v>42</v>
      </c>
      <c r="B17" s="8">
        <f>8635.15425010598/1000</f>
        <v>8.6351542501059786</v>
      </c>
      <c r="C17" s="8">
        <f>570*B17</f>
        <v>4922.0379225604074</v>
      </c>
      <c r="D17" s="8">
        <v>24</v>
      </c>
      <c r="E17" s="8">
        <v>1</v>
      </c>
      <c r="F17" s="8">
        <v>3.8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3.9404674007068903</v>
      </c>
      <c r="M17" s="8" t="s">
        <v>98</v>
      </c>
      <c r="N17" s="8" t="s">
        <v>67</v>
      </c>
    </row>
    <row r="18" spans="1:14" x14ac:dyDescent="0.25">
      <c r="A18" s="8" t="s">
        <v>43</v>
      </c>
      <c r="B18" s="8">
        <f>233483.637737831/1000</f>
        <v>233.483637737831</v>
      </c>
      <c r="C18" s="8">
        <f t="shared" ref="C18:C19" si="1">570*B18</f>
        <v>133085.67351056368</v>
      </c>
      <c r="D18" s="8">
        <v>24</v>
      </c>
      <c r="E18" s="8">
        <v>1</v>
      </c>
      <c r="F18" s="8">
        <v>3.8</v>
      </c>
      <c r="G18" s="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  <c r="M18" s="8" t="s">
        <v>93</v>
      </c>
      <c r="N18" s="8">
        <f>Table913[[#Totals],[Total Rent cost per year]]</f>
        <v>20377.2</v>
      </c>
    </row>
    <row r="19" spans="1:14" x14ac:dyDescent="0.25">
      <c r="A19" s="8" t="s">
        <v>63</v>
      </c>
      <c r="B19" s="8">
        <f>387592.626526276/1000</f>
        <v>387.59262652627598</v>
      </c>
      <c r="C19" s="8">
        <f t="shared" si="1"/>
        <v>220927.7971199773</v>
      </c>
      <c r="D19" s="8">
        <v>24</v>
      </c>
      <c r="E19" s="8">
        <v>1</v>
      </c>
      <c r="F19" s="8">
        <v>3.8</v>
      </c>
      <c r="G19" s="8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  <c r="M19" s="8" t="s">
        <v>94</v>
      </c>
      <c r="N19" s="8">
        <f>Table913[[#Totals],[Energy Cost per year in CU]]</f>
        <v>9256.7074175999987</v>
      </c>
    </row>
    <row r="20" spans="1:14" x14ac:dyDescent="0.25">
      <c r="J20" s="8">
        <f>SUM(J17:J19)</f>
        <v>288.67994174118155</v>
      </c>
      <c r="M20" s="8" t="s">
        <v>95</v>
      </c>
      <c r="N20" s="8">
        <f>Table913[[#Totals],[FM Cost]]+J20</f>
        <v>12704.99861850918</v>
      </c>
    </row>
    <row r="21" spans="1:14" x14ac:dyDescent="0.25">
      <c r="M21" s="8" t="s">
        <v>96</v>
      </c>
      <c r="N21" s="8">
        <f>0.05*SUM(N18:N20)</f>
        <v>2116.9453018054592</v>
      </c>
    </row>
    <row r="22" spans="1:14" x14ac:dyDescent="0.25">
      <c r="M22" s="8" t="s">
        <v>97</v>
      </c>
      <c r="N22" s="8">
        <f>0.07*SUM(N18:N20)</f>
        <v>2963.7234225276429</v>
      </c>
    </row>
    <row r="23" spans="1:14" x14ac:dyDescent="0.25">
      <c r="N23" s="8">
        <f>SUM(Table14161718192021[Cost])</f>
        <v>47419.574760442287</v>
      </c>
    </row>
    <row r="29" spans="1:14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4" workbookViewId="0">
      <selection activeCell="M20" sqref="M20:M24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36</v>
      </c>
      <c r="F1" s="8" t="s">
        <v>35</v>
      </c>
      <c r="G1" s="8" t="s">
        <v>37</v>
      </c>
      <c r="H1" s="8" t="s">
        <v>38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17" t="s">
        <v>59</v>
      </c>
      <c r="C2" s="18">
        <v>80</v>
      </c>
      <c r="D2" s="25">
        <v>160</v>
      </c>
      <c r="E2" s="8">
        <v>5</v>
      </c>
      <c r="F2" s="8">
        <f>E2*D2</f>
        <v>800</v>
      </c>
      <c r="G2" s="8">
        <v>10.6</v>
      </c>
      <c r="H2" s="8">
        <f>Table1014[[#This Row],[Total Floor Space]]*Table1014[[#This Row],[Rent per sqm per year]]</f>
        <v>8480</v>
      </c>
      <c r="I2" s="8">
        <f>(0.5+1/6*6)*Table1014[[#This Row],[Quantity]]</f>
        <v>240</v>
      </c>
      <c r="J2" s="8">
        <v>6</v>
      </c>
      <c r="K2" s="8">
        <v>256</v>
      </c>
      <c r="L2" s="8">
        <f>0.5*10*6*Table1014[[#This Row],[Quantity]]</f>
        <v>4800</v>
      </c>
      <c r="M2" s="8">
        <f>Table1014[[#This Row],[Energy consumption in W]]*24*365/1000</f>
        <v>42048</v>
      </c>
      <c r="N2" s="8">
        <f>0.3084/50</f>
        <v>6.1679999999999999E-3</v>
      </c>
      <c r="O2" s="8">
        <f>Table1014[[#This Row],[Yearly Energy Consumption in kWh]]*Table1014[[#This Row],[CU/kWh]]</f>
        <v>259.35206399999998</v>
      </c>
      <c r="P2" s="8">
        <v>0</v>
      </c>
      <c r="Q2" s="8">
        <v>20</v>
      </c>
      <c r="R2" s="8">
        <f>Table1014[[#This Row],[FIT]]*Table1014[[#This Row],[Quantity]]*24*365/1000000000</f>
        <v>0.35880960000000001</v>
      </c>
      <c r="S2" s="8">
        <f>2*Table1014[[#This Row],[Mean dist in km from CO]]/Table1014[[#This Row],[Avg Travel Speed]]</f>
        <v>0</v>
      </c>
      <c r="T2" s="8">
        <f>Table1014[[#This Row],[MTTR]]+Table1014[[#This Row],[Twice Travel Time]]</f>
        <v>6</v>
      </c>
      <c r="U2" s="8">
        <v>1</v>
      </c>
      <c r="V2" s="8">
        <v>3.8</v>
      </c>
      <c r="W2" s="8">
        <f>Table1014[[#This Row],[Failures per year]]*Table1014[[#This Row],[Total Time to Repair(h)]]*Table1014[[#This Row],[No. Of technicians]]*Table1014[[#This Row],[Cost per hour]]</f>
        <v>8.1808588799999988</v>
      </c>
    </row>
    <row r="3" spans="1:23" x14ac:dyDescent="0.25">
      <c r="A3" s="19" t="s">
        <v>3</v>
      </c>
      <c r="B3" s="20" t="s">
        <v>85</v>
      </c>
      <c r="C3" s="21">
        <v>40</v>
      </c>
      <c r="D3" s="25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Table1014[[#This Row],[Total Floor Space]]*Table1014[[#This Row],[Rent per sqm per year]]</f>
        <v>0</v>
      </c>
      <c r="I3" s="8">
        <f>1/6*Table1014[[#This Row],[Quantity]]</f>
        <v>2.6666666666666665</v>
      </c>
      <c r="J3" s="8">
        <v>6</v>
      </c>
      <c r="K3" s="8">
        <v>50</v>
      </c>
      <c r="L3" s="8">
        <f>100*Table1014[[#This Row],[Quantity]]</f>
        <v>1600</v>
      </c>
      <c r="M3" s="8">
        <f>Table1014[[#This Row],[Energy consumption in W]]*24*365/1000</f>
        <v>14016</v>
      </c>
      <c r="N3" s="8">
        <f t="shared" ref="N3:N9" si="1">0.3084/50</f>
        <v>6.1679999999999999E-3</v>
      </c>
      <c r="O3" s="8">
        <f>Table1014[[#This Row],[Yearly Energy Consumption in kWh]]*Table1014[[#This Row],[CU/kWh]]</f>
        <v>86.450688</v>
      </c>
      <c r="P3" s="8">
        <v>0</v>
      </c>
      <c r="Q3" s="8">
        <v>20</v>
      </c>
      <c r="R3" s="8">
        <f>Table1014[[#This Row],[FIT]]*Table1014[[#This Row],[Quantity]]*24*365/1000000000</f>
        <v>7.0080000000000003E-3</v>
      </c>
      <c r="S3" s="8">
        <f>2*Table1014[[#This Row],[Mean dist in km from CO]]/Table1014[[#This Row],[Avg Travel Speed]]</f>
        <v>0</v>
      </c>
      <c r="T3" s="8">
        <f>Table1014[[#This Row],[MTTR]]+Table1014[[#This Row],[Twice Travel Time]]</f>
        <v>6</v>
      </c>
      <c r="U3" s="8">
        <v>1</v>
      </c>
      <c r="V3" s="8">
        <v>3.8</v>
      </c>
      <c r="W3" s="8">
        <f>Table1014[[#This Row],[Failures per year]]*Table1014[[#This Row],[Total Time to Repair(h)]]*Table1014[[#This Row],[No. Of technicians]]*Table1014[[#This Row],[Cost per hour]]</f>
        <v>0.15978239999999999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25">
        <v>3200</v>
      </c>
      <c r="E4" s="8">
        <v>0</v>
      </c>
      <c r="F4" s="8">
        <f t="shared" si="0"/>
        <v>0</v>
      </c>
      <c r="G4" s="8">
        <v>10.6</v>
      </c>
      <c r="H4" s="8">
        <f>Table1014[[#This Row],[Total Floor Space]]*Table1014[[#This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Table1014[[#This Row],[Energy consumption in W]]*24*365/1000</f>
        <v>5256</v>
      </c>
      <c r="N4" s="8">
        <f t="shared" si="1"/>
        <v>6.1679999999999999E-3</v>
      </c>
      <c r="O4" s="8">
        <f>Table1014[[#This Row],[Yearly Energy Consumption in kWh]]*Table1014[[#This Row],[CU/kWh]]</f>
        <v>32.419007999999998</v>
      </c>
      <c r="P4" s="8">
        <v>0</v>
      </c>
      <c r="Q4" s="8">
        <v>20</v>
      </c>
      <c r="R4" s="8">
        <f>Table1014[[#This Row],[FIT]]*Table1014[[#This Row],[Quantity]]*24*365/1000000000</f>
        <v>0</v>
      </c>
      <c r="S4" s="8">
        <f>2*Table1014[[#This Row],[Mean dist in km from CO]]/Table1014[[#This Row],[Avg Travel Speed]]</f>
        <v>0</v>
      </c>
      <c r="T4" s="8">
        <f>Table1014[[#This Row],[MTTR]]+Table1014[[#This Row],[Twice Travel Time]]</f>
        <v>0</v>
      </c>
      <c r="U4" s="8">
        <v>1</v>
      </c>
      <c r="V4" s="8">
        <v>3.8</v>
      </c>
      <c r="W4" s="8">
        <f>Table1014[[#This Row],[Failures per year]]*Table1014[[#This Row],[Total Time to Repair(h)]]*Table1014[[#This Row],[No. Of technicians]]*Table1014[[#This Row],[Cost per hour]]</f>
        <v>0</v>
      </c>
    </row>
    <row r="5" spans="1:23" x14ac:dyDescent="0.25">
      <c r="A5" s="19" t="s">
        <v>3</v>
      </c>
      <c r="B5" s="20" t="s">
        <v>76</v>
      </c>
      <c r="C5" s="21">
        <v>400</v>
      </c>
      <c r="D5" s="25">
        <v>1</v>
      </c>
      <c r="E5" s="8">
        <v>0</v>
      </c>
      <c r="F5" s="8">
        <f t="shared" si="0"/>
        <v>0</v>
      </c>
      <c r="G5" s="8">
        <v>10.6</v>
      </c>
      <c r="H5" s="8">
        <f>Table1014[[#This Row],[Total Floor Space]]*Table1014[[#This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Table1014[[#This Row],[Energy consumption in W]]*24*365/1000</f>
        <v>0</v>
      </c>
      <c r="N5" s="8">
        <f t="shared" si="1"/>
        <v>6.1679999999999999E-3</v>
      </c>
      <c r="O5" s="8">
        <f>Table1014[[#This Row],[Yearly Energy Consumption in kWh]]*Table1014[[#This Row],[CU/kWh]]</f>
        <v>0</v>
      </c>
      <c r="P5" s="8">
        <v>0</v>
      </c>
      <c r="Q5" s="8">
        <v>20</v>
      </c>
      <c r="R5" s="8">
        <f>Table1014[[#This Row],[FIT]]*Table1014[[#This Row],[Quantity]]*24*365/1000000000</f>
        <v>0</v>
      </c>
      <c r="S5" s="8">
        <f>2*Table1014[[#This Row],[Mean dist in km from CO]]/Table1014[[#This Row],[Avg Travel Speed]]</f>
        <v>0</v>
      </c>
      <c r="T5" s="8">
        <f>Table1014[[#This Row],[MTTR]]+Table1014[[#This Row],[Twice Travel Time]]</f>
        <v>0</v>
      </c>
      <c r="U5" s="8">
        <v>1</v>
      </c>
      <c r="V5" s="8">
        <v>3.8</v>
      </c>
      <c r="W5" s="8">
        <f>Table1014[[#This Row],[Failures per year]]*Table1014[[#This Row],[Total Time to Repair(h)]]*Table1014[[#This Row],[No. Of technicians]]*Table1014[[#This Row],[Cost per hour]]</f>
        <v>0</v>
      </c>
    </row>
    <row r="6" spans="1:23" x14ac:dyDescent="0.25">
      <c r="A6" s="16" t="s">
        <v>8</v>
      </c>
      <c r="B6" s="17" t="s">
        <v>77</v>
      </c>
      <c r="C6" s="18">
        <f>80*0.3</f>
        <v>24</v>
      </c>
      <c r="D6" s="25">
        <v>8</v>
      </c>
      <c r="E6" s="8">
        <v>0</v>
      </c>
      <c r="F6" s="8">
        <f t="shared" si="0"/>
        <v>0</v>
      </c>
      <c r="G6" s="8">
        <v>10.6</v>
      </c>
      <c r="H6" s="8">
        <f>Table1014[[#This Row],[Total Floor Space]]*Table1014[[#This Row],[Rent per sqm per year]]</f>
        <v>0</v>
      </c>
      <c r="I6" s="8">
        <f>1/6*Table1014[[#This Row],[Quantity]]</f>
        <v>1.3333333333333333</v>
      </c>
      <c r="J6" s="8">
        <v>6</v>
      </c>
      <c r="K6" s="8">
        <v>50</v>
      </c>
      <c r="L6" s="8">
        <v>0</v>
      </c>
      <c r="M6" s="8">
        <f>Table1014[[#This Row],[Energy consumption in W]]*24*365/1000</f>
        <v>0</v>
      </c>
      <c r="N6" s="8">
        <f t="shared" si="1"/>
        <v>6.1679999999999999E-3</v>
      </c>
      <c r="O6" s="8">
        <f>Table1014[[#This Row],[Yearly Energy Consumption in kWh]]*Table1014[[#This Row],[CU/kWh]]</f>
        <v>0</v>
      </c>
      <c r="P6" s="8">
        <v>1</v>
      </c>
      <c r="Q6" s="8">
        <v>20</v>
      </c>
      <c r="R6" s="8">
        <f>Table1014[[#This Row],[FIT]]*Table1014[[#This Row],[Quantity]]*24*365/1000000000</f>
        <v>3.5040000000000002E-3</v>
      </c>
      <c r="S6" s="8">
        <f>2*Table1014[[#This Row],[Mean dist in km from CO]]/Table1014[[#This Row],[Avg Travel Speed]]</f>
        <v>0.1</v>
      </c>
      <c r="T6" s="8">
        <f>Table1014[[#This Row],[MTTR]]+Table1014[[#This Row],[Twice Travel Time]]</f>
        <v>6.1</v>
      </c>
      <c r="U6" s="8">
        <v>1</v>
      </c>
      <c r="V6" s="8">
        <v>3.8</v>
      </c>
      <c r="W6" s="8">
        <f>Table1014[[#This Row],[Failures per year]]*Table1014[[#This Row],[Total Time to Repair(h)]]*Table1014[[#This Row],[No. Of technicians]]*Table1014[[#This Row],[Cost per hour]]</f>
        <v>8.1222719999999984E-2</v>
      </c>
    </row>
    <row r="7" spans="1:23" x14ac:dyDescent="0.25">
      <c r="A7" s="19" t="s">
        <v>10</v>
      </c>
      <c r="B7" s="20" t="s">
        <v>90</v>
      </c>
      <c r="C7" s="21">
        <v>0.9</v>
      </c>
      <c r="D7" s="25">
        <v>305</v>
      </c>
      <c r="E7" s="8">
        <v>0</v>
      </c>
      <c r="F7" s="8">
        <f t="shared" si="0"/>
        <v>0</v>
      </c>
      <c r="G7" s="8">
        <v>10.6</v>
      </c>
      <c r="H7" s="8">
        <f>Table1014[[#This Row],[Total Floor Space]]*Table1014[[#This Row],[Rent per sqm per year]]</f>
        <v>0</v>
      </c>
      <c r="I7" s="8">
        <f>0.5*Table1014[[#This Row],[Quantity]]</f>
        <v>152.5</v>
      </c>
      <c r="J7" s="8">
        <v>6</v>
      </c>
      <c r="K7" s="8">
        <v>50</v>
      </c>
      <c r="L7" s="8">
        <v>0</v>
      </c>
      <c r="M7" s="8">
        <f>Table1014[[#This Row],[Energy consumption in W]]*24*365/1000</f>
        <v>0</v>
      </c>
      <c r="N7" s="8">
        <f t="shared" si="1"/>
        <v>6.1679999999999999E-3</v>
      </c>
      <c r="O7" s="8">
        <f>Table1014[[#This Row],[Yearly Energy Consumption in kWh]]*Table1014[[#This Row],[CU/kWh]]</f>
        <v>0</v>
      </c>
      <c r="P7" s="8">
        <v>2</v>
      </c>
      <c r="Q7" s="8">
        <v>20</v>
      </c>
      <c r="R7" s="8">
        <f>Table1014[[#This Row],[FIT]]*Table1014[[#This Row],[Quantity]]*24*365/1000000000</f>
        <v>0.13358999999999999</v>
      </c>
      <c r="S7" s="8">
        <f>2*Table1014[[#This Row],[Mean dist in km from CO]]/Table1014[[#This Row],[Avg Travel Speed]]</f>
        <v>0.2</v>
      </c>
      <c r="T7" s="8">
        <f>Table1014[[#This Row],[MTTR]]+Table1014[[#This Row],[Twice Travel Time]]</f>
        <v>6.2</v>
      </c>
      <c r="U7" s="8">
        <v>1</v>
      </c>
      <c r="V7" s="8">
        <v>3.8</v>
      </c>
      <c r="W7" s="8">
        <f>Table1014[[#This Row],[Failures per year]]*Table1014[[#This Row],[Total Time to Repair(h)]]*Table1014[[#This Row],[No. Of technicians]]*Table1014[[#This Row],[Cost per hour]]</f>
        <v>3.1473803999999994</v>
      </c>
    </row>
    <row r="8" spans="1:23" x14ac:dyDescent="0.25">
      <c r="A8" s="16" t="s">
        <v>89</v>
      </c>
      <c r="B8" s="17" t="s">
        <v>87</v>
      </c>
      <c r="C8" s="18">
        <v>3.1</v>
      </c>
      <c r="D8" s="25">
        <v>5000</v>
      </c>
      <c r="E8" s="8">
        <v>0</v>
      </c>
      <c r="F8" s="8">
        <f t="shared" si="0"/>
        <v>0</v>
      </c>
      <c r="G8" s="8">
        <v>4</v>
      </c>
      <c r="H8" s="8">
        <f>Table1014[[#This Row],[Total Floor Space]]*Table1014[[#This Row],[Rent per sqm per year]]</f>
        <v>0</v>
      </c>
      <c r="I8" s="8">
        <f>0.5*Table1014[[#This Row],[Quantity]]</f>
        <v>2500</v>
      </c>
      <c r="J8" s="8">
        <v>6</v>
      </c>
      <c r="K8" s="8">
        <v>256</v>
      </c>
      <c r="L8" s="8">
        <f>5.5*Table1014[[#This Row],[Quantity]]</f>
        <v>27500</v>
      </c>
      <c r="M8" s="8">
        <f>Table1014[[#This Row],[Energy consumption in W]]*24*365/1000</f>
        <v>240900</v>
      </c>
      <c r="N8" s="8">
        <f t="shared" si="1"/>
        <v>6.1679999999999999E-3</v>
      </c>
      <c r="O8" s="8">
        <f>Table1014[[#This Row],[Yearly Energy Consumption in kWh]]*Table1014[[#This Row],[CU/kWh]]</f>
        <v>1485.8712</v>
      </c>
      <c r="P8" s="8">
        <v>4</v>
      </c>
      <c r="Q8" s="8">
        <v>20</v>
      </c>
      <c r="R8" s="8">
        <f>Table1014[[#This Row],[FIT]]*Table1014[[#This Row],[Quantity]]*24*365/1000000000</f>
        <v>11.2128</v>
      </c>
      <c r="S8" s="8">
        <f>2*Table1014[[#This Row],[Mean dist in km from CO]]/Table1014[[#This Row],[Avg Travel Speed]]</f>
        <v>0.4</v>
      </c>
      <c r="T8" s="8">
        <f>Table1014[[#This Row],[MTTR]]+Table1014[[#This Row],[Twice Travel Time]]</f>
        <v>6.4</v>
      </c>
      <c r="U8" s="8">
        <v>1</v>
      </c>
      <c r="V8" s="8">
        <v>3.8</v>
      </c>
      <c r="W8" s="8">
        <f>Table1014[[#This Row],[Failures per year]]*Table1014[[#This Row],[Total Time to Repair(h)]]*Table1014[[#This Row],[No. Of technicians]]*Table1014[[#This Row],[Cost per hour]]</f>
        <v>272.69529599999998</v>
      </c>
    </row>
    <row r="9" spans="1:23" x14ac:dyDescent="0.25">
      <c r="A9" s="19" t="s">
        <v>89</v>
      </c>
      <c r="B9" s="20" t="s">
        <v>91</v>
      </c>
      <c r="C9" s="21">
        <v>8</v>
      </c>
      <c r="D9" s="25">
        <v>5000</v>
      </c>
      <c r="E9" s="8">
        <v>1</v>
      </c>
      <c r="F9" s="8">
        <f t="shared" si="0"/>
        <v>5000</v>
      </c>
      <c r="G9" s="8">
        <v>0</v>
      </c>
      <c r="H9" s="8">
        <f>Table1014[[#This Row],[Total Floor Space]]*Table1014[[#This Row],[Rent per sqm per year]]</f>
        <v>0</v>
      </c>
      <c r="I9" s="8">
        <f>(0.5+1/6*6)*Table1014[[#This Row],[Quantity]]</f>
        <v>7500</v>
      </c>
      <c r="J9" s="8">
        <v>24</v>
      </c>
      <c r="K9" s="8">
        <v>5000</v>
      </c>
      <c r="L9" s="8">
        <f>50*Table1014[[#This Row],[Total Floor Space]]</f>
        <v>250000</v>
      </c>
      <c r="M9" s="8">
        <f>Table1014[[#This Row],[Energy consumption in W]]*24*365/1000</f>
        <v>2190000</v>
      </c>
      <c r="N9" s="8">
        <f t="shared" si="1"/>
        <v>6.1679999999999999E-3</v>
      </c>
      <c r="O9" s="8">
        <f>Table1014[[#This Row],[Yearly Energy Consumption in kWh]]*Table1014[[#This Row],[CU/kWh]]</f>
        <v>13507.92</v>
      </c>
      <c r="P9" s="8">
        <v>4</v>
      </c>
      <c r="Q9" s="8">
        <v>20</v>
      </c>
      <c r="R9" s="8">
        <f>Table1014[[#This Row],[FIT]]*Table1014[[#This Row],[Quantity]]*24*365/1000000000</f>
        <v>219</v>
      </c>
      <c r="S9" s="8">
        <f>2*Table1014[[#This Row],[Mean dist in km from CO]]/Table1014[[#This Row],[Avg Travel Speed]]</f>
        <v>0.4</v>
      </c>
      <c r="T9" s="8">
        <f>Table1014[[#This Row],[MTTR]]+Table1014[[#This Row],[Twice Travel Time]]</f>
        <v>24.4</v>
      </c>
      <c r="U9" s="8">
        <v>1</v>
      </c>
      <c r="V9" s="8">
        <v>3.8</v>
      </c>
      <c r="W9" s="8">
        <f>Table1014[[#This Row],[Failures per year]]*Table1014[[#This Row],[Total Time to Repair(h)]]*Table1014[[#This Row],[No. Of technicians]]*Table1014[[#This Row],[Cost per hour]]</f>
        <v>20305.679999999997</v>
      </c>
    </row>
    <row r="10" spans="1:23" x14ac:dyDescent="0.25">
      <c r="A10" s="27"/>
      <c r="B10" s="26"/>
      <c r="C10" s="25"/>
      <c r="D10" s="25"/>
      <c r="E10" s="24"/>
      <c r="F10" s="24"/>
      <c r="G10" s="24"/>
      <c r="H10" s="24">
        <f>SUM(Table1014[Total Rent cost per year])</f>
        <v>8480</v>
      </c>
      <c r="I10" s="24"/>
      <c r="J10" s="24"/>
      <c r="K10" s="24"/>
      <c r="L10" s="24"/>
      <c r="M10" s="24"/>
      <c r="N10" s="24"/>
      <c r="O10" s="24">
        <f>SUBTOTAL(109,Table1014[Energy Cost per year in CU])</f>
        <v>15372.01296</v>
      </c>
      <c r="P10" s="24"/>
      <c r="Q10" s="24"/>
      <c r="R10" s="24"/>
      <c r="S10" s="24"/>
      <c r="T10" s="24"/>
      <c r="U10" s="24"/>
      <c r="V10" s="24"/>
      <c r="W10" s="24">
        <f>SUBTOTAL(109,Table1014[FM Cost])</f>
        <v>20589.944540399996</v>
      </c>
    </row>
    <row r="15" spans="1:23" x14ac:dyDescent="0.25">
      <c r="A15" s="8" t="s">
        <v>40</v>
      </c>
      <c r="B15" s="8" t="s">
        <v>64</v>
      </c>
      <c r="C15" s="8" t="s">
        <v>17</v>
      </c>
      <c r="D15" s="8" t="s">
        <v>16</v>
      </c>
      <c r="E15" s="8" t="s">
        <v>41</v>
      </c>
      <c r="F15" s="8" t="s">
        <v>30</v>
      </c>
      <c r="G15" s="8" t="s">
        <v>45</v>
      </c>
      <c r="H15" s="8" t="s">
        <v>48</v>
      </c>
      <c r="I15" s="8" t="s">
        <v>49</v>
      </c>
      <c r="J15" s="8" t="s">
        <v>51</v>
      </c>
      <c r="M15" s="8" t="s">
        <v>70</v>
      </c>
    </row>
    <row r="16" spans="1:23" x14ac:dyDescent="0.25">
      <c r="A16" s="8" t="s">
        <v>42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Table1014[[#Totals],[Total Rent cost per year]]+Table1014[[#Totals],[Energy Cost per year in CU]]+Table1014[[#Totals],[FM Cost]]+J19</f>
        <v>44721.854393392539</v>
      </c>
    </row>
    <row r="17" spans="1:13" x14ac:dyDescent="0.25">
      <c r="A17" s="8" t="s">
        <v>43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3" x14ac:dyDescent="0.25">
      <c r="A18" s="8" t="s">
        <v>63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</row>
    <row r="19" spans="1:13" x14ac:dyDescent="0.25">
      <c r="J19" s="8">
        <f>SUM(J16:J18)</f>
        <v>279.89689299254849</v>
      </c>
      <c r="L19" s="8" t="s">
        <v>98</v>
      </c>
      <c r="M19" s="8" t="s">
        <v>67</v>
      </c>
    </row>
    <row r="20" spans="1:13" x14ac:dyDescent="0.25">
      <c r="L20" s="8" t="s">
        <v>93</v>
      </c>
      <c r="M20" s="8">
        <f>Table1014[[#Totals],[Total Rent cost per year]]</f>
        <v>8480</v>
      </c>
    </row>
    <row r="21" spans="1:13" x14ac:dyDescent="0.25">
      <c r="L21" s="8" t="s">
        <v>94</v>
      </c>
      <c r="M21" s="8">
        <f>Table1014[[#Totals],[Energy Cost per year in CU]]</f>
        <v>15372.01296</v>
      </c>
    </row>
    <row r="22" spans="1:13" x14ac:dyDescent="0.25">
      <c r="L22" s="8" t="s">
        <v>95</v>
      </c>
      <c r="M22" s="8">
        <f>Table1014[[#Totals],[FM Cost]]+J19</f>
        <v>20869.841433392543</v>
      </c>
    </row>
    <row r="23" spans="1:13" x14ac:dyDescent="0.25">
      <c r="L23" s="8" t="s">
        <v>96</v>
      </c>
      <c r="M23" s="8">
        <f>0.05*SUM(M20:M22)</f>
        <v>2236.0927196696271</v>
      </c>
    </row>
    <row r="24" spans="1:13" x14ac:dyDescent="0.25">
      <c r="L24" s="8" t="s">
        <v>97</v>
      </c>
      <c r="M24" s="8">
        <f>0.07*SUM(M20:M22)</f>
        <v>3130.5298075374781</v>
      </c>
    </row>
    <row r="25" spans="1:13" x14ac:dyDescent="0.25">
      <c r="M25" s="8">
        <f>SUM(Table1416171819202122[Cost])</f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7:Q61"/>
  <sheetViews>
    <sheetView workbookViewId="0">
      <selection activeCell="L29" sqref="L29"/>
    </sheetView>
  </sheetViews>
  <sheetFormatPr defaultRowHeight="15" x14ac:dyDescent="0.25"/>
  <cols>
    <col min="4" max="4" width="20" customWidth="1"/>
    <col min="5" max="5" width="22" customWidth="1"/>
    <col min="6" max="6" width="19.28515625" customWidth="1"/>
    <col min="7" max="7" width="16.85546875" customWidth="1"/>
    <col min="8" max="8" width="18" customWidth="1"/>
    <col min="9" max="9" width="18.140625" customWidth="1"/>
    <col min="10" max="10" width="16.85546875" customWidth="1"/>
    <col min="11" max="11" width="18" customWidth="1"/>
    <col min="12" max="12" width="17.85546875" customWidth="1"/>
    <col min="13" max="14" width="19.7109375" customWidth="1"/>
    <col min="15" max="15" width="20.85546875" customWidth="1"/>
    <col min="16" max="17" width="20.7109375" customWidth="1"/>
  </cols>
  <sheetData>
    <row r="27" spans="4:17" x14ac:dyDescent="0.25">
      <c r="D27" t="s">
        <v>98</v>
      </c>
      <c r="E27" t="s">
        <v>99</v>
      </c>
      <c r="F27" t="s">
        <v>100</v>
      </c>
      <c r="G27" t="s">
        <v>101</v>
      </c>
      <c r="H27" t="s">
        <v>102</v>
      </c>
      <c r="I27" t="s">
        <v>103</v>
      </c>
      <c r="J27" t="s">
        <v>104</v>
      </c>
      <c r="K27" t="s">
        <v>105</v>
      </c>
      <c r="L27" t="s">
        <v>107</v>
      </c>
      <c r="M27" t="s">
        <v>106</v>
      </c>
      <c r="N27" t="s">
        <v>108</v>
      </c>
      <c r="O27" t="s">
        <v>109</v>
      </c>
      <c r="P27" t="s">
        <v>111</v>
      </c>
      <c r="Q27" t="s">
        <v>110</v>
      </c>
    </row>
    <row r="28" spans="4:17" x14ac:dyDescent="0.25">
      <c r="D28" s="8" t="s">
        <v>93</v>
      </c>
      <c r="E28" s="8">
        <v>7308</v>
      </c>
      <c r="F28" s="8">
        <v>3074</v>
      </c>
      <c r="G28" s="8">
        <v>3869</v>
      </c>
      <c r="H28" s="8">
        <v>3869</v>
      </c>
      <c r="I28" s="8">
        <v>5936</v>
      </c>
      <c r="J28" s="8">
        <v>13074</v>
      </c>
      <c r="K28" s="12">
        <v>5936</v>
      </c>
      <c r="L28" s="12">
        <v>7314</v>
      </c>
      <c r="M28" s="12">
        <v>16202.8</v>
      </c>
      <c r="N28">
        <v>4240</v>
      </c>
      <c r="O28">
        <v>8480</v>
      </c>
      <c r="P28">
        <v>20377.2</v>
      </c>
      <c r="Q28">
        <v>8480</v>
      </c>
    </row>
    <row r="29" spans="4:17" x14ac:dyDescent="0.25">
      <c r="D29" s="8" t="s">
        <v>94</v>
      </c>
      <c r="E29" s="8">
        <v>3900.4488391680002</v>
      </c>
      <c r="F29" s="8">
        <v>15518.532579840001</v>
      </c>
      <c r="G29" s="8">
        <v>14871.900355200003</v>
      </c>
      <c r="H29" s="8">
        <v>3279.3529536000001</v>
      </c>
      <c r="I29" s="8">
        <v>2489.7663590400002</v>
      </c>
      <c r="J29" s="8">
        <v>11115.468565056002</v>
      </c>
      <c r="K29" s="13">
        <v>15946.915080960001</v>
      </c>
      <c r="L29" s="13">
        <v>14972.561164800003</v>
      </c>
      <c r="M29" s="13">
        <v>7232.9508432000002</v>
      </c>
      <c r="N29">
        <v>15199.111584</v>
      </c>
      <c r="O29">
        <v>378.22176000000002</v>
      </c>
      <c r="P29">
        <v>9256.7074175999987</v>
      </c>
      <c r="Q29">
        <v>15372.01296</v>
      </c>
    </row>
    <row r="30" spans="4:17" x14ac:dyDescent="0.25">
      <c r="D30" s="8" t="s">
        <v>95</v>
      </c>
      <c r="E30" s="8">
        <v>6008.5530527698265</v>
      </c>
      <c r="F30" s="8">
        <v>20434.095716784002</v>
      </c>
      <c r="G30" s="8">
        <v>20766.619334565716</v>
      </c>
      <c r="H30" s="8">
        <v>2263.0546533337124</v>
      </c>
      <c r="I30" s="8">
        <v>2233.9824704598395</v>
      </c>
      <c r="J30" s="8">
        <v>21331.706543720222</v>
      </c>
      <c r="K30" s="12">
        <v>20730.355811899841</v>
      </c>
      <c r="L30" s="12">
        <v>20767.268450565716</v>
      </c>
      <c r="M30" s="12">
        <v>10209.666758157182</v>
      </c>
      <c r="N30">
        <v>20585.774219759998</v>
      </c>
      <c r="O30">
        <v>1980.898713392548</v>
      </c>
      <c r="P30">
        <v>12704.99861850918</v>
      </c>
      <c r="Q30">
        <v>20869.841433392543</v>
      </c>
    </row>
    <row r="31" spans="4:17" x14ac:dyDescent="0.25">
      <c r="D31" s="8" t="s">
        <v>96</v>
      </c>
      <c r="E31" s="8">
        <v>860.85009459689138</v>
      </c>
      <c r="F31" s="8">
        <v>1951.3314148312002</v>
      </c>
      <c r="G31" s="8">
        <v>1975.3759844882859</v>
      </c>
      <c r="H31" s="8">
        <v>470.57038034668568</v>
      </c>
      <c r="I31" s="8">
        <v>532.98744147499201</v>
      </c>
      <c r="J31" s="8">
        <v>2276.0587554388112</v>
      </c>
      <c r="K31" s="13">
        <v>2130.6635446429923</v>
      </c>
      <c r="L31" s="13">
        <v>2152.6914807682861</v>
      </c>
      <c r="M31" s="13">
        <v>1682.2708800678593</v>
      </c>
      <c r="N31">
        <v>2001.2442901880002</v>
      </c>
      <c r="O31">
        <v>541.95602366962737</v>
      </c>
      <c r="P31">
        <v>2116.9453018054592</v>
      </c>
      <c r="Q31">
        <v>2236.0927196696271</v>
      </c>
    </row>
    <row r="32" spans="4:17" x14ac:dyDescent="0.25">
      <c r="D32" s="8" t="s">
        <v>97</v>
      </c>
      <c r="E32" s="8">
        <v>1205.1901324356479</v>
      </c>
      <c r="F32" s="8">
        <v>2731.8639807636805</v>
      </c>
      <c r="G32" s="8">
        <v>2765.5263782836005</v>
      </c>
      <c r="H32" s="8">
        <v>658.79853248536006</v>
      </c>
      <c r="I32" s="8">
        <v>746.18241806498884</v>
      </c>
      <c r="J32" s="8">
        <v>3186.482257614336</v>
      </c>
      <c r="K32" s="12">
        <v>2982.9289625001893</v>
      </c>
      <c r="L32" s="12">
        <v>3013.7680730756006</v>
      </c>
      <c r="M32" s="12">
        <v>2355.179232095003</v>
      </c>
      <c r="N32">
        <v>2801.7420062632004</v>
      </c>
      <c r="O32">
        <v>758.73843313747841</v>
      </c>
      <c r="P32">
        <v>2963.7234225276429</v>
      </c>
      <c r="Q32">
        <v>3130.5298075374781</v>
      </c>
    </row>
    <row r="33" spans="4:17" x14ac:dyDescent="0.25">
      <c r="D33" s="24"/>
      <c r="E33" s="24">
        <f>SUM(Table22[FTTC_GPON_25])</f>
        <v>19283.042118970367</v>
      </c>
      <c r="F33" s="24">
        <f>SUBTOTAL(109,Table22[FTTB_XGPON_50])</f>
        <v>43709.823692218881</v>
      </c>
      <c r="G33" s="24">
        <f>SUBTOTAL(109,Table22[FTTB_DWDM_50])</f>
        <v>44248.4220525376</v>
      </c>
      <c r="H33" s="24">
        <f>SUBTOTAL(109,Table22[FTTH_DWDM_100])</f>
        <v>10540.776519765759</v>
      </c>
      <c r="I33" s="24">
        <f>SUBTOTAL(109,Table22[FTTH_XGPON_100])</f>
        <v>11938.918689039821</v>
      </c>
      <c r="J33" s="24">
        <f>SUBTOTAL(109,Table22[FTTC_GPON_100])</f>
        <v>50983.71612182937</v>
      </c>
      <c r="K33" s="29">
        <f>SUBTOTAL(109,Table22[FTTB_XGPON_100])</f>
        <v>47726.863400003029</v>
      </c>
      <c r="L33" s="29">
        <f>SUBTOTAL(109,Table22[FTTB_DWDM_100])</f>
        <v>48220.289169209609</v>
      </c>
      <c r="M33" s="29">
        <f>SUBTOTAL(109,Table22[FTTC_Hybridpon_25])</f>
        <v>37682.867713520049</v>
      </c>
      <c r="N33" s="24">
        <f>SUBTOTAL(109,Table22[FTTB_Hybridpon_50])</f>
        <v>44827.8721002112</v>
      </c>
      <c r="O33" s="24">
        <f>SUBTOTAL(109,Table22[FTTH_Hybridpon_100])</f>
        <v>12139.814930199653</v>
      </c>
      <c r="P33" s="24">
        <f>SUBTOTAL(109,Table22[FTTC_Hybridpon_100])</f>
        <v>47419.574760442287</v>
      </c>
      <c r="Q33" s="24">
        <f>SUBTOTAL(109,Table22[FTTB_Hybridpon_100])</f>
        <v>50088.476920599649</v>
      </c>
    </row>
    <row r="40" spans="4:17" ht="15.75" thickBot="1" x14ac:dyDescent="0.3"/>
    <row r="41" spans="4:17" ht="16.5" thickTop="1" thickBot="1" x14ac:dyDescent="0.3">
      <c r="J41" s="11">
        <f>SUM(Table22[FTTC_GPON_25])</f>
        <v>19283.042118970367</v>
      </c>
    </row>
    <row r="42" spans="4:17" ht="16.5" thickTop="1" thickBot="1" x14ac:dyDescent="0.3">
      <c r="J42" s="11">
        <f>SUBTOTAL(109,Table22[FTTB_XGPON_50])</f>
        <v>43709.823692218881</v>
      </c>
    </row>
    <row r="43" spans="4:17" ht="16.5" thickTop="1" thickBot="1" x14ac:dyDescent="0.3">
      <c r="J43" s="11">
        <f>SUBTOTAL(109,Table22[FTTB_DWDM_50])</f>
        <v>44248.4220525376</v>
      </c>
    </row>
    <row r="44" spans="4:17" ht="16.5" thickTop="1" thickBot="1" x14ac:dyDescent="0.3">
      <c r="J44" s="11">
        <f>SUBTOTAL(109,Table22[FTTH_DWDM_100])</f>
        <v>10540.776519765759</v>
      </c>
    </row>
    <row r="45" spans="4:17" ht="16.5" thickTop="1" thickBot="1" x14ac:dyDescent="0.3">
      <c r="J45" s="11">
        <f>SUBTOTAL(109,Table22[FTTH_XGPON_100])</f>
        <v>11938.918689039821</v>
      </c>
    </row>
    <row r="46" spans="4:17" ht="15.75" thickTop="1" x14ac:dyDescent="0.25">
      <c r="J46" s="11">
        <f>SUBTOTAL(109,Table22[FTTC_GPON_100])</f>
        <v>50983.71612182937</v>
      </c>
    </row>
    <row r="47" spans="4:17" x14ac:dyDescent="0.25">
      <c r="J47" s="28">
        <f>SUBTOTAL(109,Table22[FTTB_XGPON_100])</f>
        <v>47726.863400003029</v>
      </c>
    </row>
    <row r="48" spans="4:17" ht="15.75" thickBot="1" x14ac:dyDescent="0.3">
      <c r="J48" s="28">
        <f>SUBTOTAL(109,Table22[FTTB_DWDM_100])</f>
        <v>48220.289169209609</v>
      </c>
    </row>
    <row r="49" spans="10:13" ht="16.5" thickTop="1" thickBot="1" x14ac:dyDescent="0.3">
      <c r="J49" s="28">
        <f>SUBTOTAL(109,Table22[FTTC_Hybridpon_25])</f>
        <v>37682.867713520049</v>
      </c>
      <c r="M49" s="11">
        <f>SUM(Table22[FTTC_GPON_25])</f>
        <v>19283.042118970367</v>
      </c>
    </row>
    <row r="50" spans="10:13" ht="16.5" thickTop="1" thickBot="1" x14ac:dyDescent="0.3">
      <c r="J50" s="11">
        <f>SUBTOTAL(109,Table22[FTTB_Hybridpon_50])</f>
        <v>44827.8721002112</v>
      </c>
      <c r="M50" s="11">
        <f>SUBTOTAL(109,Table22[FTTB_XGPON_50])</f>
        <v>43709.823692218881</v>
      </c>
    </row>
    <row r="51" spans="10:13" ht="16.5" thickTop="1" thickBot="1" x14ac:dyDescent="0.3">
      <c r="J51" s="11">
        <f>SUBTOTAL(109,Table22[FTTH_Hybridpon_100])</f>
        <v>12139.814930199653</v>
      </c>
      <c r="M51" s="11">
        <f>SUBTOTAL(109,Table22[FTTB_DWDM_50])</f>
        <v>44248.4220525376</v>
      </c>
    </row>
    <row r="52" spans="10:13" ht="16.5" thickTop="1" thickBot="1" x14ac:dyDescent="0.3">
      <c r="J52" s="11">
        <f>SUBTOTAL(109,Table22[FTTC_Hybridpon_100])</f>
        <v>47419.574760442287</v>
      </c>
      <c r="M52" s="11">
        <f>SUBTOTAL(109,Table22[FTTH_DWDM_100])</f>
        <v>10540.776519765759</v>
      </c>
    </row>
    <row r="53" spans="10:13" ht="16.5" thickTop="1" thickBot="1" x14ac:dyDescent="0.3">
      <c r="J53" s="14">
        <f>SUBTOTAL(109,Table22[FTTB_Hybridpon_100])</f>
        <v>50088.476920599649</v>
      </c>
      <c r="M53" s="11">
        <f>SUBTOTAL(109,Table22[FTTH_XGPON_100])</f>
        <v>11938.918689039821</v>
      </c>
    </row>
    <row r="54" spans="10:13" ht="15.75" thickTop="1" x14ac:dyDescent="0.25">
      <c r="M54" s="11">
        <f>SUBTOTAL(109,Table22[FTTC_GPON_100])</f>
        <v>50983.71612182937</v>
      </c>
    </row>
    <row r="55" spans="10:13" x14ac:dyDescent="0.25">
      <c r="M55" s="28">
        <f>SUBTOTAL(109,Table22[FTTB_XGPON_100])</f>
        <v>47726.863400003029</v>
      </c>
    </row>
    <row r="56" spans="10:13" x14ac:dyDescent="0.25">
      <c r="M56" s="28">
        <f>SUBTOTAL(109,Table22[FTTB_DWDM_100])</f>
        <v>48220.289169209609</v>
      </c>
    </row>
    <row r="57" spans="10:13" ht="15.75" thickBot="1" x14ac:dyDescent="0.3">
      <c r="M57" s="28">
        <f>SUBTOTAL(109,Table22[FTTC_Hybridpon_25])</f>
        <v>37682.867713520049</v>
      </c>
    </row>
    <row r="58" spans="10:13" ht="16.5" thickTop="1" thickBot="1" x14ac:dyDescent="0.3">
      <c r="M58" s="11">
        <f>SUBTOTAL(109,Table22[FTTB_Hybridpon_50])</f>
        <v>44827.8721002112</v>
      </c>
    </row>
    <row r="59" spans="10:13" ht="16.5" thickTop="1" thickBot="1" x14ac:dyDescent="0.3">
      <c r="M59" s="11">
        <f>SUBTOTAL(109,Table22[FTTH_Hybridpon_100])</f>
        <v>12139.814930199653</v>
      </c>
    </row>
    <row r="60" spans="10:13" ht="16.5" thickTop="1" thickBot="1" x14ac:dyDescent="0.3">
      <c r="M60" s="11">
        <f>SUBTOTAL(109,Table22[FTTC_Hybridpon_100])</f>
        <v>47419.574760442287</v>
      </c>
    </row>
    <row r="61" spans="10:13" ht="15.75" thickTop="1" x14ac:dyDescent="0.25">
      <c r="M61" s="14">
        <f>SUBTOTAL(109,Table22[FTTB_Hybridpon_100])</f>
        <v>50088.476920599649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G1" workbookViewId="0">
      <selection activeCell="E15" sqref="E15"/>
    </sheetView>
  </sheetViews>
  <sheetFormatPr defaultRowHeight="15" x14ac:dyDescent="0.25"/>
  <cols>
    <col min="1" max="1" width="23.28515625" customWidth="1"/>
    <col min="2" max="2" width="19.28515625" customWidth="1"/>
    <col min="3" max="3" width="21.28515625" customWidth="1"/>
    <col min="4" max="4" width="10.85546875" customWidth="1"/>
    <col min="5" max="5" width="18" customWidth="1"/>
    <col min="6" max="8" width="18" style="1" customWidth="1"/>
    <col min="9" max="9" width="20.7109375" customWidth="1"/>
    <col min="10" max="10" width="21" customWidth="1"/>
    <col min="11" max="11" width="20" customWidth="1"/>
    <col min="12" max="12" width="17.140625" customWidth="1"/>
    <col min="13" max="13" width="20.85546875" customWidth="1"/>
    <col min="14" max="14" width="24.140625" customWidth="1"/>
    <col min="15" max="15" width="26.42578125" customWidth="1"/>
    <col min="16" max="16" width="21.140625" customWidth="1"/>
    <col min="17" max="17" width="14.85546875" customWidth="1"/>
    <col min="18" max="18" width="23.5703125" customWidth="1"/>
    <col min="19" max="19" width="19.7109375" customWidth="1"/>
    <col min="20" max="20" width="7.5703125" customWidth="1"/>
    <col min="22" max="23" width="16.7109375" customWidth="1"/>
    <col min="24" max="24" width="18.5703125" customWidth="1"/>
    <col min="25" max="25" width="18.7109375" customWidth="1"/>
    <col min="26" max="26" width="14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36</v>
      </c>
      <c r="F1" s="1" t="s">
        <v>35</v>
      </c>
      <c r="G1" s="1" t="s">
        <v>37</v>
      </c>
      <c r="H1" s="2" t="s">
        <v>38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112</v>
      </c>
      <c r="Y1" t="s">
        <v>116</v>
      </c>
      <c r="Z1" t="s">
        <v>117</v>
      </c>
      <c r="AA1" t="s">
        <v>33</v>
      </c>
      <c r="AB1" t="s">
        <v>34</v>
      </c>
    </row>
    <row r="2" spans="1:28" x14ac:dyDescent="0.25">
      <c r="A2" t="s">
        <v>3</v>
      </c>
      <c r="B2" t="s">
        <v>4</v>
      </c>
      <c r="C2">
        <v>40</v>
      </c>
      <c r="D2">
        <v>40</v>
      </c>
      <c r="E2">
        <f>5</f>
        <v>5</v>
      </c>
      <c r="F2" s="1">
        <f>Table2[[#This Row],[Floor Space per component]]*Table2[[#This Row],[Quantity]]</f>
        <v>200</v>
      </c>
      <c r="G2" s="1">
        <f>530/50</f>
        <v>10.6</v>
      </c>
      <c r="H2" s="2">
        <f>Table2[[#This Row],[Rent per sqm per year]]*Table2[[#This Row],[Total Floor Space]]</f>
        <v>2120</v>
      </c>
      <c r="I2">
        <v>7.1666666666666696</v>
      </c>
      <c r="J2">
        <v>2</v>
      </c>
      <c r="K2">
        <v>256</v>
      </c>
      <c r="L2">
        <f>10+Table2[[#This Row],[Quantity]]*2.5*0.5</f>
        <v>60</v>
      </c>
      <c r="M2">
        <f>Table2[[#This Row],[Energy consumption in W]]*24*365/1000</f>
        <v>525.6</v>
      </c>
      <c r="N2">
        <f>0.3048/50</f>
        <v>6.0960000000000007E-3</v>
      </c>
      <c r="O2" s="2">
        <f>Table2[[#This Row],[Yearly Energy Consumption in kWh]]*Table2[[#This Row],[CU/kWh]]</f>
        <v>3.2040576000000005</v>
      </c>
      <c r="P2">
        <v>0</v>
      </c>
      <c r="Q2">
        <v>20</v>
      </c>
      <c r="R2">
        <f>Table2[[#This Row],[Quantity]]*(Table2[[#This Row],[FIT]]*24*365)/1000000000</f>
        <v>8.9702400000000002E-2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f>190/50</f>
        <v>3.8</v>
      </c>
      <c r="W2" s="2">
        <f>Table2[[#This Row],[Cost per hour]]*Table2[[#This Row],[Total Time to Repair(h)]]*Table2[[#This Row],[Failures per year]]</f>
        <v>0.68173823999999994</v>
      </c>
      <c r="X2">
        <v>2</v>
      </c>
      <c r="Y2">
        <v>7.0000000000000007E-2</v>
      </c>
      <c r="Z2">
        <f>0.07+2*0.00027</f>
        <v>7.0540000000000005E-2</v>
      </c>
      <c r="AA2">
        <f>Table2[[#This Row],[Percentage of Business Users]]*Table2[[#This Row],[SLA CU per hour]]*Table2[[#This Row],[Failures per year]]*Table2[[#This Row],[Total Time to Repair(h)]]</f>
        <v>2.5116672000000003E-2</v>
      </c>
      <c r="AB2">
        <f>Table2[[#This Row],[Percentage of ITS and business users]]*Table2[[#This Row],[SLA CU per hour]]*Table2[[#This Row],[Failures per year]]*Table2[[#This Row],[Total Time to Repair(h)]]</f>
        <v>2.5310429184000002E-2</v>
      </c>
    </row>
    <row r="3" spans="1:28" x14ac:dyDescent="0.25">
      <c r="A3" t="s">
        <v>3</v>
      </c>
      <c r="B3" t="s">
        <v>5</v>
      </c>
      <c r="C3">
        <v>4</v>
      </c>
      <c r="D3">
        <v>312</v>
      </c>
      <c r="E3">
        <v>0</v>
      </c>
      <c r="F3" s="1">
        <f>Table2[[#This Row],[Floor Space per component]]*Table2[[#This Row],[Quantity]]</f>
        <v>0</v>
      </c>
      <c r="G3" s="1">
        <v>0</v>
      </c>
      <c r="H3" s="2">
        <f>Table2[[#This Row],[Rent per sqm per year]]*Table2[[#This Row],[Total Floor Space]]</f>
        <v>0</v>
      </c>
      <c r="I3">
        <v>0</v>
      </c>
      <c r="J3">
        <v>0</v>
      </c>
      <c r="K3">
        <v>0</v>
      </c>
      <c r="L3">
        <f>1.2*Table2[[#This Row],[Quantity]]</f>
        <v>374.4</v>
      </c>
      <c r="M3" s="1">
        <f>Table2[[#This Row],[Energy consumption in W]]*24*365/1000</f>
        <v>3279.7439999999997</v>
      </c>
      <c r="N3" s="1">
        <f t="shared" ref="N3:N10" si="0">0.3048/50</f>
        <v>6.0960000000000007E-3</v>
      </c>
      <c r="O3" s="2">
        <f>Table2[[#This Row],[Yearly Energy Consumption in kWh]]*Table2[[#This Row],[CU/kWh]]</f>
        <v>19.993319423999999</v>
      </c>
      <c r="P3">
        <v>0</v>
      </c>
      <c r="Q3">
        <v>20</v>
      </c>
      <c r="R3" s="8">
        <f>Table2[[#This Row],[Quantity]]*(Table2[[#This Row],[FIT]]*24*365)/1000000000</f>
        <v>0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1">
        <f t="shared" ref="V3:V10" si="1">190/50</f>
        <v>3.8</v>
      </c>
      <c r="W3" s="2">
        <f>Table2[[#This Row],[Cost per hour]]*Table2[[#This Row],[Total Time to Repair(h)]]*Table2[[#This Row],[Failures per year]]</f>
        <v>0</v>
      </c>
      <c r="X3" s="1">
        <v>2</v>
      </c>
      <c r="Y3" s="8">
        <v>7.0000000000000007E-2</v>
      </c>
      <c r="Z3" s="8">
        <f t="shared" ref="Z3:Z10" si="2">0.07+2*0.00027</f>
        <v>7.0540000000000005E-2</v>
      </c>
      <c r="AA3" s="8">
        <f>Table2[[#This Row],[Percentage of Business Users]]*Table2[[#This Row],[SLA CU per hour]]*Table2[[#This Row],[Failures per year]]*Table2[[#This Row],[Total Time to Repair(h)]]</f>
        <v>0</v>
      </c>
      <c r="AB3" s="8">
        <f>Table2[[#This Row],[Percentage of ITS and business users]]*Table2[[#This Row],[SLA CU per hour]]*Table2[[#This Row],[Failures per year]]*Table2[[#This Row],[Total Time to Repair(h)]]</f>
        <v>0</v>
      </c>
    </row>
    <row r="4" spans="1:28" x14ac:dyDescent="0.25">
      <c r="A4" t="s">
        <v>3</v>
      </c>
      <c r="B4" t="s">
        <v>6</v>
      </c>
      <c r="C4">
        <v>1.1111111111111112E-2</v>
      </c>
      <c r="D4">
        <v>800</v>
      </c>
      <c r="E4">
        <v>0</v>
      </c>
      <c r="F4" s="1">
        <f>Table2[[#This Row],[Floor Space per component]]*Table2[[#This Row],[Quantity]]</f>
        <v>0</v>
      </c>
      <c r="G4" s="1">
        <v>0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80</v>
      </c>
      <c r="M4" s="1">
        <f>Table2[[#This Row],[Energy consumption in W]]*24*365/1000</f>
        <v>700.8</v>
      </c>
      <c r="N4" s="1">
        <f t="shared" si="0"/>
        <v>6.0960000000000007E-3</v>
      </c>
      <c r="O4" s="2">
        <f>Table2[[#This Row],[Yearly Energy Consumption in kWh]]*Table2[[#This Row],[CU/kWh]]</f>
        <v>4.2720768000000007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1">
        <f t="shared" si="1"/>
        <v>3.8</v>
      </c>
      <c r="W4" s="2">
        <f>Table2[[#This Row],[Cost per hour]]*Table2[[#This Row],[Total Time to Repair(h)]]*Table2[[#This Row],[Failures per year]]</f>
        <v>0</v>
      </c>
      <c r="X4" s="1">
        <v>2</v>
      </c>
      <c r="Y4" s="8">
        <v>7.0000000000000007E-2</v>
      </c>
      <c r="Z4" s="8">
        <f t="shared" si="2"/>
        <v>7.0540000000000005E-2</v>
      </c>
      <c r="AA4" s="8">
        <f>Table2[[#This Row],[Percentage of Business Users]]*Table2[[#This Row],[SLA CU per hour]]*Table2[[#This Row],[Failures per year]]*Table2[[#This Row],[Total Time to Repair(h)]]</f>
        <v>0</v>
      </c>
      <c r="AB4" s="8">
        <f>Table2[[#This Row],[Percentage of ITS and business users]]*Table2[[#This Row],[SLA CU per hour]]*Table2[[#This Row],[Failures per year]]*Table2[[#This Row],[Total Time to Repair(h)]]</f>
        <v>0</v>
      </c>
    </row>
    <row r="5" spans="1:28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1">
        <f>Table2[[#This Row],[Floor Space per component]]*Table2[[#This Row],[Quantity]]</f>
        <v>20</v>
      </c>
      <c r="G5" s="1">
        <v>10.6</v>
      </c>
      <c r="H5" s="2">
        <f>Table2[[#This Row],[Rent per sqm per year]]*Table2[[#This Row],[Total Floor Space]]</f>
        <v>212</v>
      </c>
      <c r="I5">
        <v>1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1">
        <f t="shared" si="0"/>
        <v>6.0960000000000007E-3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1">
        <f t="shared" si="1"/>
        <v>3.8</v>
      </c>
      <c r="W5" s="2">
        <f>Table2[[#This Row],[Cost per hour]]*Table2[[#This Row],[Total Time to Repair(h)]]*Table2[[#This Row],[Failures per year]]</f>
        <v>0</v>
      </c>
      <c r="X5" s="1">
        <v>2</v>
      </c>
      <c r="Y5" s="8">
        <v>7.0000000000000007E-2</v>
      </c>
      <c r="Z5" s="8">
        <f t="shared" si="2"/>
        <v>7.0540000000000005E-2</v>
      </c>
      <c r="AA5" s="8">
        <f>Table2[[#This Row],[Percentage of Business Users]]*Table2[[#This Row],[SLA CU per hour]]*Table2[[#This Row],[Failures per year]]*Table2[[#This Row],[Total Time to Repair(h)]]</f>
        <v>0</v>
      </c>
      <c r="AB5" s="8">
        <f>Table2[[#This Row],[Percentage of ITS and business users]]*Table2[[#This Row],[SLA CU per hour]]*Table2[[#This Row],[Failures per year]]*Table2[[#This Row],[Total Time to Repair(h)]]</f>
        <v>0</v>
      </c>
    </row>
    <row r="6" spans="1:28" x14ac:dyDescent="0.25">
      <c r="A6" t="s">
        <v>8</v>
      </c>
      <c r="B6" t="s">
        <v>9</v>
      </c>
      <c r="C6">
        <v>1.8</v>
      </c>
      <c r="D6">
        <v>312</v>
      </c>
      <c r="E6">
        <v>0</v>
      </c>
      <c r="F6" s="1">
        <f>Table2[[#This Row],[Floor Space per component]]*Table2[[#This Row],[Quantity]]</f>
        <v>0</v>
      </c>
      <c r="G6" s="1">
        <v>0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1">
        <f t="shared" si="0"/>
        <v>6.0960000000000007E-3</v>
      </c>
      <c r="O6" s="2">
        <f>Table2[[#This Row],[Yearly Energy Consumption in kWh]]*Table2[[#This Row],[CU/kWh]]</f>
        <v>0</v>
      </c>
      <c r="P6">
        <v>0.5</v>
      </c>
      <c r="Q6">
        <v>20</v>
      </c>
      <c r="R6" s="8">
        <f>Table2[[#This Row],[Quantity]]*(Table2[[#This Row],[FIT]]*24*365)/1000000000</f>
        <v>0.3279744</v>
      </c>
      <c r="S6" s="1">
        <f>2*Table2[[#This Row],[Mean dist in km from CO]]/Table2[[#This Row],[Avg Travel Speed]]</f>
        <v>0.05</v>
      </c>
      <c r="T6" s="1">
        <f>Table2[[#This Row],[MTTR]]+Table2[[#This Row],[Twice Travel Time]]</f>
        <v>6.05</v>
      </c>
      <c r="U6">
        <v>1</v>
      </c>
      <c r="V6" s="1">
        <f t="shared" si="1"/>
        <v>3.8</v>
      </c>
      <c r="W6" s="2">
        <f>Table2[[#This Row],[Cost per hour]]*Table2[[#This Row],[Total Time to Repair(h)]]*Table2[[#This Row],[Failures per year]]</f>
        <v>7.5401314559999992</v>
      </c>
      <c r="X6" s="1">
        <v>2</v>
      </c>
      <c r="Y6" s="8">
        <v>7.0000000000000007E-2</v>
      </c>
      <c r="Z6" s="8">
        <f t="shared" si="2"/>
        <v>7.0540000000000005E-2</v>
      </c>
      <c r="AA6" s="8">
        <f>Table2[[#This Row],[Percentage of Business Users]]*Table2[[#This Row],[SLA CU per hour]]*Table2[[#This Row],[Failures per year]]*Table2[[#This Row],[Total Time to Repair(h)]]</f>
        <v>0.2777943168</v>
      </c>
      <c r="AB6" s="8">
        <f>Table2[[#This Row],[Percentage of ITS and business users]]*Table2[[#This Row],[SLA CU per hour]]*Table2[[#This Row],[Failures per year]]*Table2[[#This Row],[Total Time to Repair(h)]]</f>
        <v>0.27993730152960006</v>
      </c>
    </row>
    <row r="7" spans="1:28" x14ac:dyDescent="0.25">
      <c r="A7" t="s">
        <v>10</v>
      </c>
      <c r="B7" t="s">
        <v>5</v>
      </c>
      <c r="C7">
        <v>4</v>
      </c>
      <c r="D7">
        <v>312</v>
      </c>
      <c r="E7">
        <v>0</v>
      </c>
      <c r="F7" s="1">
        <f>Table2[[#This Row],[Floor Space per component]]*Table2[[#This Row],[Quantity]]</f>
        <v>0</v>
      </c>
      <c r="G7" s="1">
        <v>0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0</v>
      </c>
      <c r="L7">
        <f>1.2*Table2[[#This Row],[Quantity]]</f>
        <v>374.4</v>
      </c>
      <c r="M7" s="1">
        <f>Table2[[#This Row],[Energy consumption in W]]*24*365/1000</f>
        <v>3279.7439999999997</v>
      </c>
      <c r="N7" s="1">
        <f t="shared" si="0"/>
        <v>6.0960000000000007E-3</v>
      </c>
      <c r="O7" s="2">
        <f>Table2[[#This Row],[Yearly Energy Consumption in kWh]]*Table2[[#This Row],[CU/kWh]]</f>
        <v>19.993319423999999</v>
      </c>
      <c r="P7">
        <v>1.5</v>
      </c>
      <c r="Q7">
        <v>20</v>
      </c>
      <c r="R7" s="8">
        <f>Table2[[#This Row],[Quantity]]*(Table2[[#This Row],[FIT]]*24*365)/1000000000</f>
        <v>0</v>
      </c>
      <c r="S7" s="1">
        <f>2*Table2[[#This Row],[Mean dist in km from CO]]/Table2[[#This Row],[Avg Travel Speed]]</f>
        <v>0.15</v>
      </c>
      <c r="T7" s="1">
        <f>Table2[[#This Row],[MTTR]]+Table2[[#This Row],[Twice Travel Time]]</f>
        <v>0.15</v>
      </c>
      <c r="U7">
        <v>1</v>
      </c>
      <c r="V7" s="1">
        <f t="shared" si="1"/>
        <v>3.8</v>
      </c>
      <c r="W7" s="2">
        <f>Table2[[#This Row],[Cost per hour]]*Table2[[#This Row],[Total Time to Repair(h)]]*Table2[[#This Row],[Failures per year]]</f>
        <v>0</v>
      </c>
      <c r="X7" s="1">
        <v>2</v>
      </c>
      <c r="Y7" s="8">
        <v>7.0000000000000007E-2</v>
      </c>
      <c r="Z7" s="8">
        <f t="shared" si="2"/>
        <v>7.0540000000000005E-2</v>
      </c>
      <c r="AA7" s="8">
        <f>Table2[[#This Row],[Percentage of Business Users]]*Table2[[#This Row],[SLA CU per hour]]*Table2[[#This Row],[Failures per year]]*Table2[[#This Row],[Total Time to Repair(h)]]</f>
        <v>0</v>
      </c>
      <c r="AB7" s="8">
        <f>Table2[[#This Row],[Percentage of ITS and business users]]*Table2[[#This Row],[SLA CU per hour]]*Table2[[#This Row],[Failures per year]]*Table2[[#This Row],[Total Time to Repair(h)]]</f>
        <v>0</v>
      </c>
    </row>
    <row r="8" spans="1:28" x14ac:dyDescent="0.25">
      <c r="A8" t="s">
        <v>10</v>
      </c>
      <c r="B8" t="s">
        <v>11</v>
      </c>
      <c r="C8">
        <v>1</v>
      </c>
      <c r="D8">
        <v>2488</v>
      </c>
      <c r="E8">
        <v>0</v>
      </c>
      <c r="F8" s="1">
        <f>Table2[[#This Row],[Floor Space per component]]*Table2[[#This Row],[Quantity]]</f>
        <v>0</v>
      </c>
      <c r="G8" s="1">
        <v>4</v>
      </c>
      <c r="H8" s="2">
        <f>Table2[[#This Row],[Rent per sqm per year]]*Table2[[#This Row],[Total Floor Space]]</f>
        <v>0</v>
      </c>
      <c r="I8">
        <v>2488</v>
      </c>
      <c r="J8">
        <v>6</v>
      </c>
      <c r="K8">
        <v>256</v>
      </c>
      <c r="L8">
        <f>4*Table2[[#This Row],[Quantity]]</f>
        <v>9952</v>
      </c>
      <c r="M8" s="1">
        <f>Table2[[#This Row],[Energy consumption in W]]*24*365/1000</f>
        <v>87179.520000000004</v>
      </c>
      <c r="N8" s="1">
        <f t="shared" si="0"/>
        <v>6.0960000000000007E-3</v>
      </c>
      <c r="O8" s="2">
        <f>Table2[[#This Row],[Yearly Energy Consumption in kWh]]*Table2[[#This Row],[CU/kWh]]</f>
        <v>531.44635392000009</v>
      </c>
      <c r="P8">
        <v>1.5</v>
      </c>
      <c r="Q8">
        <v>20</v>
      </c>
      <c r="R8" s="8">
        <f>Table2[[#This Row],[Quantity]]*(Table2[[#This Row],[FIT]]*24*365)/1000000000</f>
        <v>5.5794892799999998</v>
      </c>
      <c r="S8" s="1">
        <f>2*Table2[[#This Row],[Mean dist in km from CO]]/Table2[[#This Row],[Avg Travel Speed]]</f>
        <v>0.15</v>
      </c>
      <c r="T8" s="1">
        <f>Table2[[#This Row],[MTTR]]+Table2[[#This Row],[Twice Travel Time]]</f>
        <v>6.15</v>
      </c>
      <c r="U8">
        <v>1</v>
      </c>
      <c r="V8" s="1">
        <f t="shared" si="1"/>
        <v>3.8</v>
      </c>
      <c r="W8" s="2">
        <f>Table2[[#This Row],[Cost per hour]]*Table2[[#This Row],[Total Time to Repair(h)]]*Table2[[#This Row],[Failures per year]]</f>
        <v>130.39266447360001</v>
      </c>
      <c r="X8" s="1">
        <v>2</v>
      </c>
      <c r="Y8" s="8">
        <v>7.0000000000000007E-2</v>
      </c>
      <c r="Z8" s="8">
        <f t="shared" si="2"/>
        <v>7.0540000000000005E-2</v>
      </c>
      <c r="AA8" s="8">
        <f>Table2[[#This Row],[Percentage of Business Users]]*Table2[[#This Row],[SLA CU per hour]]*Table2[[#This Row],[Failures per year]]*Table2[[#This Row],[Total Time to Repair(h)]]</f>
        <v>4.8039402700800009</v>
      </c>
      <c r="AB8" s="8">
        <f>Table2[[#This Row],[Percentage of ITS and business users]]*Table2[[#This Row],[SLA CU per hour]]*Table2[[#This Row],[Failures per year]]*Table2[[#This Row],[Total Time to Repair(h)]]</f>
        <v>4.8409992378777602</v>
      </c>
    </row>
    <row r="9" spans="1:28" x14ac:dyDescent="0.25">
      <c r="A9" t="s">
        <v>10</v>
      </c>
      <c r="B9" t="s">
        <v>12</v>
      </c>
      <c r="C9">
        <v>124</v>
      </c>
      <c r="D9">
        <v>1244</v>
      </c>
      <c r="E9">
        <v>1</v>
      </c>
      <c r="F9" s="1">
        <f>Table2[[#This Row],[Floor Space per component]]*Table2[[#This Row],[Quantity]]</f>
        <v>1244</v>
      </c>
      <c r="G9" s="1">
        <v>4</v>
      </c>
      <c r="H9" s="2">
        <f>Table2[[#This Row],[Rent per sqm per year]]*Table2[[#This Row],[Total Floor Space]]</f>
        <v>4976</v>
      </c>
      <c r="I9">
        <v>207.83333333333331</v>
      </c>
      <c r="J9">
        <v>24</v>
      </c>
      <c r="K9">
        <v>5000</v>
      </c>
      <c r="L9">
        <f>50*Table2[[#This Row],[Quantity]]</f>
        <v>62200</v>
      </c>
      <c r="M9" s="1">
        <f>Table2[[#This Row],[Energy consumption in W]]*24*365/1000</f>
        <v>544872</v>
      </c>
      <c r="N9" s="1">
        <f t="shared" si="0"/>
        <v>6.0960000000000007E-3</v>
      </c>
      <c r="O9" s="2">
        <f>Table2[[#This Row],[Yearly Energy Consumption in kWh]]*Table2[[#This Row],[CU/kWh]]</f>
        <v>3321.5397120000002</v>
      </c>
      <c r="P9">
        <v>1.5</v>
      </c>
      <c r="Q9">
        <v>20</v>
      </c>
      <c r="R9" s="8">
        <f>Table2[[#This Row],[Quantity]]*(Table2[[#This Row],[FIT]]*24*365)/1000000000</f>
        <v>54.487200000000001</v>
      </c>
      <c r="S9" s="1">
        <f>2*Table2[[#This Row],[Mean dist in km from CO]]/Table2[[#This Row],[Avg Travel Speed]]</f>
        <v>0.15</v>
      </c>
      <c r="T9" s="1">
        <f>Table2[[#This Row],[MTTR]]+Table2[[#This Row],[Twice Travel Time]]</f>
        <v>24.15</v>
      </c>
      <c r="U9">
        <v>1</v>
      </c>
      <c r="V9" s="1">
        <f t="shared" si="1"/>
        <v>3.8</v>
      </c>
      <c r="W9" s="2">
        <f>Table2[[#This Row],[Cost per hour]]*Table2[[#This Row],[Total Time to Repair(h)]]*Table2[[#This Row],[Failures per year]]</f>
        <v>5000.290344</v>
      </c>
      <c r="X9" s="1">
        <v>2</v>
      </c>
      <c r="Y9" s="8">
        <v>7.0000000000000007E-2</v>
      </c>
      <c r="Z9" s="8">
        <f t="shared" si="2"/>
        <v>7.0540000000000005E-2</v>
      </c>
      <c r="AA9" s="8">
        <f>Table2[[#This Row],[Percentage of Business Users]]*Table2[[#This Row],[SLA CU per hour]]*Table2[[#This Row],[Failures per year]]*Table2[[#This Row],[Total Time to Repair(h)]]</f>
        <v>184.2212232</v>
      </c>
      <c r="AB9" s="8">
        <f>Table2[[#This Row],[Percentage of ITS and business users]]*Table2[[#This Row],[SLA CU per hour]]*Table2[[#This Row],[Failures per year]]*Table2[[#This Row],[Total Time to Repair(h)]]</f>
        <v>185.6423583504</v>
      </c>
    </row>
    <row r="10" spans="1:28" x14ac:dyDescent="0.25">
      <c r="A10" t="s">
        <v>13</v>
      </c>
      <c r="B10" t="s">
        <v>14</v>
      </c>
      <c r="C10">
        <v>0</v>
      </c>
      <c r="D10">
        <v>4877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1">
        <f t="shared" si="0"/>
        <v>6.0960000000000007E-3</v>
      </c>
      <c r="O10" s="2">
        <f>Table2[[#This Row],[Yearly Energy Consumption in kWh]]*Table2[[#This Row],[CU/kWh]]</f>
        <v>0</v>
      </c>
      <c r="P10">
        <v>2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0.2</v>
      </c>
      <c r="T10" s="1">
        <f>Table2[[#This Row],[MTTR]]+Table2[[#This Row],[Twice Travel Time]]</f>
        <v>0.2</v>
      </c>
      <c r="U10">
        <v>1</v>
      </c>
      <c r="V10" s="1">
        <f t="shared" si="1"/>
        <v>3.8</v>
      </c>
      <c r="W10" s="2">
        <f>Table2[[#This Row],[Cost per hour]]*Table2[[#This Row],[Total Time to Repair(h)]]*Table2[[#This Row],[Failures per year]]</f>
        <v>0</v>
      </c>
      <c r="X10" s="1">
        <v>2</v>
      </c>
      <c r="Y10" s="8">
        <v>7.0000000000000007E-2</v>
      </c>
      <c r="Z10" s="8">
        <f t="shared" si="2"/>
        <v>7.0540000000000005E-2</v>
      </c>
      <c r="AA10" s="8">
        <f>Table2[[#This Row],[Percentage of Business Users]]*Table2[[#This Row],[SLA CU per hour]]*Table2[[#This Row],[Failures per year]]*Table2[[#This Row],[Total Time to Repair(h)]]</f>
        <v>0</v>
      </c>
      <c r="AB10" s="8">
        <f>Table2[[#This Row],[Percentage of ITS and business users]]*Table2[[#This Row],[SLA CU per hour]]*Table2[[#This Row],[Failures per year]]*Table2[[#This Row],[Total Time to Repair(h)]]</f>
        <v>0</v>
      </c>
    </row>
    <row r="11" spans="1:28" x14ac:dyDescent="0.25">
      <c r="H11" s="30">
        <f>SUM(Table2[Total Rent cost per year])</f>
        <v>7308</v>
      </c>
      <c r="O11" s="30">
        <f>SUM(Table2[Energy Cost per year in CU])</f>
        <v>3900.4488391680002</v>
      </c>
      <c r="W11" s="30">
        <f>SUM(Table2[FM Cost])+L20</f>
        <v>5573.7289654697133</v>
      </c>
      <c r="AA11">
        <f>SUBTOTAL(109,Table2[FM Penalty Business])</f>
        <v>189.32807445888</v>
      </c>
      <c r="AB11">
        <f>SUBTOTAL(109,Table2[FM Penalty ITS])</f>
        <v>190.78860531899136</v>
      </c>
    </row>
    <row r="14" spans="1:28" x14ac:dyDescent="0.25">
      <c r="A14" t="s">
        <v>40</v>
      </c>
      <c r="B14" t="s">
        <v>17</v>
      </c>
      <c r="C14" t="s">
        <v>16</v>
      </c>
      <c r="D14" t="s">
        <v>41</v>
      </c>
      <c r="E14" t="s">
        <v>30</v>
      </c>
      <c r="F14" s="1" t="s">
        <v>45</v>
      </c>
      <c r="G14" s="1" t="s">
        <v>46</v>
      </c>
      <c r="H14" s="1" t="s">
        <v>48</v>
      </c>
      <c r="I14" t="s">
        <v>47</v>
      </c>
      <c r="J14" t="s">
        <v>49</v>
      </c>
      <c r="K14" t="s">
        <v>50</v>
      </c>
      <c r="L14" t="s">
        <v>51</v>
      </c>
      <c r="M14" t="s">
        <v>112</v>
      </c>
      <c r="N14" t="s">
        <v>118</v>
      </c>
      <c r="O14" t="s">
        <v>119</v>
      </c>
      <c r="P14" t="s">
        <v>120</v>
      </c>
      <c r="Q14" t="s">
        <v>121</v>
      </c>
    </row>
    <row r="15" spans="1:28" x14ac:dyDescent="0.25">
      <c r="A15" t="s">
        <v>42</v>
      </c>
      <c r="B15">
        <f>570*B29/1000</f>
        <v>97502.201320258406</v>
      </c>
      <c r="C15">
        <v>24</v>
      </c>
      <c r="D15">
        <v>1</v>
      </c>
      <c r="E15">
        <f>190/50</f>
        <v>3.8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B15*24*365*J15*E15/1000000000</f>
        <v>78.220243988925162</v>
      </c>
      <c r="M15">
        <v>2</v>
      </c>
      <c r="N15">
        <v>7.0000000000000007E-2</v>
      </c>
      <c r="O15">
        <f>0.07+2*0.00027</f>
        <v>7.0540000000000005E-2</v>
      </c>
      <c r="P15">
        <f>N15*M15*J15*B15*24*365/1000000000</f>
        <v>2.8817984627498747</v>
      </c>
      <c r="Q15">
        <f>O15*M15*J15*B15*24*365/1000000000</f>
        <v>2.9040294794625163</v>
      </c>
    </row>
    <row r="16" spans="1:28" x14ac:dyDescent="0.25">
      <c r="A16" t="s">
        <v>43</v>
      </c>
      <c r="B16">
        <f>570*C29/1000</f>
        <v>48782.100875533812</v>
      </c>
      <c r="C16">
        <v>24</v>
      </c>
      <c r="D16">
        <v>1</v>
      </c>
      <c r="E16">
        <v>3.8</v>
      </c>
      <c r="F16" s="1">
        <v>2</v>
      </c>
      <c r="G16" s="1">
        <v>1</v>
      </c>
      <c r="H16" s="1">
        <f t="shared" ref="H16:H17" si="3">F16/20</f>
        <v>0.1</v>
      </c>
      <c r="I16" s="1">
        <f t="shared" ref="I16:I17" si="4">G16/20</f>
        <v>0.05</v>
      </c>
      <c r="J16" s="1">
        <f t="shared" ref="J16:J17" si="5">C16+2*H16</f>
        <v>24.2</v>
      </c>
      <c r="K16" s="1">
        <f t="shared" ref="K16:K17" si="6">C16+2*I16</f>
        <v>24.1</v>
      </c>
      <c r="L16" s="1">
        <f t="shared" ref="L16:L17" si="7">B16*24*365*J16*E16/1000000000</f>
        <v>39.297377489463415</v>
      </c>
      <c r="M16">
        <v>2</v>
      </c>
      <c r="N16" s="8">
        <v>7.0000000000000007E-2</v>
      </c>
      <c r="O16" s="8">
        <f t="shared" ref="O16:O17" si="8">0.07+2*0.00027</f>
        <v>7.0540000000000005E-2</v>
      </c>
      <c r="P16" s="8">
        <f t="shared" ref="P16:P17" si="9">N16*M16*J16*B16*24*365/1000000000</f>
        <v>1.4477981180328632</v>
      </c>
      <c r="Q16" s="8">
        <f t="shared" ref="Q16:Q17" si="10">O16*M16*J16*B16*24*365/1000000000</f>
        <v>1.4589668463719738</v>
      </c>
    </row>
    <row r="17" spans="1:19" x14ac:dyDescent="0.25">
      <c r="A17" t="s">
        <v>44</v>
      </c>
      <c r="B17">
        <f>570*D29/1000</f>
        <v>390662.20119410474</v>
      </c>
      <c r="C17">
        <v>24</v>
      </c>
      <c r="D17">
        <v>1</v>
      </c>
      <c r="E17">
        <v>3.8</v>
      </c>
      <c r="F17" s="1">
        <v>4</v>
      </c>
      <c r="G17" s="1">
        <v>1.5</v>
      </c>
      <c r="H17" s="1">
        <f t="shared" si="3"/>
        <v>0.2</v>
      </c>
      <c r="I17" s="1">
        <f t="shared" si="4"/>
        <v>7.4999999999999997E-2</v>
      </c>
      <c r="J17" s="1">
        <f t="shared" si="5"/>
        <v>24.4</v>
      </c>
      <c r="K17" s="1">
        <f t="shared" si="6"/>
        <v>24.15</v>
      </c>
      <c r="L17" s="1">
        <f t="shared" si="7"/>
        <v>317.30646582172432</v>
      </c>
      <c r="M17">
        <v>2</v>
      </c>
      <c r="N17" s="8">
        <v>7.0000000000000007E-2</v>
      </c>
      <c r="O17" s="8">
        <f t="shared" si="8"/>
        <v>7.0540000000000005E-2</v>
      </c>
      <c r="P17" s="8">
        <f t="shared" si="9"/>
        <v>11.690238214484584</v>
      </c>
      <c r="Q17" s="8">
        <f t="shared" si="10"/>
        <v>11.780420052139178</v>
      </c>
    </row>
    <row r="20" spans="1:19" x14ac:dyDescent="0.25">
      <c r="K20" t="s">
        <v>52</v>
      </c>
      <c r="L20">
        <f>SUM(L15:L17)</f>
        <v>434.82408730011286</v>
      </c>
    </row>
    <row r="25" spans="1:19" x14ac:dyDescent="0.25">
      <c r="H25" s="1" t="s">
        <v>92</v>
      </c>
      <c r="I25" t="s">
        <v>113</v>
      </c>
      <c r="J25" t="s">
        <v>114</v>
      </c>
      <c r="K25" t="s">
        <v>115</v>
      </c>
    </row>
    <row r="26" spans="1:19" x14ac:dyDescent="0.25">
      <c r="H26" s="1" t="s">
        <v>93</v>
      </c>
      <c r="I26">
        <f>Table2[[#Totals],[Total Rent cost per year]]</f>
        <v>7308</v>
      </c>
      <c r="J26" s="8">
        <f>Table2[[#Totals],[Total Rent cost per year]]</f>
        <v>7308</v>
      </c>
      <c r="K26" s="8">
        <f>Table2[[#Totals],[Total Rent cost per year]]</f>
        <v>7308</v>
      </c>
    </row>
    <row r="27" spans="1:19" x14ac:dyDescent="0.25">
      <c r="H27" s="1" t="s">
        <v>94</v>
      </c>
      <c r="I27">
        <f>Table2[[#Totals],[Energy Cost per year in CU]]</f>
        <v>3900.4488391680002</v>
      </c>
      <c r="J27" s="8">
        <f>Table2[[#Totals],[Energy Cost per year in CU]]</f>
        <v>3900.4488391680002</v>
      </c>
      <c r="K27" s="8">
        <f>Table2[[#Totals],[Energy Cost per year in CU]]</f>
        <v>3900.4488391680002</v>
      </c>
      <c r="Q27" t="s">
        <v>53</v>
      </c>
    </row>
    <row r="28" spans="1:19" x14ac:dyDescent="0.25">
      <c r="H28" s="1" t="s">
        <v>95</v>
      </c>
      <c r="I28">
        <f>Table2[[#Totals],[FM Cost]]+L20</f>
        <v>6008.5530527698265</v>
      </c>
      <c r="J28" s="8">
        <f>Table2[[#Totals],[FM Cost]]+$L$20+P15+P16+P17+Table2[[#Totals],[FM Penalty Business]]</f>
        <v>6213.9009620239731</v>
      </c>
      <c r="K28" s="8">
        <f>Table2[[#Totals],[FM Cost]]+$L$20+Q15+Q16+Q17+Table2[[#Totals],[FM Penalty ITS]]</f>
        <v>6215.485074466792</v>
      </c>
      <c r="Q28">
        <f>Table2[[#Totals],[Total Rent cost per year]]+Table2[[#Totals],[Energy Cost per year in CU]]+Table2[[#Totals],[FM Cost]]+L20</f>
        <v>17217.001891937827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H29" s="1" t="s">
        <v>96</v>
      </c>
      <c r="I29">
        <f>0.05*SUM(I26:I28)</f>
        <v>860.85009459689138</v>
      </c>
      <c r="J29" s="8">
        <f>0.05*SUM(J26:J28)</f>
        <v>871.11749005959871</v>
      </c>
      <c r="K29" s="8">
        <f>0.05*SUM(K26:K28)</f>
        <v>871.19669568173958</v>
      </c>
      <c r="S29">
        <v>11727.88547395296</v>
      </c>
    </row>
    <row r="30" spans="1:19" x14ac:dyDescent="0.25">
      <c r="H30" s="1" t="s">
        <v>97</v>
      </c>
      <c r="I30">
        <f>0.07*SUM(I26:I28)</f>
        <v>1205.1901324356479</v>
      </c>
      <c r="J30" s="8">
        <f>0.07*SUM(J26:J28)</f>
        <v>1219.5644860834382</v>
      </c>
      <c r="K30" s="8">
        <f>0.07*SUM(K26:K28)</f>
        <v>1219.6753739544356</v>
      </c>
    </row>
    <row r="31" spans="1:19" x14ac:dyDescent="0.25">
      <c r="I31" s="31">
        <f>SUM(I26:I30)</f>
        <v>19283.042118970367</v>
      </c>
      <c r="J31" s="31">
        <f>SUM(J26:J30)</f>
        <v>19513.031777335011</v>
      </c>
      <c r="K31" s="31">
        <f>SUM(K26:K30)</f>
        <v>19514.80598327097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F1" workbookViewId="0">
      <selection activeCell="K39" sqref="K39"/>
    </sheetView>
  </sheetViews>
  <sheetFormatPr defaultRowHeight="15" x14ac:dyDescent="0.25"/>
  <cols>
    <col min="1" max="1" width="23.28515625" customWidth="1"/>
    <col min="2" max="2" width="27.42578125" customWidth="1"/>
    <col min="3" max="3" width="21.28515625" customWidth="1"/>
    <col min="4" max="4" width="21.140625" customWidth="1"/>
    <col min="5" max="5" width="31.42578125" customWidth="1"/>
    <col min="6" max="6" width="25" customWidth="1"/>
    <col min="7" max="7" width="22.5703125" customWidth="1"/>
    <col min="8" max="8" width="23.85546875" customWidth="1"/>
    <col min="9" max="9" width="25.5703125" customWidth="1"/>
    <col min="10" max="10" width="18.28515625" customWidth="1"/>
    <col min="12" max="12" width="25.7109375" customWidth="1"/>
    <col min="13" max="13" width="34.140625" customWidth="1"/>
    <col min="14" max="14" width="10.7109375" customWidth="1"/>
    <col min="15" max="15" width="26.28515625" customWidth="1"/>
    <col min="16" max="16" width="25" customWidth="1"/>
    <col min="17" max="17" width="18.28515625" customWidth="1"/>
    <col min="18" max="18" width="17.85546875" customWidth="1"/>
    <col min="19" max="19" width="19" customWidth="1"/>
    <col min="20" max="20" width="23.42578125" customWidth="1"/>
    <col min="21" max="21" width="19.28515625" customWidth="1"/>
    <col min="22" max="22" width="15" customWidth="1"/>
    <col min="23" max="23" width="19.28515625" customWidth="1"/>
    <col min="24" max="24" width="23.5703125" customWidth="1"/>
    <col min="25" max="25" width="21.28515625" customWidth="1"/>
    <col min="26" max="26" width="16.140625" customWidth="1"/>
    <col min="27" max="27" width="14" customWidth="1"/>
    <col min="28" max="28" width="11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36</v>
      </c>
      <c r="F1" t="s">
        <v>35</v>
      </c>
      <c r="G1" t="s">
        <v>37</v>
      </c>
      <c r="H1" t="s">
        <v>38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112</v>
      </c>
      <c r="Y1" s="8" t="s">
        <v>116</v>
      </c>
      <c r="Z1" s="8" t="s">
        <v>117</v>
      </c>
      <c r="AA1" s="8" t="s">
        <v>33</v>
      </c>
      <c r="AB1" s="8" t="s">
        <v>34</v>
      </c>
    </row>
    <row r="2" spans="1:28" x14ac:dyDescent="0.25">
      <c r="A2" t="s">
        <v>3</v>
      </c>
      <c r="B2" t="s">
        <v>59</v>
      </c>
      <c r="C2">
        <v>80</v>
      </c>
      <c r="D2">
        <v>54</v>
      </c>
      <c r="E2">
        <v>5</v>
      </c>
      <c r="F2">
        <f>Table3[[#This Row],[Floor Space per component]]*Table3[[#This Row],[Quantity]]</f>
        <v>270</v>
      </c>
      <c r="G2">
        <v>10.6</v>
      </c>
      <c r="H2">
        <f>Table3[[#This Row],[Rent per sqm per year]]*Table3[[#This Row],[Total Floor Space]]</f>
        <v>2862</v>
      </c>
      <c r="I2">
        <f>0.5+(1/6)*Table3[[#This Row],[Quantity]]</f>
        <v>9.5</v>
      </c>
      <c r="J2">
        <v>2</v>
      </c>
      <c r="K2">
        <v>256</v>
      </c>
      <c r="L2">
        <f>100*Table3[[#This Row],[Quantity]]</f>
        <v>5400</v>
      </c>
      <c r="M2">
        <f>Table3[[#This Row],[Energy consumption in W]]*24*365/1000</f>
        <v>47304</v>
      </c>
      <c r="N2">
        <f>0.3048/50</f>
        <v>6.0960000000000007E-3</v>
      </c>
      <c r="O2">
        <f>Table3[[#This Row],[Yearly Energy Consumption in kWh]]*Table3[[#This Row],[CU/kWh]]</f>
        <v>288.36518400000006</v>
      </c>
      <c r="P2">
        <v>0</v>
      </c>
      <c r="Q2">
        <v>20</v>
      </c>
      <c r="R2">
        <f>Table3[[#This Row],[Quantity]]*(Table3[[#This Row],[FIT]]*24*365)/1000000000</f>
        <v>0.12109824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f>190/50</f>
        <v>3.8</v>
      </c>
      <c r="W2">
        <f>Table3[[#This Row],[Cost per hour]]*Table3[[#This Row],[Total Time to Repair(h)]]*Table3[[#This Row],[Failures per year]]</f>
        <v>0.92034662399999989</v>
      </c>
      <c r="X2">
        <v>2</v>
      </c>
      <c r="Y2">
        <v>7.0000000000000007E-2</v>
      </c>
      <c r="Z2">
        <f>0.07+2*0.00027</f>
        <v>7.0540000000000005E-2</v>
      </c>
      <c r="AA2">
        <f>Table3[[#This Row],[Percentage of Business Users]]*Table3[[#This Row],[SLA CU per hour]]*Table3[[#This Row],[Failures per year]]*Table3[[#This Row],[Total Time to Repair(h)]]</f>
        <v>3.3907507199999999E-2</v>
      </c>
      <c r="AB2">
        <f>Table3[[#This Row],[Percentage of ITS and business users]]*Table3[[#This Row],[SLA CU per hour]]*Table3[[#This Row],[Failures per year]]*Table3[[#This Row],[Total Time to Repair(h)]]</f>
        <v>3.4169079398399999E-2</v>
      </c>
    </row>
    <row r="3" spans="1:28" x14ac:dyDescent="0.25">
      <c r="A3" t="s">
        <v>3</v>
      </c>
      <c r="B3" t="s">
        <v>60</v>
      </c>
      <c r="C3">
        <v>12</v>
      </c>
      <c r="D3">
        <v>156</v>
      </c>
      <c r="E3">
        <v>0</v>
      </c>
      <c r="F3" s="6">
        <f>Table3[[#This Row],[Floor Space per component]]*Table3[[#This Row],[Quantity]]</f>
        <v>0</v>
      </c>
      <c r="G3">
        <v>0</v>
      </c>
      <c r="H3" s="6">
        <f>Table3[[#This Row],[Rent per sqm per year]]*Table3[[#This Row],[Total Floor Space]]</f>
        <v>0</v>
      </c>
      <c r="I3">
        <v>0</v>
      </c>
      <c r="J3">
        <v>0</v>
      </c>
      <c r="K3">
        <v>0</v>
      </c>
      <c r="L3">
        <f>4.5*Table3[[#This Row],[Quantity]]</f>
        <v>702</v>
      </c>
      <c r="M3" s="6">
        <f>Table3[[#This Row],[Energy consumption in W]]*24*365/1000</f>
        <v>6149.52</v>
      </c>
      <c r="N3" s="6">
        <f t="shared" ref="N3:N10" si="0">0.3048/50</f>
        <v>6.0960000000000007E-3</v>
      </c>
      <c r="O3" s="6">
        <f>Table3[[#This Row],[Yearly Energy Consumption in kWh]]*Table3[[#This Row],[CU/kWh]]</f>
        <v>37.487473920000006</v>
      </c>
      <c r="P3">
        <v>0</v>
      </c>
      <c r="Q3" s="6">
        <v>20</v>
      </c>
      <c r="R3" s="8">
        <f>Table3[[#This Row],[Quantity]]*(Table3[[#This Row],[FIT]]*24*365)/1000000000</f>
        <v>0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6">
        <f t="shared" ref="V3:V10" si="1">190/50</f>
        <v>3.8</v>
      </c>
      <c r="W3" s="6">
        <f>Table3[[#This Row],[Cost per hour]]*Table3[[#This Row],[Total Time to Repair(h)]]*Table3[[#This Row],[Failures per year]]</f>
        <v>0</v>
      </c>
      <c r="X3">
        <v>2</v>
      </c>
      <c r="Y3" s="8">
        <v>7.0000000000000007E-2</v>
      </c>
      <c r="Z3" s="8">
        <f t="shared" ref="Z3:Z10" si="2">0.07+2*0.00027</f>
        <v>7.0540000000000005E-2</v>
      </c>
      <c r="AA3" s="8">
        <f>Table3[[#This Row],[Percentage of Business Users]]*Table3[[#This Row],[SLA CU per hour]]*Table3[[#This Row],[Failures per year]]*Table3[[#This Row],[Total Time to Repair(h)]]</f>
        <v>0</v>
      </c>
      <c r="AB3" s="8">
        <f>Table3[[#This Row],[Percentage of ITS and business users]]*Table3[[#This Row],[SLA CU per hour]]*Table3[[#This Row],[Failures per year]]*Table3[[#This Row],[Total Time to Repair(h)]]</f>
        <v>0</v>
      </c>
    </row>
    <row r="4" spans="1:28" x14ac:dyDescent="0.25">
      <c r="A4" t="s">
        <v>3</v>
      </c>
      <c r="B4" t="s">
        <v>6</v>
      </c>
      <c r="C4">
        <v>1.1111111E-2</v>
      </c>
      <c r="D4">
        <v>1200</v>
      </c>
      <c r="E4">
        <v>0</v>
      </c>
      <c r="F4" s="6">
        <f>Table3[[#This Row],[Floor Space per component]]*Table3[[#This Row],[Quantity]]</f>
        <v>0</v>
      </c>
      <c r="G4">
        <v>0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1200</v>
      </c>
      <c r="M4" s="6">
        <f>Table3[[#This Row],[Energy consumption in W]]*24*365/1000</f>
        <v>10512</v>
      </c>
      <c r="N4" s="6">
        <f t="shared" si="0"/>
        <v>6.0960000000000007E-3</v>
      </c>
      <c r="O4" s="6">
        <f>Table3[[#This Row],[Yearly Energy Consumption in kWh]]*Table3[[#This Row],[CU/kWh]]</f>
        <v>64.081152000000003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6">
        <f t="shared" si="1"/>
        <v>3.8</v>
      </c>
      <c r="W4" s="6">
        <f>Table3[[#This Row],[Cost per hour]]*Table3[[#This Row],[Total Time to Repair(h)]]*Table3[[#This Row],[Failures per year]]</f>
        <v>0</v>
      </c>
      <c r="X4">
        <v>2</v>
      </c>
      <c r="Y4" s="8">
        <v>7.0000000000000007E-2</v>
      </c>
      <c r="Z4" s="8">
        <f t="shared" si="2"/>
        <v>7.0540000000000005E-2</v>
      </c>
      <c r="AA4" s="8">
        <f>Table3[[#This Row],[Percentage of Business Users]]*Table3[[#This Row],[SLA CU per hour]]*Table3[[#This Row],[Failures per year]]*Table3[[#This Row],[Total Time to Repair(h)]]</f>
        <v>0</v>
      </c>
      <c r="AB4" s="8">
        <f>Table3[[#This Row],[Percentage of ITS and business users]]*Table3[[#This Row],[SLA CU per hour]]*Table3[[#This Row],[Failures per year]]*Table3[[#This Row],[Total Time to Repair(h)]]</f>
        <v>0</v>
      </c>
    </row>
    <row r="5" spans="1:28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6">
        <f t="shared" si="0"/>
        <v>6.0960000000000007E-3</v>
      </c>
      <c r="O5" s="6">
        <f>Table3[[#This Row],[Yearly Energy Consumption in kWh]]*Table3[[#This Row],[CU/kWh]]</f>
        <v>5.3400960000000008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6">
        <f t="shared" si="1"/>
        <v>3.8</v>
      </c>
      <c r="W5" s="6">
        <f>Table3[[#This Row],[Cost per hour]]*Table3[[#This Row],[Total Time to Repair(h)]]*Table3[[#This Row],[Failures per year]]</f>
        <v>0</v>
      </c>
      <c r="X5">
        <v>2</v>
      </c>
      <c r="Y5" s="8">
        <v>7.0000000000000007E-2</v>
      </c>
      <c r="Z5" s="8">
        <f t="shared" si="2"/>
        <v>7.0540000000000005E-2</v>
      </c>
      <c r="AA5" s="8">
        <f>Table3[[#This Row],[Percentage of Business Users]]*Table3[[#This Row],[SLA CU per hour]]*Table3[[#This Row],[Failures per year]]*Table3[[#This Row],[Total Time to Repair(h)]]</f>
        <v>0</v>
      </c>
      <c r="AB5" s="8">
        <f>Table3[[#This Row],[Percentage of ITS and business users]]*Table3[[#This Row],[SLA CU per hour]]*Table3[[#This Row],[Failures per year]]*Table3[[#This Row],[Total Time to Repair(h)]]</f>
        <v>0</v>
      </c>
    </row>
    <row r="6" spans="1:28" x14ac:dyDescent="0.25">
      <c r="A6" t="s">
        <v>8</v>
      </c>
      <c r="B6" t="s">
        <v>9</v>
      </c>
      <c r="C6">
        <v>1.8</v>
      </c>
      <c r="D6">
        <v>156</v>
      </c>
      <c r="E6">
        <v>0</v>
      </c>
      <c r="F6" s="6">
        <f>Table3[[#This Row],[Floor Space per component]]*Table3[[#This Row],[Quantity]]</f>
        <v>0</v>
      </c>
      <c r="G6">
        <v>0</v>
      </c>
      <c r="H6" s="6">
        <f>Table3[[#This Row],[Rent per sqm per year]]*Table3[[#This Row],[Total Floor Space]]</f>
        <v>0</v>
      </c>
      <c r="I6">
        <f>1/6*(1+Table3[[#This Row],[Quantity]])</f>
        <v>26.166666666666664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6">
        <f t="shared" si="0"/>
        <v>6.0960000000000007E-3</v>
      </c>
      <c r="O6" s="6">
        <f>Table3[[#This Row],[Yearly Energy Consumption in kWh]]*Table3[[#This Row],[CU/kWh]]</f>
        <v>0</v>
      </c>
      <c r="P6">
        <v>1.5</v>
      </c>
      <c r="Q6" s="6">
        <v>20</v>
      </c>
      <c r="R6" s="8">
        <f>Table3[[#This Row],[Quantity]]*(Table3[[#This Row],[FIT]]*24*365)/1000000000</f>
        <v>6.8328E-2</v>
      </c>
      <c r="S6" s="6">
        <f>2*Table3[[#This Row],[Mean dist in km from CO]]/Table3[[#This Row],[Avg Travel Speed]]</f>
        <v>0.15</v>
      </c>
      <c r="T6" s="6">
        <f>Table3[[#This Row],[MTTR]]+Table3[[#This Row],[Twice Travel Time]]</f>
        <v>6.15</v>
      </c>
      <c r="U6" s="6">
        <v>1</v>
      </c>
      <c r="V6" s="6">
        <f t="shared" si="1"/>
        <v>3.8</v>
      </c>
      <c r="W6" s="6">
        <f>Table3[[#This Row],[Cost per hour]]*Table3[[#This Row],[Total Time to Repair(h)]]*Table3[[#This Row],[Failures per year]]</f>
        <v>1.59682536</v>
      </c>
      <c r="X6">
        <v>2</v>
      </c>
      <c r="Y6" s="8">
        <v>7.0000000000000007E-2</v>
      </c>
      <c r="Z6" s="8">
        <f t="shared" si="2"/>
        <v>7.0540000000000005E-2</v>
      </c>
      <c r="AA6" s="8">
        <f>Table3[[#This Row],[Percentage of Business Users]]*Table3[[#This Row],[SLA CU per hour]]*Table3[[#This Row],[Failures per year]]*Table3[[#This Row],[Total Time to Repair(h)]]</f>
        <v>5.8830408000000008E-2</v>
      </c>
      <c r="AB6" s="8">
        <f>Table3[[#This Row],[Percentage of ITS and business users]]*Table3[[#This Row],[SLA CU per hour]]*Table3[[#This Row],[Failures per year]]*Table3[[#This Row],[Total Time to Repair(h)]]</f>
        <v>5.9284242576000012E-2</v>
      </c>
    </row>
    <row r="7" spans="1:28" x14ac:dyDescent="0.25">
      <c r="A7" t="s">
        <v>8</v>
      </c>
      <c r="B7" t="s">
        <v>60</v>
      </c>
      <c r="C7">
        <v>12</v>
      </c>
      <c r="D7">
        <v>156</v>
      </c>
      <c r="E7">
        <v>0</v>
      </c>
      <c r="F7" s="6">
        <f>Table3[[#This Row],[Floor Space per component]]*Table3[[#This Row],[Quantity]]</f>
        <v>0</v>
      </c>
      <c r="G7">
        <v>0</v>
      </c>
      <c r="H7" s="6">
        <f>Table3[[#This Row],[Rent per sqm per year]]*Table3[[#This Row],[Total Floor Space]]</f>
        <v>0</v>
      </c>
      <c r="I7">
        <v>0</v>
      </c>
      <c r="J7">
        <v>0</v>
      </c>
      <c r="K7">
        <v>0</v>
      </c>
      <c r="L7">
        <f>4.5*Table3[[#This Row],[Quantity]]</f>
        <v>702</v>
      </c>
      <c r="M7" s="6">
        <f>Table3[[#This Row],[Energy consumption in W]]*24*365/1000</f>
        <v>6149.52</v>
      </c>
      <c r="N7" s="6">
        <f t="shared" si="0"/>
        <v>6.0960000000000007E-3</v>
      </c>
      <c r="O7" s="6">
        <f>Table3[[#This Row],[Yearly Energy Consumption in kWh]]*Table3[[#This Row],[CU/kWh]]</f>
        <v>37.487473920000006</v>
      </c>
      <c r="P7">
        <v>1.5</v>
      </c>
      <c r="Q7" s="6">
        <v>20</v>
      </c>
      <c r="R7" s="8">
        <f>Table3[[#This Row],[Quantity]]*(Table3[[#This Row],[FIT]]*24*365)/1000000000</f>
        <v>0</v>
      </c>
      <c r="S7" s="6">
        <f>2*Table3[[#This Row],[Mean dist in km from CO]]/Table3[[#This Row],[Avg Travel Speed]]</f>
        <v>0.15</v>
      </c>
      <c r="T7" s="6">
        <f>Table3[[#This Row],[MTTR]]+Table3[[#This Row],[Twice Travel Time]]</f>
        <v>0.15</v>
      </c>
      <c r="U7" s="6">
        <v>1</v>
      </c>
      <c r="V7" s="6">
        <f t="shared" si="1"/>
        <v>3.8</v>
      </c>
      <c r="W7" s="6">
        <f>Table3[[#This Row],[Cost per hour]]*Table3[[#This Row],[Total Time to Repair(h)]]*Table3[[#This Row],[Failures per year]]</f>
        <v>0</v>
      </c>
      <c r="X7">
        <v>2</v>
      </c>
      <c r="Y7" s="8">
        <v>7.0000000000000007E-2</v>
      </c>
      <c r="Z7" s="8">
        <f t="shared" si="2"/>
        <v>7.0540000000000005E-2</v>
      </c>
      <c r="AA7" s="8">
        <f>Table3[[#This Row],[Percentage of Business Users]]*Table3[[#This Row],[SLA CU per hour]]*Table3[[#This Row],[Failures per year]]*Table3[[#This Row],[Total Time to Repair(h)]]</f>
        <v>0</v>
      </c>
      <c r="AB7" s="8">
        <f>Table3[[#This Row],[Percentage of ITS and business users]]*Table3[[#This Row],[SLA CU per hour]]*Table3[[#This Row],[Failures per year]]*Table3[[#This Row],[Total Time to Repair(h)]]</f>
        <v>0</v>
      </c>
    </row>
    <row r="8" spans="1:28" x14ac:dyDescent="0.25">
      <c r="A8" t="s">
        <v>10</v>
      </c>
      <c r="B8" t="s">
        <v>9</v>
      </c>
      <c r="C8">
        <v>1.8</v>
      </c>
      <c r="D8">
        <v>610</v>
      </c>
      <c r="E8">
        <v>0</v>
      </c>
      <c r="F8" s="6">
        <f>Table3[[#This Row],[Floor Space per component]]*Table3[[#This Row],[Quantity]]</f>
        <v>0</v>
      </c>
      <c r="G8">
        <v>0</v>
      </c>
      <c r="H8" s="6">
        <f>Table3[[#This Row],[Rent per sqm per year]]*Table3[[#This Row],[Total Floor Space]]</f>
        <v>0</v>
      </c>
      <c r="I8" s="6">
        <f>1/6*(1+Table3[[#This Row],[Quantity]])</f>
        <v>101.83333333333333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6">
        <f t="shared" si="0"/>
        <v>6.0960000000000007E-3</v>
      </c>
      <c r="O8" s="6">
        <f>Table3[[#This Row],[Yearly Energy Consumption in kWh]]*Table3[[#This Row],[CU/kWh]]</f>
        <v>0</v>
      </c>
      <c r="P8">
        <v>2</v>
      </c>
      <c r="Q8" s="6">
        <v>20</v>
      </c>
      <c r="R8" s="8">
        <f>Table3[[#This Row],[Quantity]]*(Table3[[#This Row],[FIT]]*24*365)/1000000000</f>
        <v>0.26717999999999997</v>
      </c>
      <c r="S8" s="6">
        <f>2*Table3[[#This Row],[Mean dist in km from CO]]/Table3[[#This Row],[Avg Travel Speed]]</f>
        <v>0.2</v>
      </c>
      <c r="T8" s="6">
        <f>Table3[[#This Row],[MTTR]]+Table3[[#This Row],[Twice Travel Time]]</f>
        <v>6.2</v>
      </c>
      <c r="U8" s="6">
        <v>1</v>
      </c>
      <c r="V8" s="6">
        <f t="shared" si="1"/>
        <v>3.8</v>
      </c>
      <c r="W8" s="6">
        <f>Table3[[#This Row],[Cost per hour]]*Table3[[#This Row],[Total Time to Repair(h)]]*Table3[[#This Row],[Failures per year]]</f>
        <v>6.2947607999999988</v>
      </c>
      <c r="X8">
        <v>2</v>
      </c>
      <c r="Y8" s="8">
        <v>7.0000000000000007E-2</v>
      </c>
      <c r="Z8" s="8">
        <f t="shared" si="2"/>
        <v>7.0540000000000005E-2</v>
      </c>
      <c r="AA8" s="8">
        <f>Table3[[#This Row],[Percentage of Business Users]]*Table3[[#This Row],[SLA CU per hour]]*Table3[[#This Row],[Failures per year]]*Table3[[#This Row],[Total Time to Repair(h)]]</f>
        <v>0.23191223999999999</v>
      </c>
      <c r="AB8" s="8">
        <f>Table3[[#This Row],[Percentage of ITS and business users]]*Table3[[#This Row],[SLA CU per hour]]*Table3[[#This Row],[Failures per year]]*Table3[[#This Row],[Total Time to Repair(h)]]</f>
        <v>0.23370127728000001</v>
      </c>
    </row>
    <row r="9" spans="1:28" x14ac:dyDescent="0.25">
      <c r="A9" t="s">
        <v>13</v>
      </c>
      <c r="B9" t="s">
        <v>61</v>
      </c>
      <c r="C9">
        <v>10</v>
      </c>
      <c r="D9">
        <v>5000</v>
      </c>
      <c r="E9">
        <v>0</v>
      </c>
      <c r="F9" s="6">
        <f>Table3[[#This Row],[Floor Space per component]]*Table3[[#This Row],[Quantity]]</f>
        <v>0</v>
      </c>
      <c r="G9">
        <v>4</v>
      </c>
      <c r="H9" s="6">
        <f>Table3[[#This Row],[Rent per sqm per year]]*Table3[[#This Row],[Total Floor Space]]</f>
        <v>0</v>
      </c>
      <c r="I9">
        <f>(0.5+1/6*8)*Table3[[#This Row],[Quantity]]</f>
        <v>9166.6666666666661</v>
      </c>
      <c r="J9">
        <v>24</v>
      </c>
      <c r="K9">
        <v>5000</v>
      </c>
      <c r="L9">
        <f>50*Table3[[#This Row],[Quantity]]</f>
        <v>250000</v>
      </c>
      <c r="M9" s="6">
        <f>Table3[[#This Row],[Energy consumption in W]]*24*365/1000</f>
        <v>2190000</v>
      </c>
      <c r="N9" s="6">
        <f t="shared" si="0"/>
        <v>6.0960000000000007E-3</v>
      </c>
      <c r="O9" s="6">
        <f>Table3[[#This Row],[Yearly Energy Consumption in kWh]]*Table3[[#This Row],[CU/kWh]]</f>
        <v>13350.240000000002</v>
      </c>
      <c r="P9">
        <v>2.25</v>
      </c>
      <c r="Q9" s="6">
        <v>20</v>
      </c>
      <c r="R9" s="8">
        <f>Table3[[#This Row],[Quantity]]*(Table3[[#This Row],[FIT]]*24*365)/1000000000</f>
        <v>219</v>
      </c>
      <c r="S9" s="6">
        <f>2*Table3[[#This Row],[Mean dist in km from CO]]/Table3[[#This Row],[Avg Travel Speed]]</f>
        <v>0.22500000000000001</v>
      </c>
      <c r="T9" s="6">
        <f>Table3[[#This Row],[MTTR]]+Table3[[#This Row],[Twice Travel Time]]</f>
        <v>24.225000000000001</v>
      </c>
      <c r="U9" s="6">
        <v>1</v>
      </c>
      <c r="V9" s="6">
        <f t="shared" si="1"/>
        <v>3.8</v>
      </c>
      <c r="W9" s="6">
        <f>Table3[[#This Row],[Cost per hour]]*Table3[[#This Row],[Total Time to Repair(h)]]*Table3[[#This Row],[Failures per year]]</f>
        <v>20160.045000000002</v>
      </c>
      <c r="X9">
        <v>2</v>
      </c>
      <c r="Y9" s="8">
        <v>7.0000000000000007E-2</v>
      </c>
      <c r="Z9" s="8">
        <f t="shared" si="2"/>
        <v>7.0540000000000005E-2</v>
      </c>
      <c r="AA9" s="8">
        <f>Table3[[#This Row],[Percentage of Business Users]]*Table3[[#This Row],[SLA CU per hour]]*Table3[[#This Row],[Failures per year]]*Table3[[#This Row],[Total Time to Repair(h)]]</f>
        <v>742.73850000000016</v>
      </c>
      <c r="AB9" s="8">
        <f>Table3[[#This Row],[Percentage of ITS and business users]]*Table3[[#This Row],[SLA CU per hour]]*Table3[[#This Row],[Failures per year]]*Table3[[#This Row],[Total Time to Repair(h)]]</f>
        <v>748.46819700000015</v>
      </c>
    </row>
    <row r="10" spans="1:28" x14ac:dyDescent="0.25">
      <c r="A10" t="s">
        <v>13</v>
      </c>
      <c r="B10" t="s">
        <v>62</v>
      </c>
      <c r="C10">
        <v>2.1</v>
      </c>
      <c r="D10">
        <v>5000</v>
      </c>
      <c r="E10">
        <v>0</v>
      </c>
      <c r="F10" s="6">
        <f>Table3[[#This Row],[Floor Space per component]]*Table3[[#This Row],[Quantity]]</f>
        <v>0</v>
      </c>
      <c r="G10">
        <v>0</v>
      </c>
      <c r="H10" s="6">
        <f>Table3[[#This Row],[Rent per sqm per year]]*Table3[[#This Row],[Total Floor Space]]</f>
        <v>0</v>
      </c>
      <c r="I10">
        <f>1*Table3[[#This Row],[Quantity]]</f>
        <v>5000</v>
      </c>
      <c r="J10">
        <v>6</v>
      </c>
      <c r="K10">
        <v>256</v>
      </c>
      <c r="L10">
        <f>6.5*Table3[[#This Row],[Quantity]]</f>
        <v>32500</v>
      </c>
      <c r="M10" s="6">
        <f>Table3[[#This Row],[Energy consumption in W]]*24*365/1000</f>
        <v>284700</v>
      </c>
      <c r="N10" s="6">
        <f t="shared" si="0"/>
        <v>6.0960000000000007E-3</v>
      </c>
      <c r="O10" s="6">
        <f>Table3[[#This Row],[Yearly Energy Consumption in kWh]]*Table3[[#This Row],[CU/kWh]]</f>
        <v>1735.5312000000001</v>
      </c>
      <c r="P10">
        <v>2.25</v>
      </c>
      <c r="Q10" s="6">
        <v>20</v>
      </c>
      <c r="R10" s="8">
        <f>Table3[[#This Row],[Quantity]]*(Table3[[#This Row],[FIT]]*24*365)/1000000000</f>
        <v>11.2128</v>
      </c>
      <c r="S10" s="6">
        <f>2*Table3[[#This Row],[Mean dist in km from CO]]/Table3[[#This Row],[Avg Travel Speed]]</f>
        <v>0.22500000000000001</v>
      </c>
      <c r="T10" s="6">
        <f>Table3[[#This Row],[MTTR]]+Table3[[#This Row],[Twice Travel Time]]</f>
        <v>6.2249999999999996</v>
      </c>
      <c r="U10" s="6">
        <v>1</v>
      </c>
      <c r="V10" s="6">
        <f t="shared" si="1"/>
        <v>3.8</v>
      </c>
      <c r="W10" s="6">
        <f>Table3[[#This Row],[Cost per hour]]*Table3[[#This Row],[Total Time to Repair(h)]]*Table3[[#This Row],[Failures per year]]</f>
        <v>265.23878399999995</v>
      </c>
      <c r="X10">
        <v>2</v>
      </c>
      <c r="Y10" s="8">
        <v>7.0000000000000007E-2</v>
      </c>
      <c r="Z10" s="8">
        <f t="shared" si="2"/>
        <v>7.0540000000000005E-2</v>
      </c>
      <c r="AA10" s="8">
        <f>Table3[[#This Row],[Percentage of Business Users]]*Table3[[#This Row],[SLA CU per hour]]*Table3[[#This Row],[Failures per year]]*Table3[[#This Row],[Total Time to Repair(h)]]</f>
        <v>9.7719552000000007</v>
      </c>
      <c r="AB10" s="8">
        <f>Table3[[#This Row],[Percentage of ITS and business users]]*Table3[[#This Row],[SLA CU per hour]]*Table3[[#This Row],[Failures per year]]*Table3[[#This Row],[Total Time to Repair(h)]]</f>
        <v>9.8473388544000002</v>
      </c>
    </row>
    <row r="11" spans="1:28" x14ac:dyDescent="0.25">
      <c r="H11">
        <f>SUM(Table3[Total Rent cost per year])</f>
        <v>3074</v>
      </c>
      <c r="O11">
        <f>SUBTOTAL(109,Table3[Energy Cost per year in CU])</f>
        <v>15518.532579840001</v>
      </c>
      <c r="W11">
        <f>SUBTOTAL(109,Table3[FM Cost])</f>
        <v>20434.095716784002</v>
      </c>
      <c r="AA11">
        <f>SUBTOTAL(109,Table3[FM Penalty Business])</f>
        <v>752.83510535520008</v>
      </c>
      <c r="AB11">
        <f>SUBTOTAL(109,Table3[FM Penalty ITS])</f>
        <v>758.64269045365461</v>
      </c>
    </row>
    <row r="14" spans="1:28" x14ac:dyDescent="0.25">
      <c r="A14" t="s">
        <v>39</v>
      </c>
      <c r="B14" t="s">
        <v>64</v>
      </c>
      <c r="C14" t="s">
        <v>65</v>
      </c>
      <c r="D14" t="s">
        <v>17</v>
      </c>
      <c r="E14" t="s">
        <v>66</v>
      </c>
      <c r="F14" t="s">
        <v>26</v>
      </c>
      <c r="G14" t="s">
        <v>67</v>
      </c>
      <c r="H14" t="s">
        <v>68</v>
      </c>
      <c r="I14" t="s">
        <v>69</v>
      </c>
    </row>
    <row r="15" spans="1:28" x14ac:dyDescent="0.25">
      <c r="B15" s="7">
        <f>171056.493544313/1000</f>
        <v>171.05649354431301</v>
      </c>
      <c r="C15">
        <v>570</v>
      </c>
      <c r="E15">
        <v>20</v>
      </c>
    </row>
    <row r="16" spans="1:28" x14ac:dyDescent="0.25">
      <c r="B16" s="7">
        <f>85582.6331149716/1000</f>
        <v>85.5826331149716</v>
      </c>
      <c r="C16">
        <v>570</v>
      </c>
      <c r="E16">
        <v>20</v>
      </c>
    </row>
    <row r="17" spans="1:16" x14ac:dyDescent="0.25">
      <c r="B17" s="7">
        <f>384090.367674523/1000</f>
        <v>384.09036767452295</v>
      </c>
      <c r="C17">
        <v>570</v>
      </c>
      <c r="E17">
        <v>20</v>
      </c>
      <c r="M17" t="s">
        <v>70</v>
      </c>
    </row>
    <row r="18" spans="1:16" x14ac:dyDescent="0.25">
      <c r="M18">
        <f>Table3[[#Totals],[Total Rent cost per year]]+Table3[[#Totals],[Energy Cost per year in CU]]+Table3[[#Totals],[FM Cost]]+I23</f>
        <v>39321.968045115842</v>
      </c>
    </row>
    <row r="19" spans="1:16" x14ac:dyDescent="0.25">
      <c r="A19" s="8" t="s">
        <v>40</v>
      </c>
      <c r="B19" s="8" t="s">
        <v>17</v>
      </c>
      <c r="C19" s="8" t="s">
        <v>16</v>
      </c>
      <c r="D19" s="8" t="s">
        <v>41</v>
      </c>
      <c r="E19" s="8" t="s">
        <v>30</v>
      </c>
      <c r="F19" s="8" t="s">
        <v>45</v>
      </c>
      <c r="G19" s="8" t="s">
        <v>48</v>
      </c>
      <c r="H19" s="8" t="s">
        <v>49</v>
      </c>
      <c r="I19" s="8" t="s">
        <v>51</v>
      </c>
      <c r="J19" s="8" t="s">
        <v>112</v>
      </c>
      <c r="K19" s="8" t="s">
        <v>118</v>
      </c>
      <c r="L19" s="8" t="s">
        <v>119</v>
      </c>
      <c r="M19" s="8" t="s">
        <v>120</v>
      </c>
      <c r="N19" s="8" t="s">
        <v>121</v>
      </c>
    </row>
    <row r="20" spans="1:16" x14ac:dyDescent="0.25">
      <c r="A20" t="s">
        <v>42</v>
      </c>
      <c r="B20">
        <f>C15*B15</f>
        <v>97502.20132025842</v>
      </c>
      <c r="C20" s="15">
        <v>24</v>
      </c>
      <c r="D20">
        <v>1</v>
      </c>
      <c r="E20">
        <v>3.8</v>
      </c>
      <c r="F20">
        <v>1</v>
      </c>
      <c r="G20">
        <f>2*F20/20</f>
        <v>0.1</v>
      </c>
      <c r="H20">
        <f>G20+C20</f>
        <v>24.1</v>
      </c>
      <c r="I20">
        <f>B20*24*365*E20*FTTB_XGPON_50!H20/1000000000</f>
        <v>78.220243988925176</v>
      </c>
      <c r="J20" s="8">
        <v>2</v>
      </c>
      <c r="K20" s="8">
        <v>7.0000000000000007E-2</v>
      </c>
      <c r="L20" s="8">
        <v>7.0250000000000007E-2</v>
      </c>
      <c r="M20" s="8">
        <f>K20*J20*H20*B20*24*365/1000000000</f>
        <v>2.8817984627498752</v>
      </c>
      <c r="N20" s="8">
        <f>L20*J20*H20*B20*24*365/1000000000</f>
        <v>2.8920906001168385</v>
      </c>
    </row>
    <row r="21" spans="1:16" x14ac:dyDescent="0.25">
      <c r="A21" t="s">
        <v>43</v>
      </c>
      <c r="B21" s="8">
        <f>C16*B16</f>
        <v>48782.100875533812</v>
      </c>
      <c r="C21" s="15">
        <v>24</v>
      </c>
      <c r="D21">
        <v>1</v>
      </c>
      <c r="E21">
        <v>3.8</v>
      </c>
      <c r="F21">
        <v>2</v>
      </c>
      <c r="G21" s="8">
        <f t="shared" ref="G21:G22" si="3">2*F21/20</f>
        <v>0.2</v>
      </c>
      <c r="H21" s="8">
        <f t="shared" ref="H21:H22" si="4">G21+C21</f>
        <v>24.2</v>
      </c>
      <c r="I21" s="8">
        <f>B21*24*365*E21*FTTB_XGPON_50!H21/1000000000</f>
        <v>39.297377489463408</v>
      </c>
      <c r="J21" s="8">
        <v>2</v>
      </c>
      <c r="K21" s="8">
        <v>7.0000000000000007E-2</v>
      </c>
      <c r="L21" s="8">
        <v>7.0250000000000007E-2</v>
      </c>
      <c r="M21" s="8">
        <f t="shared" ref="M21:M22" si="5">K21*J21*H21*B21*24*365/1000000000</f>
        <v>1.4477981180328632</v>
      </c>
      <c r="N21" s="8">
        <f t="shared" ref="N21:N22" si="6">L21*J21*H21*B21*24*365/1000000000</f>
        <v>1.4529688255972659</v>
      </c>
    </row>
    <row r="22" spans="1:16" x14ac:dyDescent="0.25">
      <c r="A22" t="s">
        <v>63</v>
      </c>
      <c r="B22" s="8">
        <f>C17*B17</f>
        <v>218931.50957447808</v>
      </c>
      <c r="C22" s="15">
        <v>24</v>
      </c>
      <c r="D22">
        <v>2</v>
      </c>
      <c r="E22">
        <v>3.8</v>
      </c>
      <c r="F22">
        <v>4</v>
      </c>
      <c r="G22" s="8">
        <f t="shared" si="3"/>
        <v>0.4</v>
      </c>
      <c r="H22" s="8">
        <f t="shared" si="4"/>
        <v>24.4</v>
      </c>
      <c r="I22" s="8">
        <f>B22*24*365*E22*FTTB_XGPON_50!H22/1000000000</f>
        <v>177.82212701345154</v>
      </c>
      <c r="J22" s="8">
        <v>2</v>
      </c>
      <c r="K22" s="8">
        <v>7.0000000000000007E-2</v>
      </c>
      <c r="L22" s="8">
        <v>7.0250000000000007E-2</v>
      </c>
      <c r="M22" s="8">
        <f t="shared" si="5"/>
        <v>6.5513415215482151</v>
      </c>
      <c r="N22" s="8">
        <f t="shared" si="6"/>
        <v>6.5747391698394591</v>
      </c>
    </row>
    <row r="23" spans="1:16" x14ac:dyDescent="0.25">
      <c r="I23">
        <f>SUM(I20:I22)</f>
        <v>295.33974849184011</v>
      </c>
    </row>
    <row r="25" spans="1:16" x14ac:dyDescent="0.25">
      <c r="M25" s="8" t="s">
        <v>92</v>
      </c>
      <c r="N25" s="8" t="s">
        <v>113</v>
      </c>
      <c r="O25" t="s">
        <v>114</v>
      </c>
      <c r="P25" t="s">
        <v>122</v>
      </c>
    </row>
    <row r="26" spans="1:16" x14ac:dyDescent="0.25">
      <c r="M26" s="8" t="s">
        <v>93</v>
      </c>
      <c r="N26" s="8">
        <f>Table3[[#Totals],[Total Rent cost per year]]</f>
        <v>3074</v>
      </c>
      <c r="O26" s="8">
        <f>Table3[[#Totals],[Total Rent cost per year]]</f>
        <v>3074</v>
      </c>
      <c r="P26" s="8">
        <f>Table3[[#Totals],[Total Rent cost per year]]</f>
        <v>3074</v>
      </c>
    </row>
    <row r="27" spans="1:16" x14ac:dyDescent="0.25">
      <c r="M27" s="8" t="s">
        <v>94</v>
      </c>
      <c r="N27" s="8">
        <f>Table3[[#Totals],[Energy Cost per year in CU]]</f>
        <v>15518.532579840001</v>
      </c>
      <c r="O27" s="8">
        <f>Table3[[#Totals],[Energy Cost per year in CU]]</f>
        <v>15518.532579840001</v>
      </c>
      <c r="P27" s="8">
        <f>Table3[[#Totals],[Energy Cost per year in CU]]</f>
        <v>15518.532579840001</v>
      </c>
    </row>
    <row r="28" spans="1:16" x14ac:dyDescent="0.25">
      <c r="M28" s="8" t="s">
        <v>95</v>
      </c>
      <c r="N28" s="8">
        <f>Table3[[#Totals],[FM Cost]]+$I$23</f>
        <v>20729.435465275841</v>
      </c>
      <c r="O28" s="8">
        <f>Table3[[#Totals],[FM Cost]]+$I$23+Table3[[#Totals],[FM Penalty Business]]+SUM(M20:M22)</f>
        <v>21493.151508733372</v>
      </c>
      <c r="P28" s="8">
        <f>Table3[[#Totals],[FM Cost]]+$I$23+Table3[[#Totals],[FM Penalty ITS]]+SUM(N20:N22)</f>
        <v>21498.997954325048</v>
      </c>
    </row>
    <row r="29" spans="1:16" x14ac:dyDescent="0.25">
      <c r="M29" s="8" t="s">
        <v>96</v>
      </c>
      <c r="N29" s="8">
        <f>0.05*SUM(N26:N28)</f>
        <v>1966.0984022557923</v>
      </c>
      <c r="O29" s="8">
        <f>0.05*SUM(O26:O28)</f>
        <v>2004.2842044286685</v>
      </c>
      <c r="P29" s="8">
        <f>0.05*SUM(P26:P28)</f>
        <v>2004.5765267082527</v>
      </c>
    </row>
    <row r="30" spans="1:16" x14ac:dyDescent="0.25">
      <c r="M30" s="8" t="s">
        <v>97</v>
      </c>
      <c r="N30" s="8">
        <f>0.07*SUM(N26:N28)</f>
        <v>2752.5377631581091</v>
      </c>
      <c r="O30" s="8">
        <f>0.07*SUM(O26:O28)</f>
        <v>2805.9978862001362</v>
      </c>
      <c r="P30" s="8">
        <f>0.07*SUM(P26:P28)</f>
        <v>2806.407137391554</v>
      </c>
    </row>
    <row r="31" spans="1:16" x14ac:dyDescent="0.25">
      <c r="N31" s="31">
        <f>SUM(N26:N30)</f>
        <v>44040.604210529738</v>
      </c>
      <c r="O31" s="31">
        <f>SUM(O26:O30)</f>
        <v>44895.966179202172</v>
      </c>
      <c r="P31" s="31">
        <f>SUM(P26:P30)</f>
        <v>44902.514198264864</v>
      </c>
    </row>
    <row r="32" spans="1:16" x14ac:dyDescent="0.25">
      <c r="B32" s="7"/>
      <c r="C32" s="7"/>
      <c r="D32" s="7"/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I1" workbookViewId="0">
      <selection activeCell="K17" sqref="K17:K19"/>
    </sheetView>
  </sheetViews>
  <sheetFormatPr defaultRowHeight="15" x14ac:dyDescent="0.25"/>
  <cols>
    <col min="1" max="1" width="23.5703125" customWidth="1"/>
    <col min="2" max="2" width="19.140625" customWidth="1"/>
    <col min="3" max="3" width="20.140625" customWidth="1"/>
    <col min="4" max="4" width="16.42578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0" max="10" width="15.140625" customWidth="1"/>
    <col min="11" max="11" width="21.7109375" customWidth="1"/>
    <col min="12" max="12" width="24.42578125" customWidth="1"/>
    <col min="13" max="13" width="32.28515625" customWidth="1"/>
    <col min="14" max="14" width="17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  <col min="24" max="24" width="18.140625" customWidth="1"/>
    <col min="27" max="27" width="22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36</v>
      </c>
      <c r="F1" t="s">
        <v>35</v>
      </c>
      <c r="G1" t="s">
        <v>37</v>
      </c>
      <c r="H1" t="s">
        <v>38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112</v>
      </c>
      <c r="Y1" s="8" t="s">
        <v>116</v>
      </c>
      <c r="Z1" s="8" t="s">
        <v>117</v>
      </c>
      <c r="AA1" s="8" t="s">
        <v>33</v>
      </c>
      <c r="AB1" s="8" t="s">
        <v>34</v>
      </c>
    </row>
    <row r="2" spans="1:28" x14ac:dyDescent="0.25">
      <c r="A2" s="16" t="s">
        <v>3</v>
      </c>
      <c r="B2" s="17" t="s">
        <v>71</v>
      </c>
      <c r="C2" s="18">
        <v>16</v>
      </c>
      <c r="D2" s="18">
        <v>3</v>
      </c>
      <c r="E2">
        <v>0</v>
      </c>
      <c r="F2">
        <f>E2*D2</f>
        <v>0</v>
      </c>
      <c r="G2">
        <v>10.6</v>
      </c>
      <c r="H2">
        <f>G2*F2</f>
        <v>0</v>
      </c>
      <c r="I2">
        <v>0</v>
      </c>
      <c r="J2">
        <v>2</v>
      </c>
      <c r="K2">
        <v>256</v>
      </c>
      <c r="L2">
        <f>12*D2</f>
        <v>36</v>
      </c>
      <c r="M2">
        <f>Table1[[#This Row],[Energy consumption in W]]*24*365/1000</f>
        <v>315.36</v>
      </c>
      <c r="N2">
        <f>0.3048/50</f>
        <v>6.0960000000000007E-3</v>
      </c>
      <c r="O2">
        <f>Table1[[#This Row],[Yearly Energy Consumption in kWh]]*Table1[[#This Row],[CU/kWh]]</f>
        <v>1.9224345600000003</v>
      </c>
      <c r="P2">
        <v>0</v>
      </c>
      <c r="Q2">
        <v>20</v>
      </c>
      <c r="R2">
        <f>Table1[[#This Row],[Quantity]]*Table1[[#This Row],[FIT]]*24*365/1000000000</f>
        <v>6.7276799999999998E-3</v>
      </c>
      <c r="S2">
        <f>2*Table1[[#This Row],[Mean dist in km from CO]]/Table1[[#This Row],[Avg Travel Speed]]</f>
        <v>0</v>
      </c>
      <c r="T2">
        <f>Table1[[#This Row],[MTTR]]+Table1[[#This Row],[Twice Travel Time]]</f>
        <v>2</v>
      </c>
      <c r="U2">
        <v>1</v>
      </c>
      <c r="V2">
        <v>3.8</v>
      </c>
      <c r="W2">
        <f>Table1[[#This Row],[Cost per hour]]*Table1[[#This Row],[No. Of technicians]]*Table1[[#This Row],[Total Time to Repair(h)]]*Table1[[#This Row],[Failures per year]]</f>
        <v>5.1130367999999995E-2</v>
      </c>
      <c r="X2">
        <v>2</v>
      </c>
      <c r="Y2">
        <v>7.0000000000000007E-2</v>
      </c>
      <c r="Z2">
        <v>7.0540000000000005E-2</v>
      </c>
      <c r="AA2">
        <f>Table1[[#This Row],[Percentage of Business Users]]*Table1[[#This Row],[SLA CU per hour]]*Table1[[#This Row],[Failures per year]]*Table1[[#This Row],[Total Time to Repair(h)]]</f>
        <v>1.8837504000000001E-3</v>
      </c>
      <c r="AB2">
        <f>Table1[[#This Row],[Percentage of ITS and business users]]*Table1[[#This Row],[SLA CU per hour]]*Table1[[#This Row],[Failures per year]]*Table1[[#This Row],[Total Time to Repair(h)]]</f>
        <v>1.8982821888E-3</v>
      </c>
    </row>
    <row r="3" spans="1:28" x14ac:dyDescent="0.25">
      <c r="A3" s="19" t="s">
        <v>3</v>
      </c>
      <c r="B3" s="20" t="s">
        <v>72</v>
      </c>
      <c r="C3" s="21">
        <v>8.8000000000000007</v>
      </c>
      <c r="D3" s="21">
        <v>65</v>
      </c>
      <c r="E3">
        <v>5</v>
      </c>
      <c r="F3" s="8">
        <f t="shared" ref="F3:F10" si="0">E3*D3</f>
        <v>325</v>
      </c>
      <c r="G3" s="8">
        <v>10.6</v>
      </c>
      <c r="H3" s="8">
        <f t="shared" ref="H3:H10" si="1">G3*F3</f>
        <v>3445</v>
      </c>
      <c r="I3">
        <f>0.5+(1/6*D3)</f>
        <v>11.333333333333332</v>
      </c>
      <c r="J3">
        <v>2</v>
      </c>
      <c r="K3">
        <v>50</v>
      </c>
      <c r="L3">
        <f>5*D3</f>
        <v>325</v>
      </c>
      <c r="M3" s="8">
        <f>Table1[[#This Row],[Energy consumption in W]]*24*365/1000</f>
        <v>2847</v>
      </c>
      <c r="N3" s="8">
        <f t="shared" ref="N3:N10" si="2">0.3048/50</f>
        <v>6.0960000000000007E-3</v>
      </c>
      <c r="O3" s="8">
        <f>Table1[[#This Row],[Yearly Energy Consumption in kWh]]*Table1[[#This Row],[CU/kWh]]</f>
        <v>17.355312000000001</v>
      </c>
      <c r="P3">
        <v>0</v>
      </c>
      <c r="Q3">
        <v>20</v>
      </c>
      <c r="R3" s="8">
        <f>Table1[[#This Row],[Quantity]]*Table1[[#This Row],[FIT]]*24*365/1000000000</f>
        <v>2.8469999999999999E-2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2</v>
      </c>
      <c r="U3">
        <v>1</v>
      </c>
      <c r="V3" s="8">
        <v>3.8</v>
      </c>
      <c r="W3" s="8">
        <f>Table1[[#This Row],[Cost per hour]]*Table1[[#This Row],[No. Of technicians]]*Table1[[#This Row],[Total Time to Repair(h)]]*Table1[[#This Row],[Failures per year]]</f>
        <v>0.21637199999999998</v>
      </c>
      <c r="X3">
        <v>2</v>
      </c>
      <c r="Y3" s="8">
        <v>7.0000000000000007E-2</v>
      </c>
      <c r="Z3" s="8">
        <v>7.0540000000000005E-2</v>
      </c>
      <c r="AA3" s="8">
        <f>Table1[[#This Row],[Percentage of Business Users]]*Table1[[#This Row],[SLA CU per hour]]*Table1[[#This Row],[Failures per year]]*Table1[[#This Row],[Total Time to Repair(h)]]</f>
        <v>7.9716000000000006E-3</v>
      </c>
      <c r="AB3" s="8">
        <f>Table1[[#This Row],[Percentage of ITS and business users]]*Table1[[#This Row],[SLA CU per hour]]*Table1[[#This Row],[Failures per year]]*Table1[[#This Row],[Total Time to Repair(h)]]</f>
        <v>8.0330951999999997E-3</v>
      </c>
    </row>
    <row r="4" spans="1:28" x14ac:dyDescent="0.25">
      <c r="A4" s="16" t="s">
        <v>3</v>
      </c>
      <c r="B4" s="17" t="s">
        <v>73</v>
      </c>
      <c r="C4" s="18">
        <v>63</v>
      </c>
      <c r="D4" s="18">
        <v>65</v>
      </c>
      <c r="E4">
        <v>0</v>
      </c>
      <c r="F4" s="8">
        <f t="shared" si="0"/>
        <v>0</v>
      </c>
      <c r="G4" s="8">
        <v>10.6</v>
      </c>
      <c r="H4" s="8">
        <f t="shared" si="1"/>
        <v>0</v>
      </c>
      <c r="I4">
        <v>0</v>
      </c>
      <c r="J4">
        <v>2</v>
      </c>
      <c r="K4">
        <v>50</v>
      </c>
      <c r="L4">
        <f>48*C4</f>
        <v>3024</v>
      </c>
      <c r="M4" s="8">
        <f>Table1[[#This Row],[Energy consumption in W]]*24*365/1000</f>
        <v>26490.240000000002</v>
      </c>
      <c r="N4" s="8">
        <f t="shared" si="2"/>
        <v>6.0960000000000007E-3</v>
      </c>
      <c r="O4" s="8">
        <f>Table1[[#This Row],[Yearly Energy Consumption in kWh]]*Table1[[#This Row],[CU/kWh]]</f>
        <v>161.48450304000002</v>
      </c>
      <c r="P4">
        <v>0</v>
      </c>
      <c r="Q4">
        <v>20</v>
      </c>
      <c r="R4" s="8">
        <f>Table1[[#This Row],[Quantity]]*Table1[[#This Row],[FIT]]*24*365/1000000000</f>
        <v>2.8469999999999999E-2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2</v>
      </c>
      <c r="U4">
        <v>1</v>
      </c>
      <c r="V4" s="8">
        <v>3.8</v>
      </c>
      <c r="W4" s="8">
        <f>Table1[[#This Row],[Cost per hour]]*Table1[[#This Row],[No. Of technicians]]*Table1[[#This Row],[Total Time to Repair(h)]]*Table1[[#This Row],[Failures per year]]</f>
        <v>0.21637199999999998</v>
      </c>
      <c r="X4">
        <v>2</v>
      </c>
      <c r="Y4" s="8">
        <v>7.0000000000000007E-2</v>
      </c>
      <c r="Z4" s="8">
        <v>7.0540000000000005E-2</v>
      </c>
      <c r="AA4" s="8">
        <f>Table1[[#This Row],[Percentage of Business Users]]*Table1[[#This Row],[SLA CU per hour]]*Table1[[#This Row],[Failures per year]]*Table1[[#This Row],[Total Time to Repair(h)]]</f>
        <v>7.9716000000000006E-3</v>
      </c>
      <c r="AB4" s="8">
        <f>Table1[[#This Row],[Percentage of ITS and business users]]*Table1[[#This Row],[SLA CU per hour]]*Table1[[#This Row],[Failures per year]]*Table1[[#This Row],[Total Time to Repair(h)]]</f>
        <v>8.0330951999999997E-3</v>
      </c>
    </row>
    <row r="5" spans="1:28" x14ac:dyDescent="0.25">
      <c r="A5" s="19" t="s">
        <v>3</v>
      </c>
      <c r="B5" s="20" t="s">
        <v>74</v>
      </c>
      <c r="C5" s="21">
        <v>2.2999999999999998</v>
      </c>
      <c r="D5" s="21">
        <v>65</v>
      </c>
      <c r="E5">
        <v>0</v>
      </c>
      <c r="F5" s="8">
        <f t="shared" si="0"/>
        <v>0</v>
      </c>
      <c r="G5" s="8">
        <v>10.6</v>
      </c>
      <c r="H5" s="8">
        <f t="shared" si="1"/>
        <v>0</v>
      </c>
      <c r="I5">
        <v>0</v>
      </c>
      <c r="J5">
        <v>2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6.0960000000000007E-3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2.8469999999999999E-2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2</v>
      </c>
      <c r="U5">
        <v>1</v>
      </c>
      <c r="V5" s="8">
        <v>3.8</v>
      </c>
      <c r="W5" s="8">
        <f>Table1[[#This Row],[Cost per hour]]*Table1[[#This Row],[No. Of technicians]]*Table1[[#This Row],[Total Time to Repair(h)]]*Table1[[#This Row],[Failures per year]]</f>
        <v>0.21637199999999998</v>
      </c>
      <c r="X5">
        <v>2</v>
      </c>
      <c r="Y5" s="8">
        <v>7.0000000000000007E-2</v>
      </c>
      <c r="Z5" s="8">
        <v>7.0540000000000005E-2</v>
      </c>
      <c r="AA5" s="8">
        <f>Table1[[#This Row],[Percentage of Business Users]]*Table1[[#This Row],[SLA CU per hour]]*Table1[[#This Row],[Failures per year]]*Table1[[#This Row],[Total Time to Repair(h)]]</f>
        <v>7.9716000000000006E-3</v>
      </c>
      <c r="AB5" s="8">
        <f>Table1[[#This Row],[Percentage of ITS and business users]]*Table1[[#This Row],[SLA CU per hour]]*Table1[[#This Row],[Failures per year]]*Table1[[#This Row],[Total Time to Repair(h)]]</f>
        <v>8.0330951999999997E-3</v>
      </c>
    </row>
    <row r="6" spans="1:28" x14ac:dyDescent="0.25">
      <c r="A6" s="16" t="s">
        <v>3</v>
      </c>
      <c r="B6" s="17" t="s">
        <v>75</v>
      </c>
      <c r="C6" s="18">
        <f>0.1/4.5</f>
        <v>2.2222222222222223E-2</v>
      </c>
      <c r="D6" s="18">
        <v>1560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0</v>
      </c>
      <c r="J6">
        <v>0</v>
      </c>
      <c r="K6">
        <v>0</v>
      </c>
      <c r="L6">
        <f>1*D6</f>
        <v>1560</v>
      </c>
      <c r="M6" s="8">
        <f>Table1[[#This Row],[Energy consumption in W]]*24*365/1000</f>
        <v>13665.6</v>
      </c>
      <c r="N6" s="8">
        <f t="shared" si="2"/>
        <v>6.0960000000000007E-3</v>
      </c>
      <c r="O6" s="8">
        <f>Table1[[#This Row],[Yearly Energy Consumption in kWh]]*Table1[[#This Row],[CU/kWh]]</f>
        <v>83.30549760000001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3.8</v>
      </c>
      <c r="W6" s="8">
        <f>Table1[[#This Row],[Cost per hour]]*Table1[[#This Row],[No. Of technicians]]*Table1[[#This Row],[Total Time to Repair(h)]]*Table1[[#This Row],[Failures per year]]</f>
        <v>0</v>
      </c>
      <c r="X6">
        <v>2</v>
      </c>
      <c r="Y6" s="8">
        <v>7.0000000000000007E-2</v>
      </c>
      <c r="Z6" s="8">
        <v>7.0540000000000005E-2</v>
      </c>
      <c r="AA6" s="8">
        <f>Table1[[#This Row],[Percentage of Business Users]]*Table1[[#This Row],[SLA CU per hour]]*Table1[[#This Row],[Failures per year]]*Table1[[#This Row],[Total Time to Repair(h)]]</f>
        <v>0</v>
      </c>
      <c r="AB6" s="8">
        <f>Table1[[#This Row],[Percentage of ITS and business users]]*Table1[[#This Row],[SLA CU per hour]]*Table1[[#This Row],[Failures per year]]*Table1[[#This Row],[Total Time to Repair(h)]]</f>
        <v>0</v>
      </c>
    </row>
    <row r="7" spans="1:28" x14ac:dyDescent="0.25">
      <c r="A7" s="19" t="s">
        <v>3</v>
      </c>
      <c r="B7" s="20" t="s">
        <v>76</v>
      </c>
      <c r="C7" s="21">
        <v>400</v>
      </c>
      <c r="D7" s="21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6.0960000000000007E-3</v>
      </c>
      <c r="O7" s="8">
        <f>Table1[[#This Row],[Yearly Energy Consumption in kWh]]*Table1[[#This Row],[CU/kWh]]</f>
        <v>2.6700480000000004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3.8</v>
      </c>
      <c r="W7" s="8">
        <f>Table1[[#This Row],[Cost per hour]]*Table1[[#This Row],[No. Of technicians]]*Table1[[#This Row],[Total Time to Repair(h)]]*Table1[[#This Row],[Failures per year]]</f>
        <v>0</v>
      </c>
      <c r="X7">
        <v>2</v>
      </c>
      <c r="Y7" s="8">
        <v>7.0000000000000007E-2</v>
      </c>
      <c r="Z7" s="8">
        <v>7.0540000000000005E-2</v>
      </c>
      <c r="AA7" s="8">
        <f>Table1[[#This Row],[Percentage of Business Users]]*Table1[[#This Row],[SLA CU per hour]]*Table1[[#This Row],[Failures per year]]*Table1[[#This Row],[Total Time to Repair(h)]]</f>
        <v>0</v>
      </c>
      <c r="AB7" s="8">
        <f>Table1[[#This Row],[Percentage of ITS and business users]]*Table1[[#This Row],[SLA CU per hour]]*Table1[[#This Row],[Failures per year]]*Table1[[#This Row],[Total Time to Repair(h)]]</f>
        <v>0</v>
      </c>
    </row>
    <row r="8" spans="1:28" x14ac:dyDescent="0.25">
      <c r="A8" s="16" t="s">
        <v>8</v>
      </c>
      <c r="B8" s="17" t="s">
        <v>77</v>
      </c>
      <c r="C8" s="18">
        <f>80*0.3</f>
        <v>24</v>
      </c>
      <c r="D8" s="18">
        <v>65</v>
      </c>
      <c r="E8">
        <v>0</v>
      </c>
      <c r="F8" s="8">
        <f t="shared" si="0"/>
        <v>0</v>
      </c>
      <c r="G8" s="8">
        <v>10.6</v>
      </c>
      <c r="H8" s="8">
        <f t="shared" si="1"/>
        <v>0</v>
      </c>
      <c r="I8">
        <f>1/6*D8</f>
        <v>10.833333333333332</v>
      </c>
      <c r="J8">
        <v>6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6.0960000000000007E-3</v>
      </c>
      <c r="O8" s="8">
        <f>Table1[[#This Row],[Yearly Energy Consumption in kWh]]*Table1[[#This Row],[CU/kWh]]</f>
        <v>0</v>
      </c>
      <c r="P8">
        <v>1.5</v>
      </c>
      <c r="Q8">
        <v>20</v>
      </c>
      <c r="R8" s="8">
        <f>Table1[[#This Row],[Quantity]]*Table1[[#This Row],[FIT]]*24*365/1000000000</f>
        <v>0.11388</v>
      </c>
      <c r="S8" s="8">
        <f>2*Table1[[#This Row],[Mean dist in km from CO]]/Table1[[#This Row],[Avg Travel Speed]]</f>
        <v>0.15</v>
      </c>
      <c r="T8" s="8">
        <f>Table1[[#This Row],[MTTR]]+Table1[[#This Row],[Twice Travel Time]]</f>
        <v>6.15</v>
      </c>
      <c r="U8">
        <v>1</v>
      </c>
      <c r="V8" s="8">
        <v>3.8</v>
      </c>
      <c r="W8" s="8">
        <f>Table1[[#This Row],[Cost per hour]]*Table1[[#This Row],[No. Of technicians]]*Table1[[#This Row],[Total Time to Repair(h)]]*Table1[[#This Row],[Failures per year]]</f>
        <v>2.6613756</v>
      </c>
      <c r="X8">
        <v>2</v>
      </c>
      <c r="Y8" s="8">
        <v>7.0000000000000007E-2</v>
      </c>
      <c r="Z8" s="8">
        <v>7.0540000000000005E-2</v>
      </c>
      <c r="AA8" s="8">
        <f>Table1[[#This Row],[Percentage of Business Users]]*Table1[[#This Row],[SLA CU per hour]]*Table1[[#This Row],[Failures per year]]*Table1[[#This Row],[Total Time to Repair(h)]]</f>
        <v>9.8050680000000015E-2</v>
      </c>
      <c r="AB8" s="8">
        <f>Table1[[#This Row],[Percentage of ITS and business users]]*Table1[[#This Row],[SLA CU per hour]]*Table1[[#This Row],[Failures per year]]*Table1[[#This Row],[Total Time to Repair(h)]]</f>
        <v>9.8807070960000007E-2</v>
      </c>
    </row>
    <row r="9" spans="1:28" x14ac:dyDescent="0.25">
      <c r="A9" s="19" t="s">
        <v>13</v>
      </c>
      <c r="B9" s="20" t="s">
        <v>61</v>
      </c>
      <c r="C9" s="21">
        <v>10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 t="shared" si="1"/>
        <v>0</v>
      </c>
      <c r="I9">
        <f>D9*(0.5+(1/6*8))</f>
        <v>9166.6666666666661</v>
      </c>
      <c r="J9">
        <v>24</v>
      </c>
      <c r="K9">
        <v>5000</v>
      </c>
      <c r="L9">
        <f>50*D9</f>
        <v>250000</v>
      </c>
      <c r="M9" s="8">
        <f>Table1[[#This Row],[Energy consumption in W]]*24*365/1000</f>
        <v>2190000</v>
      </c>
      <c r="N9" s="8">
        <f t="shared" si="2"/>
        <v>6.0960000000000007E-3</v>
      </c>
      <c r="O9" s="8">
        <f>Table1[[#This Row],[Yearly Energy Consumption in kWh]]*Table1[[#This Row],[CU/kWh]]</f>
        <v>13350.240000000002</v>
      </c>
      <c r="P9">
        <v>2.25</v>
      </c>
      <c r="Q9">
        <v>20</v>
      </c>
      <c r="R9" s="8">
        <f>Table1[[#This Row],[Quantity]]*Table1[[#This Row],[FIT]]*24*365/1000000000</f>
        <v>219</v>
      </c>
      <c r="S9" s="8">
        <f>2*Table1[[#This Row],[Mean dist in km from CO]]/Table1[[#This Row],[Avg Travel Speed]]</f>
        <v>0.22500000000000001</v>
      </c>
      <c r="T9" s="8">
        <f>Table1[[#This Row],[MTTR]]+Table1[[#This Row],[Twice Travel Time]]</f>
        <v>24.225000000000001</v>
      </c>
      <c r="U9">
        <v>1</v>
      </c>
      <c r="V9" s="8">
        <v>3.8</v>
      </c>
      <c r="W9" s="8">
        <f>Table1[[#This Row],[Cost per hour]]*Table1[[#This Row],[No. Of technicians]]*Table1[[#This Row],[Total Time to Repair(h)]]*Table1[[#This Row],[Failures per year]]</f>
        <v>20160.045000000002</v>
      </c>
      <c r="X9">
        <v>2</v>
      </c>
      <c r="Y9" s="8">
        <v>7.0000000000000007E-2</v>
      </c>
      <c r="Z9" s="8">
        <v>7.0540000000000005E-2</v>
      </c>
      <c r="AA9" s="8">
        <f>Table1[[#This Row],[Percentage of Business Users]]*Table1[[#This Row],[SLA CU per hour]]*Table1[[#This Row],[Failures per year]]*Table1[[#This Row],[Total Time to Repair(h)]]</f>
        <v>742.73850000000016</v>
      </c>
      <c r="AB9" s="8">
        <f>Table1[[#This Row],[Percentage of ITS and business users]]*Table1[[#This Row],[SLA CU per hour]]*Table1[[#This Row],[Failures per year]]*Table1[[#This Row],[Total Time to Repair(h)]]</f>
        <v>748.46819700000015</v>
      </c>
    </row>
    <row r="10" spans="1:28" x14ac:dyDescent="0.25">
      <c r="A10" s="16" t="s">
        <v>13</v>
      </c>
      <c r="B10" s="17" t="s">
        <v>78</v>
      </c>
      <c r="C10" s="18">
        <v>1.86</v>
      </c>
      <c r="D10" s="18">
        <v>5000</v>
      </c>
      <c r="E10">
        <v>0</v>
      </c>
      <c r="F10" s="8">
        <f t="shared" si="0"/>
        <v>0</v>
      </c>
      <c r="G10" s="8">
        <v>0</v>
      </c>
      <c r="H10" s="8">
        <f t="shared" si="1"/>
        <v>0</v>
      </c>
      <c r="I10">
        <f>1*D10</f>
        <v>5000</v>
      </c>
      <c r="J10">
        <v>6</v>
      </c>
      <c r="K10">
        <v>256</v>
      </c>
      <c r="L10">
        <f>4.7*D10</f>
        <v>23500</v>
      </c>
      <c r="M10" s="8">
        <f>Table1[[#This Row],[Energy consumption in W]]*24*365/1000</f>
        <v>205860</v>
      </c>
      <c r="N10" s="8">
        <f t="shared" si="2"/>
        <v>6.0960000000000007E-3</v>
      </c>
      <c r="O10" s="8">
        <f>Table1[[#This Row],[Yearly Energy Consumption in kWh]]*Table1[[#This Row],[CU/kWh]]</f>
        <v>1254.9225600000002</v>
      </c>
      <c r="P10">
        <v>2.25</v>
      </c>
      <c r="Q10">
        <v>20</v>
      </c>
      <c r="R10" s="8">
        <f>Table1[[#This Row],[Quantity]]*Table1[[#This Row],[FIT]]*24*365/1000000000</f>
        <v>11.2128</v>
      </c>
      <c r="S10" s="8">
        <f>2*Table1[[#This Row],[Mean dist in km from CO]]/Table1[[#This Row],[Avg Travel Speed]]</f>
        <v>0.22500000000000001</v>
      </c>
      <c r="T10" s="8">
        <f>Table1[[#This Row],[MTTR]]+Table1[[#This Row],[Twice Travel Time]]</f>
        <v>6.2249999999999996</v>
      </c>
      <c r="U10">
        <v>1</v>
      </c>
      <c r="V10" s="8">
        <v>3.8</v>
      </c>
      <c r="W10" s="8">
        <f>Table1[[#This Row],[Cost per hour]]*Table1[[#This Row],[No. Of technicians]]*Table1[[#This Row],[Total Time to Repair(h)]]*Table1[[#This Row],[Failures per year]]</f>
        <v>265.23878399999995</v>
      </c>
      <c r="X10">
        <v>2</v>
      </c>
      <c r="Y10" s="8">
        <v>7.0000000000000007E-2</v>
      </c>
      <c r="Z10" s="8">
        <v>7.0540000000000005E-2</v>
      </c>
      <c r="AA10" s="8">
        <f>Table1[[#This Row],[Percentage of Business Users]]*Table1[[#This Row],[SLA CU per hour]]*Table1[[#This Row],[Failures per year]]*Table1[[#This Row],[Total Time to Repair(h)]]</f>
        <v>9.7719552000000007</v>
      </c>
      <c r="AB10" s="8">
        <f>Table1[[#This Row],[Percentage of ITS and business users]]*Table1[[#This Row],[SLA CU per hour]]*Table1[[#This Row],[Failures per year]]*Table1[[#This Row],[Total Time to Repair(h)]]</f>
        <v>9.8473388544000002</v>
      </c>
    </row>
    <row r="11" spans="1:28" x14ac:dyDescent="0.25">
      <c r="B11" s="22"/>
      <c r="C11" s="23"/>
      <c r="D11" s="23"/>
      <c r="E11" s="24"/>
      <c r="F11" s="24"/>
      <c r="G11" s="24"/>
      <c r="H11" s="24">
        <f>SUBTOTAL(109,Table1[Total Rent cost per year])</f>
        <v>3869</v>
      </c>
      <c r="I11" s="24"/>
      <c r="J11" s="24"/>
      <c r="K11" s="24"/>
      <c r="L11" s="24"/>
      <c r="M11" s="24"/>
      <c r="N11" s="24"/>
      <c r="O11" s="24">
        <f>SUBTOTAL(109,Table1[Energy Cost per year in CU])</f>
        <v>14871.900355200003</v>
      </c>
      <c r="P11" s="24"/>
      <c r="Q11" s="24"/>
      <c r="R11" s="24"/>
      <c r="S11" s="24"/>
      <c r="T11" s="24"/>
      <c r="U11" s="24"/>
      <c r="V11" s="24"/>
      <c r="W11" s="24">
        <f>SUM(Table1[FM Cost])</f>
        <v>20428.645405968004</v>
      </c>
      <c r="X11" s="24"/>
      <c r="Y11" s="24"/>
      <c r="Z11" s="24"/>
      <c r="AA11" s="24">
        <f>SUBTOTAL(109,Table1[FM Penalty Business])</f>
        <v>752.63430443040011</v>
      </c>
      <c r="AB11" s="24">
        <f>SUBTOTAL(109,Table1[FM Penalty ITS])</f>
        <v>758.44034049314905</v>
      </c>
    </row>
    <row r="13" spans="1:28" x14ac:dyDescent="0.25">
      <c r="M13" t="s">
        <v>70</v>
      </c>
    </row>
    <row r="14" spans="1:28" x14ac:dyDescent="0.25">
      <c r="M14">
        <f>Table1[[#Totals],[Total Rent cost per year]]+Table1[[#Totals],[Energy Cost per year in CU]]+Table1[[#Totals],[FM Cost]]+J20</f>
        <v>39507.519689765715</v>
      </c>
    </row>
    <row r="17" spans="1:15" x14ac:dyDescent="0.25">
      <c r="A17" s="8" t="s">
        <v>40</v>
      </c>
      <c r="B17" t="s">
        <v>64</v>
      </c>
      <c r="C17" s="8" t="s">
        <v>17</v>
      </c>
      <c r="D17" s="8" t="s">
        <v>16</v>
      </c>
      <c r="E17" s="8" t="s">
        <v>41</v>
      </c>
      <c r="F17" s="8" t="s">
        <v>30</v>
      </c>
      <c r="G17" s="8" t="s">
        <v>45</v>
      </c>
      <c r="H17" s="8" t="s">
        <v>48</v>
      </c>
      <c r="I17" s="8" t="s">
        <v>49</v>
      </c>
      <c r="J17" s="8" t="s">
        <v>51</v>
      </c>
      <c r="K17" s="8" t="s">
        <v>112</v>
      </c>
      <c r="L17" s="8" t="s">
        <v>118</v>
      </c>
      <c r="M17" s="8" t="s">
        <v>119</v>
      </c>
      <c r="N17" s="8" t="s">
        <v>120</v>
      </c>
      <c r="O17" s="8" t="s">
        <v>121</v>
      </c>
    </row>
    <row r="18" spans="1:15" x14ac:dyDescent="0.25">
      <c r="A18" t="s">
        <v>42</v>
      </c>
      <c r="B18" s="9">
        <f>72320.0059456714/1000</f>
        <v>72.320005945671397</v>
      </c>
      <c r="C18">
        <f>570*B18</f>
        <v>41222.403389032697</v>
      </c>
      <c r="D18">
        <v>24</v>
      </c>
      <c r="E18">
        <v>1</v>
      </c>
      <c r="F18">
        <v>3.8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33.207515009141716</v>
      </c>
      <c r="K18" s="8">
        <v>2</v>
      </c>
      <c r="L18">
        <v>7.0000000000000007E-2</v>
      </c>
      <c r="M18">
        <v>7.0540000000000005E-2</v>
      </c>
      <c r="N18">
        <f>L18*K18*I18*C18*24*365/1000000000</f>
        <v>1.2234347634946949</v>
      </c>
      <c r="O18">
        <f>M18*K18*I18*C18*24*365/1000000000</f>
        <v>1.2328726888130825</v>
      </c>
    </row>
    <row r="19" spans="1:15" x14ac:dyDescent="0.25">
      <c r="A19" t="s">
        <v>63</v>
      </c>
      <c r="B19" s="9">
        <f>658286.152663246/1000</f>
        <v>658.28615266324607</v>
      </c>
      <c r="C19">
        <f>570*B19</f>
        <v>375223.10701805027</v>
      </c>
      <c r="D19">
        <v>24</v>
      </c>
      <c r="E19">
        <v>1</v>
      </c>
      <c r="F19">
        <v>3.8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304.76641358857131</v>
      </c>
      <c r="K19" s="8">
        <v>2</v>
      </c>
      <c r="L19" s="8">
        <v>7.0000000000000007E-2</v>
      </c>
      <c r="M19" s="8">
        <v>7.0540000000000005E-2</v>
      </c>
      <c r="N19" s="8">
        <f>L19*K19*I19*C19*24*365/1000000000</f>
        <v>11.22823629010526</v>
      </c>
      <c r="O19" s="8">
        <f>M19*K19*I19*C19*24*365/1000000000</f>
        <v>11.314854112914642</v>
      </c>
    </row>
    <row r="20" spans="1:15" x14ac:dyDescent="0.25">
      <c r="J20">
        <f>SUM(J18:J19)</f>
        <v>337.97392859771304</v>
      </c>
      <c r="K20" s="8"/>
      <c r="L20" s="8"/>
    </row>
    <row r="33" spans="13:16" x14ac:dyDescent="0.25">
      <c r="M33" s="8" t="s">
        <v>92</v>
      </c>
      <c r="N33" s="8" t="s">
        <v>113</v>
      </c>
      <c r="O33" t="s">
        <v>114</v>
      </c>
      <c r="P33" t="s">
        <v>122</v>
      </c>
    </row>
    <row r="34" spans="13:16" x14ac:dyDescent="0.25">
      <c r="M34" s="8" t="s">
        <v>93</v>
      </c>
      <c r="N34" s="8">
        <f>Table1[[#Totals],[Total Rent cost per year]]</f>
        <v>3869</v>
      </c>
      <c r="O34" s="8">
        <f>Table1[[#Totals],[Total Rent cost per year]]</f>
        <v>3869</v>
      </c>
      <c r="P34" s="8">
        <f>Table1[[#Totals],[Total Rent cost per year]]</f>
        <v>3869</v>
      </c>
    </row>
    <row r="35" spans="13:16" x14ac:dyDescent="0.25">
      <c r="M35" s="8" t="s">
        <v>94</v>
      </c>
      <c r="N35" s="8">
        <f>Table1[[#Totals],[Energy Cost per year in CU]]</f>
        <v>14871.900355200003</v>
      </c>
      <c r="O35" s="8">
        <f>Table1[[#Totals],[Energy Cost per year in CU]]</f>
        <v>14871.900355200003</v>
      </c>
      <c r="P35" s="8">
        <f>Table1[[#Totals],[Energy Cost per year in CU]]</f>
        <v>14871.900355200003</v>
      </c>
    </row>
    <row r="36" spans="13:16" x14ac:dyDescent="0.25">
      <c r="M36" s="8" t="s">
        <v>95</v>
      </c>
      <c r="N36" s="8">
        <f>Table1[[#Totals],[FM Cost]]+J20</f>
        <v>20766.619334565716</v>
      </c>
      <c r="O36" s="8">
        <f>Table1[[#Totals],[FM Cost]]+$J$20+N18+N19+Table1[[#Totals],[FM Penalty Business]]</f>
        <v>21531.705310049718</v>
      </c>
      <c r="P36" s="8">
        <f>Table1[[#Totals],[FM Cost]]+$J$20+O18+O19+Table1[[#Totals],[FM Penalty ITS]]</f>
        <v>21537.607401860594</v>
      </c>
    </row>
    <row r="37" spans="13:16" x14ac:dyDescent="0.25">
      <c r="M37" s="8" t="s">
        <v>96</v>
      </c>
      <c r="N37" s="8">
        <f>0.05*SUM(N34:N36)</f>
        <v>1975.3759844882859</v>
      </c>
      <c r="O37" s="8">
        <f>0.05*SUM(O34:O36)</f>
        <v>2013.630283262486</v>
      </c>
      <c r="P37" s="8">
        <f>0.05*SUM(P34:P36)</f>
        <v>2013.9253878530299</v>
      </c>
    </row>
    <row r="38" spans="13:16" x14ac:dyDescent="0.25">
      <c r="M38" s="8" t="s">
        <v>97</v>
      </c>
      <c r="N38" s="8">
        <f>0.07*SUM(N34:N36)</f>
        <v>2765.5263782836005</v>
      </c>
      <c r="O38" s="8">
        <f>0.07*SUM(O34:O36)</f>
        <v>2819.0823965674808</v>
      </c>
      <c r="P38" s="8">
        <f>0.07*SUM(P34:P36)</f>
        <v>2819.495542994242</v>
      </c>
    </row>
    <row r="39" spans="13:16" x14ac:dyDescent="0.25">
      <c r="M39" s="8"/>
      <c r="N39" s="31">
        <f>SUM(N34:N38)</f>
        <v>44248.4220525376</v>
      </c>
      <c r="O39" s="31">
        <f>SUM(O34:O38)</f>
        <v>45105.318345079686</v>
      </c>
      <c r="P39" s="31">
        <f>SUM(P34:P38)</f>
        <v>45111.928687907865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E1" workbookViewId="0">
      <selection activeCell="T28" sqref="T28"/>
    </sheetView>
  </sheetViews>
  <sheetFormatPr defaultRowHeight="15" x14ac:dyDescent="0.25"/>
  <cols>
    <col min="1" max="1" width="22.140625" customWidth="1"/>
    <col min="2" max="2" width="25.28515625" customWidth="1"/>
    <col min="3" max="3" width="25" customWidth="1"/>
    <col min="4" max="4" width="22.285156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17.7109375" customWidth="1"/>
    <col min="12" max="12" width="21.7109375" customWidth="1"/>
    <col min="13" max="13" width="16.140625" customWidth="1"/>
    <col min="16" max="16" width="14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36</v>
      </c>
      <c r="F1" t="s">
        <v>35</v>
      </c>
      <c r="G1" t="s">
        <v>37</v>
      </c>
      <c r="H1" s="10" t="s">
        <v>38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112</v>
      </c>
      <c r="Y1" s="8" t="s">
        <v>116</v>
      </c>
      <c r="Z1" s="8" t="s">
        <v>117</v>
      </c>
      <c r="AA1" s="8" t="s">
        <v>33</v>
      </c>
      <c r="AB1" s="8" t="s">
        <v>34</v>
      </c>
    </row>
    <row r="2" spans="1:28" x14ac:dyDescent="0.25">
      <c r="A2" t="s">
        <v>3</v>
      </c>
      <c r="B2" s="26" t="s">
        <v>71</v>
      </c>
      <c r="C2">
        <v>16</v>
      </c>
      <c r="D2" s="25">
        <f>3*7</f>
        <v>21</v>
      </c>
      <c r="E2">
        <v>0</v>
      </c>
      <c r="F2">
        <v>0</v>
      </c>
      <c r="G2">
        <v>10.6</v>
      </c>
      <c r="H2">
        <f>G2*F2</f>
        <v>0</v>
      </c>
      <c r="I2" s="8">
        <v>0</v>
      </c>
      <c r="J2" s="8">
        <v>2</v>
      </c>
      <c r="K2" s="8">
        <v>256</v>
      </c>
      <c r="L2" s="8">
        <f>12*E2</f>
        <v>0</v>
      </c>
      <c r="M2" s="8">
        <f>Table4[[#This Row],[Energy consumption in W]]*24*365/1000</f>
        <v>0</v>
      </c>
      <c r="N2" s="8">
        <f>0.3048/50</f>
        <v>6.0960000000000007E-3</v>
      </c>
      <c r="O2" s="8">
        <f>Table4[[#This Row],[Yearly Energy Consumption in kWh]]*Table1[[#This Row],[CU/kWh]]</f>
        <v>0</v>
      </c>
      <c r="P2" s="8">
        <v>0</v>
      </c>
      <c r="Q2" s="8">
        <v>20</v>
      </c>
      <c r="R2" s="8">
        <f>Table4[[#This Row],[Quantity]]*Table4[[#This Row],[FIT]]*24*365/1000000000</f>
        <v>4.7093759999999998E-2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2</v>
      </c>
      <c r="U2" s="8">
        <v>1</v>
      </c>
      <c r="V2" s="8">
        <v>3.8</v>
      </c>
      <c r="W2" s="8">
        <f>Table4[[#This Row],[Cost per hour]]*Table4[[#This Row],[No. Of technicians]]*Table4[[#This Row],[Total Time to Repair(h)]]*Table4[[#This Row],[Failures per year]]</f>
        <v>0.35791257599999998</v>
      </c>
      <c r="X2" s="8">
        <v>2</v>
      </c>
      <c r="Y2" s="8">
        <v>7.0000000000000007E-2</v>
      </c>
      <c r="Z2" s="8">
        <v>7.0540000000000005E-2</v>
      </c>
      <c r="AA2" s="8">
        <f>Table4[[#This Row],[Percentage of Business Users]]*Table4[[#This Row],[SLA CU per hour]]*Table4[[#This Row],[Failures per year]]*Table4[[#This Row],[Total Time to Repair(h)]]</f>
        <v>1.3186252800000001E-2</v>
      </c>
      <c r="AB2" s="8">
        <f>Table4[[#This Row],[Percentage of ITS and business users]]*Table4[[#This Row],[SLA CU per hour]]*Table4[[#This Row],[Failures per year]]*Table4[[#This Row],[Total Time to Repair(h)]]</f>
        <v>1.3287975321600001E-2</v>
      </c>
    </row>
    <row r="3" spans="1:28" x14ac:dyDescent="0.25">
      <c r="A3" t="s">
        <v>3</v>
      </c>
      <c r="B3" s="26" t="s">
        <v>72</v>
      </c>
      <c r="C3">
        <v>8.8000000000000007</v>
      </c>
      <c r="D3" s="25">
        <f>65*7</f>
        <v>455</v>
      </c>
      <c r="E3">
        <v>5</v>
      </c>
      <c r="F3">
        <v>325</v>
      </c>
      <c r="G3">
        <v>10.6</v>
      </c>
      <c r="H3" s="8">
        <f t="shared" ref="H3:H10" si="0">G3*F3</f>
        <v>3445</v>
      </c>
      <c r="I3" s="8">
        <f>0.5+(1/6*D3)</f>
        <v>76.333333333333329</v>
      </c>
      <c r="J3" s="8">
        <v>2</v>
      </c>
      <c r="K3" s="8">
        <v>50</v>
      </c>
      <c r="L3" s="8">
        <f>5*80*Table4[[#This Row],[Quantity]]</f>
        <v>182000</v>
      </c>
      <c r="M3" s="8">
        <f>Table4[[#This Row],[Energy consumption in W]]*24*365/1000</f>
        <v>1594320</v>
      </c>
      <c r="N3" s="8">
        <f t="shared" ref="N3:N10" si="1">0.3048/50</f>
        <v>6.0960000000000007E-3</v>
      </c>
      <c r="O3" s="8">
        <f>Table4[[#This Row],[Yearly Energy Consumption in kWh]]*Table1[[#This Row],[CU/kWh]]</f>
        <v>9718.974720000002</v>
      </c>
      <c r="P3" s="8">
        <v>0</v>
      </c>
      <c r="Q3" s="8">
        <v>20</v>
      </c>
      <c r="R3" s="8">
        <f>Table4[[#This Row],[Quantity]]*Table4[[#This Row],[FIT]]*24*365/1000000000</f>
        <v>0.19928999999999999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2</v>
      </c>
      <c r="U3" s="8">
        <v>1</v>
      </c>
      <c r="V3" s="8">
        <v>3.8</v>
      </c>
      <c r="W3" s="8">
        <f>Table4[[#This Row],[Cost per hour]]*Table4[[#This Row],[No. Of technicians]]*Table4[[#This Row],[Total Time to Repair(h)]]*Table4[[#This Row],[Failures per year]]</f>
        <v>1.5146039999999998</v>
      </c>
      <c r="X3" s="8">
        <v>2</v>
      </c>
      <c r="Y3" s="8">
        <v>7.0000000000000007E-2</v>
      </c>
      <c r="Z3" s="8">
        <v>7.0540000000000005E-2</v>
      </c>
      <c r="AA3" s="8">
        <f>Table4[[#This Row],[Percentage of Business Users]]*Table4[[#This Row],[SLA CU per hour]]*Table4[[#This Row],[Failures per year]]*Table4[[#This Row],[Total Time to Repair(h)]]</f>
        <v>5.5801200000000002E-2</v>
      </c>
      <c r="AB3" s="8">
        <f>Table4[[#This Row],[Percentage of ITS and business users]]*Table4[[#This Row],[SLA CU per hour]]*Table4[[#This Row],[Failures per year]]*Table4[[#This Row],[Total Time to Repair(h)]]</f>
        <v>5.6231666400000005E-2</v>
      </c>
    </row>
    <row r="4" spans="1:28" x14ac:dyDescent="0.25">
      <c r="A4" t="s">
        <v>3</v>
      </c>
      <c r="B4" s="26" t="s">
        <v>73</v>
      </c>
      <c r="C4">
        <v>63</v>
      </c>
      <c r="D4" s="25">
        <f>65*7</f>
        <v>455</v>
      </c>
      <c r="E4">
        <v>0</v>
      </c>
      <c r="F4">
        <v>0</v>
      </c>
      <c r="G4">
        <v>10.6</v>
      </c>
      <c r="H4" s="8">
        <f t="shared" si="0"/>
        <v>0</v>
      </c>
      <c r="I4" s="8">
        <f t="shared" ref="I4:I10" si="2">0.5+(1/6*D4)</f>
        <v>76.333333333333329</v>
      </c>
      <c r="J4" s="8">
        <v>2</v>
      </c>
      <c r="K4" s="8">
        <v>50</v>
      </c>
      <c r="L4" s="8">
        <f>48*D4</f>
        <v>21840</v>
      </c>
      <c r="M4" s="8">
        <f>Table4[[#This Row],[Energy consumption in W]]*24*365/1000</f>
        <v>191318.39999999999</v>
      </c>
      <c r="N4" s="8">
        <f t="shared" si="1"/>
        <v>6.0960000000000007E-3</v>
      </c>
      <c r="O4" s="8">
        <f>Table4[[#This Row],[Yearly Energy Consumption in kWh]]*Table1[[#This Row],[CU/kWh]]</f>
        <v>1166.2769664</v>
      </c>
      <c r="P4" s="8">
        <v>0</v>
      </c>
      <c r="Q4" s="8">
        <v>20</v>
      </c>
      <c r="R4" s="8">
        <f>Table4[[#This Row],[Quantity]]*Table4[[#This Row],[FIT]]*24*365/1000000000</f>
        <v>0.19928999999999999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2</v>
      </c>
      <c r="U4" s="8">
        <v>1</v>
      </c>
      <c r="V4" s="8">
        <v>3.8</v>
      </c>
      <c r="W4" s="8">
        <f>Table4[[#This Row],[Cost per hour]]*Table4[[#This Row],[No. Of technicians]]*Table4[[#This Row],[Total Time to Repair(h)]]*Table4[[#This Row],[Failures per year]]</f>
        <v>1.5146039999999998</v>
      </c>
      <c r="X4" s="8">
        <v>2</v>
      </c>
      <c r="Y4" s="8">
        <v>7.0000000000000007E-2</v>
      </c>
      <c r="Z4" s="8">
        <v>7.0540000000000005E-2</v>
      </c>
      <c r="AA4" s="8">
        <f>Table4[[#This Row],[Percentage of Business Users]]*Table4[[#This Row],[SLA CU per hour]]*Table4[[#This Row],[Failures per year]]*Table4[[#This Row],[Total Time to Repair(h)]]</f>
        <v>5.5801200000000002E-2</v>
      </c>
      <c r="AB4" s="8">
        <f>Table4[[#This Row],[Percentage of ITS and business users]]*Table4[[#This Row],[SLA CU per hour]]*Table4[[#This Row],[Failures per year]]*Table4[[#This Row],[Total Time to Repair(h)]]</f>
        <v>5.6231666400000005E-2</v>
      </c>
    </row>
    <row r="5" spans="1:28" x14ac:dyDescent="0.25">
      <c r="A5" t="s">
        <v>3</v>
      </c>
      <c r="B5" s="26" t="s">
        <v>74</v>
      </c>
      <c r="C5">
        <v>2.2999999999999998</v>
      </c>
      <c r="D5" s="25">
        <f>65*7</f>
        <v>455</v>
      </c>
      <c r="E5">
        <v>0</v>
      </c>
      <c r="F5">
        <v>0</v>
      </c>
      <c r="G5">
        <v>10.6</v>
      </c>
      <c r="H5" s="8">
        <f t="shared" si="0"/>
        <v>0</v>
      </c>
      <c r="I5" s="8">
        <f t="shared" si="2"/>
        <v>76.333333333333329</v>
      </c>
      <c r="J5" s="8">
        <v>2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6.0960000000000007E-3</v>
      </c>
      <c r="O5" s="8">
        <f>Table4[[#This Row],[Yearly Energy Consumption in kWh]]*Table1[[#This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0.19928999999999999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2</v>
      </c>
      <c r="U5" s="8">
        <v>1</v>
      </c>
      <c r="V5" s="8">
        <v>3.8</v>
      </c>
      <c r="W5" s="8">
        <f>Table4[[#This Row],[Cost per hour]]*Table4[[#This Row],[No. Of technicians]]*Table4[[#This Row],[Total Time to Repair(h)]]*Table4[[#This Row],[Failures per year]]</f>
        <v>1.5146039999999998</v>
      </c>
      <c r="X5" s="8">
        <v>2</v>
      </c>
      <c r="Y5" s="8">
        <v>7.0000000000000007E-2</v>
      </c>
      <c r="Z5" s="8">
        <v>7.0540000000000005E-2</v>
      </c>
      <c r="AA5" s="8">
        <f>Table4[[#This Row],[Percentage of Business Users]]*Table4[[#This Row],[SLA CU per hour]]*Table4[[#This Row],[Failures per year]]*Table4[[#This Row],[Total Time to Repair(h)]]</f>
        <v>5.5801200000000002E-2</v>
      </c>
      <c r="AB5" s="8">
        <f>Table4[[#This Row],[Percentage of ITS and business users]]*Table4[[#This Row],[SLA CU per hour]]*Table4[[#This Row],[Failures per year]]*Table4[[#This Row],[Total Time to Repair(h)]]</f>
        <v>5.6231666400000005E-2</v>
      </c>
    </row>
    <row r="6" spans="1:28" x14ac:dyDescent="0.25">
      <c r="A6" t="s">
        <v>3</v>
      </c>
      <c r="B6" s="26" t="s">
        <v>75</v>
      </c>
      <c r="C6">
        <v>2.2222222222222223E-2</v>
      </c>
      <c r="D6" s="25">
        <v>3120</v>
      </c>
      <c r="E6">
        <v>0</v>
      </c>
      <c r="F6">
        <v>0</v>
      </c>
      <c r="G6">
        <v>10.6</v>
      </c>
      <c r="H6" s="8">
        <f t="shared" si="0"/>
        <v>0</v>
      </c>
      <c r="I6" s="8">
        <f t="shared" si="2"/>
        <v>520.5</v>
      </c>
      <c r="J6" s="8">
        <v>0</v>
      </c>
      <c r="K6" s="8">
        <v>0</v>
      </c>
      <c r="L6" s="8">
        <f>1*Table4[[#This Row],[Quantity]]</f>
        <v>3120</v>
      </c>
      <c r="M6" s="8">
        <f>Table4[[#This Row],[Energy consumption in W]]*24*365/1000</f>
        <v>27331.200000000001</v>
      </c>
      <c r="N6" s="8">
        <f t="shared" si="1"/>
        <v>6.0960000000000007E-3</v>
      </c>
      <c r="O6" s="8">
        <f>Table4[[#This Row],[Yearly Energy Consumption in kWh]]*Table1[[#This Row],[CU/kWh]]</f>
        <v>166.61099520000002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0</v>
      </c>
      <c r="U6" s="8">
        <v>1</v>
      </c>
      <c r="V6" s="8">
        <v>3.8</v>
      </c>
      <c r="W6" s="8">
        <f>Table4[[#This Row],[Cost per hour]]*Table4[[#This Row],[No. Of technicians]]*Table4[[#This Row],[Total Time to Repair(h)]]*Table4[[#This Row],[Failures per year]]</f>
        <v>0</v>
      </c>
      <c r="X6" s="8">
        <v>2</v>
      </c>
      <c r="Y6" s="8">
        <v>7.0000000000000007E-2</v>
      </c>
      <c r="Z6" s="8">
        <v>7.0540000000000005E-2</v>
      </c>
      <c r="AA6" s="8">
        <f>Table4[[#This Row],[Percentage of Business Users]]*Table4[[#This Row],[SLA CU per hour]]*Table4[[#This Row],[Failures per year]]*Table4[[#This Row],[Total Time to Repair(h)]]</f>
        <v>0</v>
      </c>
      <c r="AB6" s="8">
        <f>Table4[[#This Row],[Percentage of ITS and business users]]*Table4[[#This Row],[SLA CU per hour]]*Table4[[#This Row],[Failures per year]]*Table4[[#This Row],[Total Time to Repair(h)]]</f>
        <v>0</v>
      </c>
    </row>
    <row r="7" spans="1:28" x14ac:dyDescent="0.25">
      <c r="A7" t="s">
        <v>3</v>
      </c>
      <c r="B7" s="26" t="s">
        <v>76</v>
      </c>
      <c r="C7">
        <v>400</v>
      </c>
      <c r="D7" s="25">
        <v>6</v>
      </c>
      <c r="E7">
        <v>40</v>
      </c>
      <c r="F7">
        <v>40</v>
      </c>
      <c r="G7">
        <v>10.6</v>
      </c>
      <c r="H7" s="8">
        <f t="shared" si="0"/>
        <v>424</v>
      </c>
      <c r="I7" s="8">
        <f t="shared" si="2"/>
        <v>1.5</v>
      </c>
      <c r="J7" s="8">
        <v>0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6.0960000000000007E-3</v>
      </c>
      <c r="O7" s="8">
        <f>Table4[[#This Row],[Yearly Energy Consumption in kWh]]*Table1[[#This Row],[CU/kWh]]</f>
        <v>2.6700480000000004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0</v>
      </c>
      <c r="U7" s="8">
        <v>1</v>
      </c>
      <c r="V7" s="8">
        <v>3.8</v>
      </c>
      <c r="W7" s="8">
        <f>Table4[[#This Row],[Cost per hour]]*Table4[[#This Row],[No. Of technicians]]*Table4[[#This Row],[Total Time to Repair(h)]]*Table4[[#This Row],[Failures per year]]</f>
        <v>0</v>
      </c>
      <c r="X7" s="8">
        <v>2</v>
      </c>
      <c r="Y7" s="8">
        <v>7.0000000000000007E-2</v>
      </c>
      <c r="Z7" s="8">
        <v>7.0540000000000005E-2</v>
      </c>
      <c r="AA7" s="8">
        <f>Table4[[#This Row],[Percentage of Business Users]]*Table4[[#This Row],[SLA CU per hour]]*Table4[[#This Row],[Failures per year]]*Table4[[#This Row],[Total Time to Repair(h)]]</f>
        <v>0</v>
      </c>
      <c r="AB7" s="8">
        <f>Table4[[#This Row],[Percentage of ITS and business users]]*Table4[[#This Row],[SLA CU per hour]]*Table4[[#This Row],[Failures per year]]*Table4[[#This Row],[Total Time to Repair(h)]]</f>
        <v>0</v>
      </c>
    </row>
    <row r="8" spans="1:28" x14ac:dyDescent="0.25">
      <c r="A8" t="s">
        <v>8</v>
      </c>
      <c r="B8" s="26" t="s">
        <v>77</v>
      </c>
      <c r="C8">
        <v>24</v>
      </c>
      <c r="D8" s="25">
        <f>65*7</f>
        <v>455</v>
      </c>
      <c r="E8">
        <v>0</v>
      </c>
      <c r="F8">
        <v>0</v>
      </c>
      <c r="G8">
        <v>10.6</v>
      </c>
      <c r="H8" s="8">
        <f t="shared" si="0"/>
        <v>0</v>
      </c>
      <c r="I8" s="8">
        <f t="shared" si="2"/>
        <v>76.333333333333329</v>
      </c>
      <c r="J8" s="8">
        <v>6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6.0960000000000007E-3</v>
      </c>
      <c r="O8" s="8">
        <f>Table4[[#This Row],[Yearly Energy Consumption in kWh]]*Table1[[#This Row],[CU/kWh]]</f>
        <v>0</v>
      </c>
      <c r="P8" s="8">
        <v>1.5</v>
      </c>
      <c r="Q8" s="8">
        <v>20</v>
      </c>
      <c r="R8" s="8">
        <f>Table4[[#This Row],[Quantity]]*Table4[[#This Row],[FIT]]*24*365/1000000000</f>
        <v>0.79715999999999998</v>
      </c>
      <c r="S8" s="8">
        <f>2*Table4[[#This Row],[Mean dist in km from CO]]/Table4[[#This Row],[Avg Travel Speed]]</f>
        <v>0.15</v>
      </c>
      <c r="T8" s="8">
        <f>Table4[[#This Row],[MTTR]]+Table4[[#This Row],[Twice Travel Time]]</f>
        <v>6.15</v>
      </c>
      <c r="U8" s="8">
        <v>1</v>
      </c>
      <c r="V8" s="8">
        <v>3.8</v>
      </c>
      <c r="W8" s="8">
        <f>Table4[[#This Row],[Cost per hour]]*Table4[[#This Row],[No. Of technicians]]*Table4[[#This Row],[Total Time to Repair(h)]]*Table4[[#This Row],[Failures per year]]</f>
        <v>18.6296292</v>
      </c>
      <c r="X8" s="8">
        <v>2</v>
      </c>
      <c r="Y8" s="8">
        <v>7.0000000000000007E-2</v>
      </c>
      <c r="Z8" s="8">
        <v>7.0540000000000005E-2</v>
      </c>
      <c r="AA8" s="8">
        <f>Table4[[#This Row],[Percentage of Business Users]]*Table4[[#This Row],[SLA CU per hour]]*Table4[[#This Row],[Failures per year]]*Table4[[#This Row],[Total Time to Repair(h)]]</f>
        <v>0.68635476000000006</v>
      </c>
      <c r="AB8" s="8">
        <f>Table4[[#This Row],[Percentage of ITS and business users]]*Table4[[#This Row],[SLA CU per hour]]*Table4[[#This Row],[Failures per year]]*Table4[[#This Row],[Total Time to Repair(h)]]</f>
        <v>0.69164949672000009</v>
      </c>
    </row>
    <row r="9" spans="1:28" x14ac:dyDescent="0.25">
      <c r="A9" t="s">
        <v>13</v>
      </c>
      <c r="B9" s="26" t="s">
        <v>79</v>
      </c>
      <c r="C9">
        <v>1.8</v>
      </c>
      <c r="D9" s="25">
        <v>0</v>
      </c>
      <c r="E9">
        <v>0</v>
      </c>
      <c r="F9">
        <v>0</v>
      </c>
      <c r="G9">
        <v>0</v>
      </c>
      <c r="H9" s="8">
        <f t="shared" si="0"/>
        <v>0</v>
      </c>
      <c r="I9" s="8">
        <f t="shared" si="2"/>
        <v>0.5</v>
      </c>
      <c r="J9" s="8">
        <v>6</v>
      </c>
      <c r="K9" s="8">
        <v>50</v>
      </c>
      <c r="L9" s="8">
        <f>50*E9</f>
        <v>0</v>
      </c>
      <c r="M9" s="8">
        <f>Table4[[#This Row],[Energy consumption in W]]*24*365/1000</f>
        <v>0</v>
      </c>
      <c r="N9" s="8">
        <f t="shared" si="1"/>
        <v>6.0960000000000007E-3</v>
      </c>
      <c r="O9" s="8">
        <f>Table4[[#This Row],[Yearly Energy Consumption in kWh]]*Table1[[#This Row],[CU/kWh]]</f>
        <v>0</v>
      </c>
      <c r="P9" s="8">
        <v>2.25</v>
      </c>
      <c r="Q9" s="8">
        <v>20</v>
      </c>
      <c r="R9" s="8">
        <f>Table4[[#This Row],[Quantity]]*Table4[[#This Row],[FIT]]*24*365/1000000000</f>
        <v>0</v>
      </c>
      <c r="S9" s="8">
        <f>2*Table4[[#This Row],[Mean dist in km from CO]]/Table4[[#This Row],[Avg Travel Speed]]</f>
        <v>0.22500000000000001</v>
      </c>
      <c r="T9" s="8">
        <f>Table4[[#This Row],[MTTR]]+Table4[[#This Row],[Twice Travel Time]]</f>
        <v>6.2249999999999996</v>
      </c>
      <c r="U9" s="8">
        <v>1</v>
      </c>
      <c r="V9" s="8">
        <v>3.8</v>
      </c>
      <c r="W9" s="8">
        <f>Table4[[#This Row],[Cost per hour]]*Table4[[#This Row],[No. Of technicians]]*Table4[[#This Row],[Total Time to Repair(h)]]*Table4[[#This Row],[Failures per year]]</f>
        <v>0</v>
      </c>
      <c r="X9" s="8">
        <v>2</v>
      </c>
      <c r="Y9" s="8">
        <v>7.0000000000000007E-2</v>
      </c>
      <c r="Z9" s="8">
        <v>7.0540000000000005E-2</v>
      </c>
      <c r="AA9" s="8">
        <f>Table4[[#This Row],[Percentage of Business Users]]*Table4[[#This Row],[SLA CU per hour]]*Table4[[#This Row],[Failures per year]]*Table4[[#This Row],[Total Time to Repair(h)]]</f>
        <v>0</v>
      </c>
      <c r="AB9" s="8">
        <f>Table4[[#This Row],[Percentage of ITS and business users]]*Table4[[#This Row],[SLA CU per hour]]*Table4[[#This Row],[Failures per year]]*Table4[[#This Row],[Total Time to Repair(h)]]</f>
        <v>0</v>
      </c>
    </row>
    <row r="10" spans="1:28" x14ac:dyDescent="0.25">
      <c r="A10" t="s">
        <v>13</v>
      </c>
      <c r="B10" s="26" t="s">
        <v>80</v>
      </c>
      <c r="C10">
        <v>1.86</v>
      </c>
      <c r="D10" s="25">
        <v>30000</v>
      </c>
      <c r="E10">
        <v>0</v>
      </c>
      <c r="F10">
        <v>0</v>
      </c>
      <c r="G10">
        <v>0</v>
      </c>
      <c r="H10" s="8">
        <f t="shared" si="0"/>
        <v>0</v>
      </c>
      <c r="I10" s="8">
        <f t="shared" si="2"/>
        <v>5000.5</v>
      </c>
      <c r="J10" s="8">
        <v>6</v>
      </c>
      <c r="K10" s="8">
        <v>256</v>
      </c>
      <c r="L10" s="8">
        <f>4.7*E10</f>
        <v>0</v>
      </c>
      <c r="M10" s="8">
        <f>Table4[[#This Row],[Energy consumption in W]]*24*365/1000</f>
        <v>0</v>
      </c>
      <c r="N10" s="8">
        <f t="shared" si="1"/>
        <v>6.0960000000000007E-3</v>
      </c>
      <c r="O10" s="8">
        <f>Table4[[#This Row],[Yearly Energy Consumption in kWh]]*Table1[[#This Row],[CU/kWh]]</f>
        <v>0</v>
      </c>
      <c r="P10" s="8">
        <v>2.25</v>
      </c>
      <c r="Q10" s="8">
        <v>20</v>
      </c>
      <c r="R10" s="8">
        <f>Table4[[#This Row],[Quantity]]*Table4[[#This Row],[FIT]]*24*365/1000000000</f>
        <v>67.276799999999994</v>
      </c>
      <c r="S10" s="8">
        <f>2*Table4[[#This Row],[Mean dist in km from CO]]/Table4[[#This Row],[Avg Travel Speed]]</f>
        <v>0.22500000000000001</v>
      </c>
      <c r="T10" s="8">
        <f>Table4[[#This Row],[MTTR]]+Table4[[#This Row],[Twice Travel Time]]</f>
        <v>6.2249999999999996</v>
      </c>
      <c r="U10" s="8">
        <v>1</v>
      </c>
      <c r="V10" s="8">
        <v>3.8</v>
      </c>
      <c r="W10" s="8">
        <f>Table4[[#This Row],[Cost per hour]]*Table4[[#This Row],[No. Of technicians]]*Table4[[#This Row],[Total Time to Repair(h)]]*Table4[[#This Row],[Failures per year]]</f>
        <v>1591.4327039999996</v>
      </c>
      <c r="X10" s="8">
        <v>2</v>
      </c>
      <c r="Y10" s="8">
        <v>7.0000000000000007E-2</v>
      </c>
      <c r="Z10" s="8">
        <v>7.0540000000000005E-2</v>
      </c>
      <c r="AA10" s="8">
        <f>Table4[[#This Row],[Percentage of Business Users]]*Table4[[#This Row],[SLA CU per hour]]*Table4[[#This Row],[Failures per year]]*Table4[[#This Row],[Total Time to Repair(h)]]</f>
        <v>58.631731199999997</v>
      </c>
      <c r="AB10" s="8">
        <f>Table4[[#This Row],[Percentage of ITS and business users]]*Table4[[#This Row],[SLA CU per hour]]*Table4[[#This Row],[Failures per year]]*Table4[[#This Row],[Total Time to Repair(h)]]</f>
        <v>59.084033126399994</v>
      </c>
    </row>
    <row r="11" spans="1:28" x14ac:dyDescent="0.25">
      <c r="H11">
        <f>SUBTOTAL(109,Table4[Total Rent cost per year])</f>
        <v>3869</v>
      </c>
      <c r="O11">
        <f>SUBTOTAL(109,Table4[Energy Cost per year in CU])</f>
        <v>11054.532729600003</v>
      </c>
      <c r="W11">
        <f>SUM(Table4[FM Cost])</f>
        <v>1614.9640577759997</v>
      </c>
      <c r="AA11">
        <f>SUBTOTAL(109,Table4[FM Penalty Business])</f>
        <v>59.498675812799995</v>
      </c>
      <c r="AB11">
        <f>SUBTOTAL(109,Table4[FM Penalty ITS])</f>
        <v>59.957665597641594</v>
      </c>
    </row>
    <row r="13" spans="1:28" x14ac:dyDescent="0.25">
      <c r="Q13" t="s">
        <v>70</v>
      </c>
    </row>
    <row r="14" spans="1:28" x14ac:dyDescent="0.25">
      <c r="Q14">
        <f>Table4[[#Totals],[Total Rent cost per year]]+Table4[[#Totals],[Energy Cost per year in CU]]+Table4[[#Totals],[FM Cost]]+J18</f>
        <v>17154.252418373715</v>
      </c>
    </row>
    <row r="15" spans="1:28" x14ac:dyDescent="0.25">
      <c r="A15" s="8" t="s">
        <v>40</v>
      </c>
      <c r="B15" s="8" t="s">
        <v>64</v>
      </c>
      <c r="C15" s="8" t="s">
        <v>17</v>
      </c>
      <c r="D15" s="8" t="s">
        <v>16</v>
      </c>
      <c r="E15" s="8" t="s">
        <v>41</v>
      </c>
      <c r="F15" s="8" t="s">
        <v>30</v>
      </c>
      <c r="G15" s="8" t="s">
        <v>45</v>
      </c>
      <c r="H15" s="8" t="s">
        <v>48</v>
      </c>
      <c r="I15" s="8" t="s">
        <v>49</v>
      </c>
      <c r="J15" s="8" t="s">
        <v>51</v>
      </c>
      <c r="K15" s="8" t="s">
        <v>112</v>
      </c>
      <c r="L15" s="8" t="s">
        <v>118</v>
      </c>
      <c r="M15" s="8" t="s">
        <v>119</v>
      </c>
      <c r="N15" s="8" t="s">
        <v>120</v>
      </c>
      <c r="O15" s="8" t="s">
        <v>121</v>
      </c>
    </row>
    <row r="16" spans="1:28" x14ac:dyDescent="0.25">
      <c r="A16" s="8" t="s">
        <v>42</v>
      </c>
      <c r="B16" s="9">
        <f>72320.0059456714/1000</f>
        <v>72.320005945671397</v>
      </c>
      <c r="C16" s="8">
        <f>570*B16</f>
        <v>41222.403389032697</v>
      </c>
      <c r="D16" s="8">
        <v>24</v>
      </c>
      <c r="E16" s="8">
        <v>1</v>
      </c>
      <c r="F16" s="8">
        <v>3.8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33.207515009141716</v>
      </c>
      <c r="K16" s="8">
        <v>2</v>
      </c>
      <c r="L16" s="8">
        <v>7.0000000000000007E-2</v>
      </c>
      <c r="M16" s="8">
        <v>7.0540000000000005E-2</v>
      </c>
      <c r="N16" s="8">
        <f>L16*K16*I16*C16*24*365/1000000000</f>
        <v>1.2234347634946949</v>
      </c>
      <c r="O16" s="8">
        <f>M16*K16*I16*C16*24*365/1000000000</f>
        <v>1.2328726888130825</v>
      </c>
    </row>
    <row r="17" spans="1:16" x14ac:dyDescent="0.25">
      <c r="A17" s="8" t="s">
        <v>63</v>
      </c>
      <c r="B17" s="9">
        <f>(658286.152663246+20*30000)/1000</f>
        <v>1258.286152663246</v>
      </c>
      <c r="C17" s="8">
        <f>570*B17</f>
        <v>717223.10701805016</v>
      </c>
      <c r="D17" s="8">
        <v>24</v>
      </c>
      <c r="E17" s="8">
        <v>1</v>
      </c>
      <c r="F17" s="8">
        <v>3.8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582.54811598857111</v>
      </c>
      <c r="K17" s="8">
        <v>2</v>
      </c>
      <c r="L17" s="8">
        <v>7.0000000000000007E-2</v>
      </c>
      <c r="M17" s="8">
        <v>7.0540000000000005E-2</v>
      </c>
      <c r="N17" s="8">
        <f>L17*K17*I17*C17*24*365/1000000000</f>
        <v>21.462299010105255</v>
      </c>
      <c r="O17" s="8">
        <f>M17*K17*I17*C17*24*365/1000000000</f>
        <v>21.627865316754644</v>
      </c>
    </row>
    <row r="18" spans="1:16" x14ac:dyDescent="0.25">
      <c r="J18">
        <f>SUM(J16:J17)</f>
        <v>615.75563099771284</v>
      </c>
    </row>
    <row r="20" spans="1:16" x14ac:dyDescent="0.25">
      <c r="M20" s="8" t="s">
        <v>92</v>
      </c>
      <c r="N20" s="8" t="s">
        <v>113</v>
      </c>
      <c r="O20" t="s">
        <v>114</v>
      </c>
      <c r="P20" t="s">
        <v>122</v>
      </c>
    </row>
    <row r="21" spans="1:16" x14ac:dyDescent="0.25">
      <c r="M21" s="8" t="s">
        <v>93</v>
      </c>
      <c r="N21" s="8">
        <f>Table4[[#Totals],[Total Rent cost per year]]</f>
        <v>3869</v>
      </c>
      <c r="O21" s="8">
        <f>Table4[[#Totals],[Total Rent cost per year]]</f>
        <v>3869</v>
      </c>
      <c r="P21" s="8">
        <f>Table4[[#Totals],[Total Rent cost per year]]</f>
        <v>3869</v>
      </c>
    </row>
    <row r="22" spans="1:16" x14ac:dyDescent="0.25">
      <c r="M22" s="8" t="s">
        <v>94</v>
      </c>
      <c r="N22" s="8">
        <f>Table4[[#Totals],[Energy Cost per year in CU]]</f>
        <v>11054.532729600003</v>
      </c>
      <c r="O22" s="8">
        <f>Table4[[#Totals],[Energy Cost per year in CU]]</f>
        <v>11054.532729600003</v>
      </c>
      <c r="P22" s="8">
        <f>Table4[[#Totals],[Energy Cost per year in CU]]</f>
        <v>11054.532729600003</v>
      </c>
    </row>
    <row r="23" spans="1:16" x14ac:dyDescent="0.25">
      <c r="M23" s="8" t="s">
        <v>95</v>
      </c>
      <c r="N23" s="8">
        <f>Table4[[#Totals],[FM Cost]]+J18</f>
        <v>2230.7196887737127</v>
      </c>
      <c r="O23" s="8">
        <f>Table4[[#Totals],[FM Cost]]+$J$18+N16+N17+Table4[[#Totals],[FM Penalty Business]]</f>
        <v>2312.9040983601126</v>
      </c>
      <c r="P23" s="8">
        <f>Table4[[#Totals],[FM Cost]]+$J$18+O16+O17+Table4[[#Totals],[FM Penalty ITS]]</f>
        <v>2313.5380923769221</v>
      </c>
    </row>
    <row r="24" spans="1:16" x14ac:dyDescent="0.25">
      <c r="M24" s="8" t="s">
        <v>96</v>
      </c>
      <c r="N24" s="8">
        <f>0.05*SUM(N21:N23)</f>
        <v>857.71262091868584</v>
      </c>
      <c r="O24" s="8">
        <f>0.05*SUM(O21:O23)</f>
        <v>861.82184139800574</v>
      </c>
      <c r="P24" s="8">
        <f>0.05*SUM(P21:P23)</f>
        <v>861.85354109884634</v>
      </c>
    </row>
    <row r="25" spans="1:16" x14ac:dyDescent="0.25">
      <c r="M25" s="8" t="s">
        <v>97</v>
      </c>
      <c r="N25" s="8">
        <f>0.07*SUM(N21:N23)</f>
        <v>1200.7976692861603</v>
      </c>
      <c r="O25" s="8">
        <f>0.07*SUM(O21:O23)</f>
        <v>1206.5505779572081</v>
      </c>
      <c r="P25" s="8">
        <f>0.07*SUM(P21:P23)</f>
        <v>1206.594957538385</v>
      </c>
    </row>
    <row r="26" spans="1:16" x14ac:dyDescent="0.25">
      <c r="M26" s="8"/>
      <c r="N26" s="31">
        <f>SUM(N21:N25)</f>
        <v>19212.762708578561</v>
      </c>
      <c r="O26" s="31">
        <f>SUM(O21:O25)</f>
        <v>19304.80924731533</v>
      </c>
      <c r="P26" s="31">
        <f>SUM(P21:P25)</f>
        <v>19305.519320614159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J1" workbookViewId="0">
      <selection activeCell="AA2" sqref="AA2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21.42578125" style="8" customWidth="1"/>
    <col min="28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36</v>
      </c>
      <c r="F1" s="8" t="s">
        <v>35</v>
      </c>
      <c r="G1" s="8" t="s">
        <v>37</v>
      </c>
      <c r="H1" s="8" t="s">
        <v>38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112</v>
      </c>
      <c r="Y1" s="8" t="s">
        <v>116</v>
      </c>
      <c r="Z1" s="8" t="s">
        <v>117</v>
      </c>
      <c r="AA1" s="8" t="s">
        <v>33</v>
      </c>
      <c r="AB1" s="8" t="s">
        <v>34</v>
      </c>
    </row>
    <row r="2" spans="1:28" x14ac:dyDescent="0.25">
      <c r="A2" s="8" t="s">
        <v>3</v>
      </c>
      <c r="B2" s="26" t="s">
        <v>59</v>
      </c>
      <c r="C2" s="8">
        <v>80</v>
      </c>
      <c r="D2" s="25">
        <f>54*2</f>
        <v>108</v>
      </c>
      <c r="E2" s="8">
        <v>5</v>
      </c>
      <c r="F2" s="8">
        <f>Table36[[#This Row],[Floor Space per component]]*Table36[[#This Row],[Quantity]]</f>
        <v>540</v>
      </c>
      <c r="G2" s="8">
        <v>10.6</v>
      </c>
      <c r="H2" s="8">
        <f>Table36[[#This Row],[Rent per sqm per year]]*Table36[[#This Row],[Total Floor Space]]</f>
        <v>5724</v>
      </c>
      <c r="I2" s="8">
        <f>0.5+(1/6)*Table36[[#This Row],[Quantity]]</f>
        <v>18.5</v>
      </c>
      <c r="J2" s="8">
        <v>2</v>
      </c>
      <c r="K2" s="8">
        <v>256</v>
      </c>
      <c r="L2" s="8">
        <f>100*Table36[[#This Row],[Quantity]]</f>
        <v>10800</v>
      </c>
      <c r="M2" s="8">
        <f>Table36[[#This Row],[Energy consumption in W]]*24*365/1000</f>
        <v>94608</v>
      </c>
      <c r="N2" s="8">
        <f>0.3048/50</f>
        <v>6.0960000000000007E-3</v>
      </c>
      <c r="O2" s="8">
        <f>Table36[[#This Row],[Yearly Energy Consumption in kWh]]*Table36[[#This Row],[CU/kWh]]</f>
        <v>576.73036800000011</v>
      </c>
      <c r="P2" s="8">
        <v>0</v>
      </c>
      <c r="Q2" s="8">
        <v>20</v>
      </c>
      <c r="R2" s="8">
        <f>Table36[[#This Row],[Quantity]]*(Table36[[#This Row],[FIT]]*24*365)/1000000000</f>
        <v>0.24219647999999999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f>190/50</f>
        <v>3.8</v>
      </c>
      <c r="W2" s="8">
        <f>Table36[[#This Row],[Cost per hour]]*Table36[[#This Row],[Total Time to Repair(h)]]*Table36[[#This Row],[Failures per year]]</f>
        <v>1.8406932479999998</v>
      </c>
      <c r="X2" s="8">
        <v>2</v>
      </c>
      <c r="Y2" s="8">
        <v>7.0000000000000007E-2</v>
      </c>
      <c r="Z2" s="8">
        <v>7.0540000000000005E-2</v>
      </c>
      <c r="AA2" s="8">
        <f>Table36[[#This Row],[Percentage of Business Users]]*Table36[[#This Row],[SLA CU per hour]]*Table36[[#This Row],[Failures per year]]*Table36[[#This Row],[Total Time to Repair(h)]]</f>
        <v>6.7815014399999998E-2</v>
      </c>
      <c r="AB2" s="8">
        <f>Table36[[#This Row],[Percentage of ITS and business users]]*Table36[[#This Row],[SLA CU per hour]]*Table36[[#This Row],[Failures per year]]*Table36[[#This Row],[Total Time to Repair(h)]]</f>
        <v>6.8338158796799997E-2</v>
      </c>
    </row>
    <row r="3" spans="1:28" x14ac:dyDescent="0.25">
      <c r="A3" s="8" t="s">
        <v>3</v>
      </c>
      <c r="B3" s="26" t="s">
        <v>60</v>
      </c>
      <c r="C3" s="8">
        <v>12</v>
      </c>
      <c r="D3" s="25">
        <f>156*2</f>
        <v>312</v>
      </c>
      <c r="E3" s="8">
        <v>0</v>
      </c>
      <c r="F3" s="8">
        <f>Table36[[#This Row],[Floor Space per component]]*Table36[[#This Row],[Quantity]]</f>
        <v>0</v>
      </c>
      <c r="G3" s="8">
        <v>0</v>
      </c>
      <c r="H3" s="8">
        <f>Table36[[#This Row],[Rent per sqm per year]]*Table36[[#This Row],[Total Floor Space]]</f>
        <v>0</v>
      </c>
      <c r="I3" s="8">
        <v>0</v>
      </c>
      <c r="J3" s="8">
        <v>0</v>
      </c>
      <c r="K3" s="8">
        <v>0</v>
      </c>
      <c r="L3" s="8">
        <f>100*Table36[[#This Row],[Quantity]]</f>
        <v>31200</v>
      </c>
      <c r="M3" s="8">
        <f>Table36[[#This Row],[Energy consumption in W]]*24*365/1000</f>
        <v>273312</v>
      </c>
      <c r="N3" s="8">
        <f t="shared" ref="N3:N10" si="0">0.3048/50</f>
        <v>6.0960000000000007E-3</v>
      </c>
      <c r="O3" s="8">
        <f>Table36[[#This Row],[Yearly Energy Consumption in kWh]]*Table36[[#This Row],[CU/kWh]]</f>
        <v>1666.1099520000002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f t="shared" ref="V3:V10" si="1">190/50</f>
        <v>3.8</v>
      </c>
      <c r="W3" s="8">
        <f>Table36[[#This Row],[Cost per hour]]*Table36[[#This Row],[Total Time to Repair(h)]]*Table36[[#This Row],[Failures per year]]</f>
        <v>0</v>
      </c>
      <c r="X3" s="8">
        <v>2</v>
      </c>
      <c r="Y3" s="8">
        <v>7.0000000000000007E-2</v>
      </c>
      <c r="Z3" s="8">
        <v>7.0540000000000005E-2</v>
      </c>
      <c r="AA3" s="8">
        <f>Table36[[#This Row],[Percentage of Business Users]]*Table36[[#This Row],[SLA CU per hour]]*Table36[[#This Row],[Failures per year]]*Table36[[#This Row],[Total Time to Repair(h)]]</f>
        <v>0</v>
      </c>
      <c r="AB3" s="8">
        <f>Table36[[#This Row],[Percentage of ITS and business users]]*Table36[[#This Row],[SLA CU per hour]]*Table36[[#This Row],[Failures per year]]*Table36[[#This Row],[Total Time to Repair(h)]]</f>
        <v>0</v>
      </c>
    </row>
    <row r="4" spans="1:28" x14ac:dyDescent="0.25">
      <c r="A4" s="8" t="s">
        <v>3</v>
      </c>
      <c r="B4" s="26" t="s">
        <v>6</v>
      </c>
      <c r="C4" s="8">
        <v>1.1111111E-2</v>
      </c>
      <c r="D4" s="25">
        <v>3120</v>
      </c>
      <c r="E4" s="8">
        <v>0</v>
      </c>
      <c r="F4" s="8">
        <f>Table36[[#This Row],[Floor Space per component]]*Table36[[#This Row],[Quantity]]</f>
        <v>0</v>
      </c>
      <c r="G4" s="8">
        <v>0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3120</v>
      </c>
      <c r="M4" s="8">
        <f>Table36[[#This Row],[Energy consumption in W]]*24*365/1000</f>
        <v>27331.200000000001</v>
      </c>
      <c r="N4" s="8">
        <f t="shared" si="0"/>
        <v>6.0960000000000007E-3</v>
      </c>
      <c r="O4" s="8">
        <f>Table36[[#This Row],[Yearly Energy Consumption in kWh]]*Table36[[#This Row],[CU/kWh]]</f>
        <v>166.61099520000002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f t="shared" si="1"/>
        <v>3.8</v>
      </c>
      <c r="W4" s="8">
        <f>Table36[[#This Row],[Cost per hour]]*Table36[[#This Row],[Total Time to Repair(h)]]*Table36[[#This Row],[Failures per year]]</f>
        <v>0</v>
      </c>
      <c r="X4" s="8">
        <v>2</v>
      </c>
      <c r="Y4" s="8">
        <v>7.0000000000000007E-2</v>
      </c>
      <c r="Z4" s="8">
        <v>7.0540000000000005E-2</v>
      </c>
      <c r="AA4" s="8">
        <f>Table36[[#This Row],[Percentage of Business Users]]*Table36[[#This Row],[SLA CU per hour]]*Table36[[#This Row],[Failures per year]]*Table36[[#This Row],[Total Time to Repair(h)]]</f>
        <v>0</v>
      </c>
      <c r="AB4" s="8">
        <f>Table36[[#This Row],[Percentage of ITS and business users]]*Table36[[#This Row],[SLA CU per hour]]*Table36[[#This Row],[Failures per year]]*Table36[[#This Row],[Total Time to Repair(h)]]</f>
        <v>0</v>
      </c>
    </row>
    <row r="5" spans="1:28" x14ac:dyDescent="0.25">
      <c r="A5" s="8" t="s">
        <v>3</v>
      </c>
      <c r="B5" s="26" t="s">
        <v>7</v>
      </c>
      <c r="C5" s="8">
        <v>200</v>
      </c>
      <c r="D5" s="25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6.0960000000000007E-3</v>
      </c>
      <c r="O5" s="8">
        <f>Table36[[#This Row],[Yearly Energy Consumption in kWh]]*Table36[[#This Row],[CU/kWh]]</f>
        <v>5.3400960000000008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f t="shared" si="1"/>
        <v>3.8</v>
      </c>
      <c r="W5" s="8">
        <f>Table36[[#This Row],[Cost per hour]]*Table36[[#This Row],[Total Time to Repair(h)]]*Table36[[#This Row],[Failures per year]]</f>
        <v>0</v>
      </c>
      <c r="X5" s="8">
        <v>2</v>
      </c>
      <c r="Y5" s="8">
        <v>7.0000000000000007E-2</v>
      </c>
      <c r="Z5" s="8">
        <v>7.0540000000000005E-2</v>
      </c>
      <c r="AA5" s="8">
        <f>Table36[[#This Row],[Percentage of Business Users]]*Table36[[#This Row],[SLA CU per hour]]*Table36[[#This Row],[Failures per year]]*Table36[[#This Row],[Total Time to Repair(h)]]</f>
        <v>0</v>
      </c>
      <c r="AB5" s="8">
        <f>Table36[[#This Row],[Percentage of ITS and business users]]*Table36[[#This Row],[SLA CU per hour]]*Table36[[#This Row],[Failures per year]]*Table36[[#This Row],[Total Time to Repair(h)]]</f>
        <v>0</v>
      </c>
    </row>
    <row r="6" spans="1:28" x14ac:dyDescent="0.25">
      <c r="A6" s="8" t="s">
        <v>8</v>
      </c>
      <c r="B6" s="26" t="s">
        <v>9</v>
      </c>
      <c r="C6" s="8">
        <v>1.8</v>
      </c>
      <c r="D6" s="25">
        <f>156*2</f>
        <v>312</v>
      </c>
      <c r="E6" s="8">
        <v>0</v>
      </c>
      <c r="F6" s="8">
        <f>Table36[[#This Row],[Floor Space per component]]*Table36[[#This Row],[Quantity]]</f>
        <v>0</v>
      </c>
      <c r="G6" s="8">
        <v>0</v>
      </c>
      <c r="H6" s="8">
        <f>Table36[[#This Row],[Rent per sqm per year]]*Table36[[#This Row],[Total Floor Space]]</f>
        <v>0</v>
      </c>
      <c r="I6" s="8">
        <f>1/6*(1+Table36[[#This Row],[Quantity]])</f>
        <v>52.166666666666664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6.0960000000000007E-3</v>
      </c>
      <c r="O6" s="8">
        <f>Table36[[#This Row],[Yearly Energy Consumption in kWh]]*Table36[[#This Row],[CU/kWh]]</f>
        <v>0</v>
      </c>
      <c r="P6" s="8">
        <v>1.5</v>
      </c>
      <c r="Q6" s="8">
        <v>20</v>
      </c>
      <c r="R6" s="8">
        <f>Table36[[#This Row],[Quantity]]*(Table36[[#This Row],[FIT]]*24*365)/1000000000</f>
        <v>0.136656</v>
      </c>
      <c r="S6" s="8">
        <f>2*Table36[[#This Row],[Mean dist in km from CO]]/Table36[[#This Row],[Avg Travel Speed]]</f>
        <v>0.15</v>
      </c>
      <c r="T6" s="8">
        <f>Table36[[#This Row],[MTTR]]+Table36[[#This Row],[Twice Travel Time]]</f>
        <v>6.15</v>
      </c>
      <c r="U6" s="8">
        <v>1</v>
      </c>
      <c r="V6" s="8">
        <f t="shared" si="1"/>
        <v>3.8</v>
      </c>
      <c r="W6" s="8">
        <f>Table36[[#This Row],[Cost per hour]]*Table36[[#This Row],[Total Time to Repair(h)]]*Table36[[#This Row],[Failures per year]]</f>
        <v>3.1936507199999999</v>
      </c>
      <c r="X6" s="8">
        <v>2</v>
      </c>
      <c r="Y6" s="8">
        <v>7.0000000000000007E-2</v>
      </c>
      <c r="Z6" s="8">
        <v>7.0540000000000005E-2</v>
      </c>
      <c r="AA6" s="8">
        <f>Table36[[#This Row],[Percentage of Business Users]]*Table36[[#This Row],[SLA CU per hour]]*Table36[[#This Row],[Failures per year]]*Table36[[#This Row],[Total Time to Repair(h)]]</f>
        <v>0.11766081600000002</v>
      </c>
      <c r="AB6" s="8">
        <f>Table36[[#This Row],[Percentage of ITS and business users]]*Table36[[#This Row],[SLA CU per hour]]*Table36[[#This Row],[Failures per year]]*Table36[[#This Row],[Total Time to Repair(h)]]</f>
        <v>0.11856848515200002</v>
      </c>
    </row>
    <row r="7" spans="1:28" x14ac:dyDescent="0.25">
      <c r="A7" s="8" t="s">
        <v>8</v>
      </c>
      <c r="B7" s="26" t="s">
        <v>60</v>
      </c>
      <c r="C7" s="8">
        <v>12</v>
      </c>
      <c r="D7" s="25">
        <f>156*2</f>
        <v>312</v>
      </c>
      <c r="E7" s="8">
        <v>0</v>
      </c>
      <c r="F7" s="8">
        <f>Table36[[#This Row],[Floor Space per component]]*Table36[[#This Row],[Quantity]]</f>
        <v>0</v>
      </c>
      <c r="G7" s="8">
        <v>0</v>
      </c>
      <c r="H7" s="8">
        <f>Table36[[#This Row],[Rent per sqm per year]]*Table36[[#This Row],[Total Floor Space]]</f>
        <v>0</v>
      </c>
      <c r="I7" s="8">
        <v>0</v>
      </c>
      <c r="J7" s="8">
        <v>0</v>
      </c>
      <c r="K7" s="8">
        <v>0</v>
      </c>
      <c r="L7" s="8">
        <f>4.5*Table36[[#This Row],[Quantity]]</f>
        <v>1404</v>
      </c>
      <c r="M7" s="8">
        <f>Table36[[#This Row],[Energy consumption in W]]*24*365/1000</f>
        <v>12299.04</v>
      </c>
      <c r="N7" s="8">
        <f t="shared" si="0"/>
        <v>6.0960000000000007E-3</v>
      </c>
      <c r="O7" s="8">
        <f>Table36[[#This Row],[Yearly Energy Consumption in kWh]]*Table36[[#This Row],[CU/kWh]]</f>
        <v>74.974947840000013</v>
      </c>
      <c r="P7" s="8">
        <v>1.5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0.15</v>
      </c>
      <c r="T7" s="8">
        <f>Table36[[#This Row],[MTTR]]+Table36[[#This Row],[Twice Travel Time]]</f>
        <v>0.15</v>
      </c>
      <c r="U7" s="8">
        <v>1</v>
      </c>
      <c r="V7" s="8">
        <f t="shared" si="1"/>
        <v>3.8</v>
      </c>
      <c r="W7" s="8">
        <f>Table36[[#This Row],[Cost per hour]]*Table36[[#This Row],[Total Time to Repair(h)]]*Table36[[#This Row],[Failures per year]]</f>
        <v>0</v>
      </c>
      <c r="X7" s="8">
        <v>2</v>
      </c>
      <c r="Y7" s="8">
        <v>7.0000000000000007E-2</v>
      </c>
      <c r="Z7" s="8">
        <v>7.0540000000000005E-2</v>
      </c>
      <c r="AA7" s="8">
        <f>Table36[[#This Row],[Percentage of Business Users]]*Table36[[#This Row],[SLA CU per hour]]*Table36[[#This Row],[Failures per year]]*Table36[[#This Row],[Total Time to Repair(h)]]</f>
        <v>0</v>
      </c>
      <c r="AB7" s="8">
        <f>Table36[[#This Row],[Percentage of ITS and business users]]*Table36[[#This Row],[SLA CU per hour]]*Table36[[#This Row],[Failures per year]]*Table36[[#This Row],[Total Time to Repair(h)]]</f>
        <v>0</v>
      </c>
    </row>
    <row r="8" spans="1:28" x14ac:dyDescent="0.25">
      <c r="A8" s="8" t="s">
        <v>10</v>
      </c>
      <c r="B8" s="26" t="s">
        <v>9</v>
      </c>
      <c r="C8" s="8">
        <v>1.8</v>
      </c>
      <c r="D8" s="25">
        <f>610*2</f>
        <v>1220</v>
      </c>
      <c r="E8" s="8">
        <v>0</v>
      </c>
      <c r="F8" s="8">
        <f>Table36[[#This Row],[Floor Space per component]]*Table36[[#This Row],[Quantity]]</f>
        <v>0</v>
      </c>
      <c r="G8" s="8">
        <v>0</v>
      </c>
      <c r="H8" s="8">
        <f>Table36[[#This Row],[Rent per sqm per year]]*Table36[[#This Row],[Total Floor Space]]</f>
        <v>0</v>
      </c>
      <c r="I8" s="8">
        <f>1/6*(1+Table36[[#This Row],[Quantity]])</f>
        <v>203.5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6.0960000000000007E-3</v>
      </c>
      <c r="O8" s="8">
        <f>Table36[[#This Row],[Yearly Energy Consumption in kWh]]*Table36[[#This Row],[CU/kWh]]</f>
        <v>0</v>
      </c>
      <c r="P8" s="8">
        <v>2</v>
      </c>
      <c r="Q8" s="8">
        <v>20</v>
      </c>
      <c r="R8" s="8">
        <f>Table36[[#This Row],[Quantity]]*(Table36[[#This Row],[FIT]]*24*365)/1000000000</f>
        <v>0.53435999999999995</v>
      </c>
      <c r="S8" s="8">
        <f>2*Table36[[#This Row],[Mean dist in km from CO]]/Table36[[#This Row],[Avg Travel Speed]]</f>
        <v>0.2</v>
      </c>
      <c r="T8" s="8">
        <f>Table36[[#This Row],[MTTR]]+Table36[[#This Row],[Twice Travel Time]]</f>
        <v>6.2</v>
      </c>
      <c r="U8" s="8">
        <v>1</v>
      </c>
      <c r="V8" s="8">
        <f t="shared" si="1"/>
        <v>3.8</v>
      </c>
      <c r="W8" s="8">
        <f>Table36[[#This Row],[Cost per hour]]*Table36[[#This Row],[Total Time to Repair(h)]]*Table36[[#This Row],[Failures per year]]</f>
        <v>12.589521599999998</v>
      </c>
      <c r="X8" s="8">
        <v>2</v>
      </c>
      <c r="Y8" s="8">
        <v>7.0000000000000007E-2</v>
      </c>
      <c r="Z8" s="8">
        <v>7.0540000000000005E-2</v>
      </c>
      <c r="AA8" s="8">
        <f>Table36[[#This Row],[Percentage of Business Users]]*Table36[[#This Row],[SLA CU per hour]]*Table36[[#This Row],[Failures per year]]*Table36[[#This Row],[Total Time to Repair(h)]]</f>
        <v>0.46382447999999998</v>
      </c>
      <c r="AB8" s="8">
        <f>Table36[[#This Row],[Percentage of ITS and business users]]*Table36[[#This Row],[SLA CU per hour]]*Table36[[#This Row],[Failures per year]]*Table36[[#This Row],[Total Time to Repair(h)]]</f>
        <v>0.46740255456000002</v>
      </c>
    </row>
    <row r="9" spans="1:28" x14ac:dyDescent="0.25">
      <c r="A9" s="8" t="s">
        <v>13</v>
      </c>
      <c r="B9" s="26" t="s">
        <v>9</v>
      </c>
      <c r="C9" s="8">
        <v>10</v>
      </c>
      <c r="D9" s="25">
        <v>5000</v>
      </c>
      <c r="E9" s="8">
        <v>0</v>
      </c>
      <c r="F9" s="8">
        <f>Table36[[#This Row],[Floor Space per component]]*Table36[[#This Row],[Quantity]]</f>
        <v>0</v>
      </c>
      <c r="G9" s="8">
        <v>4</v>
      </c>
      <c r="H9" s="8">
        <f>Table36[[#This Row],[Rent per sqm per year]]*Table36[[#This Row],[Total Floor Space]]</f>
        <v>0</v>
      </c>
      <c r="I9" s="8">
        <f>(0.5+1/6*8)*Table36[[#This Row],[Quantity]]</f>
        <v>9166.6666666666661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6.0960000000000007E-3</v>
      </c>
      <c r="O9" s="8">
        <f>Table36[[#This Row],[Yearly Energy Consumption in kWh]]*Table36[[#This Row],[CU/kWh]]</f>
        <v>0</v>
      </c>
      <c r="P9" s="8">
        <v>2.25</v>
      </c>
      <c r="Q9" s="8">
        <v>20</v>
      </c>
      <c r="R9" s="8">
        <f>Table36[[#This Row],[Quantity]]*(Table36[[#This Row],[FIT]]*24*365)/1000000000</f>
        <v>2.19</v>
      </c>
      <c r="S9" s="8">
        <f>2*Table36[[#This Row],[Mean dist in km from CO]]/Table36[[#This Row],[Avg Travel Speed]]</f>
        <v>0.22500000000000001</v>
      </c>
      <c r="T9" s="8">
        <f>Table36[[#This Row],[MTTR]]+Table36[[#This Row],[Twice Travel Time]]</f>
        <v>6.2249999999999996</v>
      </c>
      <c r="U9" s="8">
        <v>1</v>
      </c>
      <c r="V9" s="8">
        <f t="shared" si="1"/>
        <v>3.8</v>
      </c>
      <c r="W9" s="8">
        <f>Table36[[#This Row],[Cost per hour]]*Table36[[#This Row],[Total Time to Repair(h)]]*Table36[[#This Row],[Failures per year]]</f>
        <v>51.804449999999996</v>
      </c>
      <c r="X9" s="8">
        <v>2</v>
      </c>
      <c r="Y9" s="8">
        <v>7.0000000000000007E-2</v>
      </c>
      <c r="Z9" s="8">
        <v>7.0540000000000005E-2</v>
      </c>
      <c r="AA9" s="8">
        <f>Table36[[#This Row],[Percentage of Business Users]]*Table36[[#This Row],[SLA CU per hour]]*Table36[[#This Row],[Failures per year]]*Table36[[#This Row],[Total Time to Repair(h)]]</f>
        <v>1.9085850000000002</v>
      </c>
      <c r="AB9" s="8">
        <f>Table36[[#This Row],[Percentage of ITS and business users]]*Table36[[#This Row],[SLA CU per hour]]*Table36[[#This Row],[Failures per year]]*Table36[[#This Row],[Total Time to Repair(h)]]</f>
        <v>1.9233083699999998</v>
      </c>
    </row>
    <row r="10" spans="1:28" x14ac:dyDescent="0.25">
      <c r="A10" s="8" t="s">
        <v>13</v>
      </c>
      <c r="B10" s="26" t="s">
        <v>62</v>
      </c>
      <c r="C10" s="8">
        <v>2.1</v>
      </c>
      <c r="D10" s="25">
        <v>30000</v>
      </c>
      <c r="E10" s="8">
        <v>0</v>
      </c>
      <c r="F10" s="8">
        <f>Table36[[#This Row],[Floor Space per component]]*Table36[[#This Row],[Quantity]]</f>
        <v>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30000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6.0960000000000007E-3</v>
      </c>
      <c r="O10" s="8">
        <f>Table36[[#This Row],[Yearly Energy Consumption in kWh]]*Table36[[#This Row],[CU/kWh]]</f>
        <v>0</v>
      </c>
      <c r="P10" s="8">
        <v>2.25</v>
      </c>
      <c r="Q10" s="8">
        <v>20</v>
      </c>
      <c r="R10" s="8">
        <f>Table36[[#This Row],[Quantity]]*(Table36[[#This Row],[FIT]]*24*365)/1000000000</f>
        <v>67.276799999999994</v>
      </c>
      <c r="S10" s="8">
        <f>2*Table36[[#This Row],[Mean dist in km from CO]]/Table36[[#This Row],[Avg Travel Speed]]</f>
        <v>0.22500000000000001</v>
      </c>
      <c r="T10" s="8">
        <f>Table36[[#This Row],[MTTR]]+Table36[[#This Row],[Twice Travel Time]]</f>
        <v>6.2249999999999996</v>
      </c>
      <c r="U10" s="8">
        <v>1</v>
      </c>
      <c r="V10" s="8">
        <f t="shared" si="1"/>
        <v>3.8</v>
      </c>
      <c r="W10" s="8">
        <f>Table36[[#This Row],[Cost per hour]]*Table36[[#This Row],[Total Time to Repair(h)]]*Table36[[#This Row],[Failures per year]]</f>
        <v>1591.4327039999996</v>
      </c>
      <c r="X10" s="8">
        <v>2</v>
      </c>
      <c r="Y10" s="8">
        <v>7.0000000000000007E-2</v>
      </c>
      <c r="Z10" s="8">
        <v>7.0540000000000005E-2</v>
      </c>
      <c r="AA10" s="8">
        <f>Table36[[#This Row],[Percentage of Business Users]]*Table36[[#This Row],[SLA CU per hour]]*Table36[[#This Row],[Failures per year]]*Table36[[#This Row],[Total Time to Repair(h)]]</f>
        <v>58.631731199999997</v>
      </c>
      <c r="AB10" s="8">
        <f>Table36[[#This Row],[Percentage of ITS and business users]]*Table36[[#This Row],[SLA CU per hour]]*Table36[[#This Row],[Failures per year]]*Table36[[#This Row],[Total Time to Repair(h)]]</f>
        <v>59.084033126399994</v>
      </c>
    </row>
    <row r="11" spans="1:28" x14ac:dyDescent="0.25">
      <c r="H11" s="8">
        <f>SUM(Table36[Total Rent cost per year])</f>
        <v>5936</v>
      </c>
      <c r="O11" s="8">
        <f>SUBTOTAL(109,Table36[Energy Cost per year in CU])</f>
        <v>2489.7663590400002</v>
      </c>
      <c r="W11" s="8">
        <f>SUBTOTAL(109,Table36[FM Cost])</f>
        <v>1660.8610195679996</v>
      </c>
      <c r="AA11" s="8">
        <f>SUBTOTAL(109,Table36[FM Penalty Business])</f>
        <v>61.1896165104</v>
      </c>
      <c r="AB11" s="8">
        <f>SUBTOTAL(109,Table36[FM Penalty ITS])</f>
        <v>61.661650694908793</v>
      </c>
    </row>
    <row r="14" spans="1:28" x14ac:dyDescent="0.25">
      <c r="A14" s="8" t="s">
        <v>39</v>
      </c>
      <c r="B14" s="8" t="s">
        <v>64</v>
      </c>
      <c r="C14" s="8" t="s">
        <v>65</v>
      </c>
      <c r="D14" s="8" t="s">
        <v>17</v>
      </c>
      <c r="E14" s="8" t="s">
        <v>66</v>
      </c>
      <c r="F14" s="8" t="s">
        <v>26</v>
      </c>
      <c r="G14" s="8" t="s">
        <v>67</v>
      </c>
      <c r="H14" s="8" t="s">
        <v>68</v>
      </c>
      <c r="I14" s="8" t="s">
        <v>69</v>
      </c>
      <c r="M14" s="8" t="s">
        <v>70</v>
      </c>
    </row>
    <row r="15" spans="1:28" x14ac:dyDescent="0.25">
      <c r="B15" s="9">
        <f>171056.493544313/1000</f>
        <v>171.05649354431301</v>
      </c>
      <c r="C15" s="8">
        <v>570</v>
      </c>
      <c r="E15" s="8">
        <v>20</v>
      </c>
      <c r="M15" s="8">
        <f>Table36[[#Totals],[Total Rent cost per year]]+Table36[[#Totals],[Energy Cost per year in CU]]+Table36[[#Totals],[FM Cost]]+I23</f>
        <v>10659.74882949984</v>
      </c>
    </row>
    <row r="16" spans="1:28" x14ac:dyDescent="0.25">
      <c r="B16" s="9">
        <f>85582.6331149716/1000</f>
        <v>85.5826331149716</v>
      </c>
      <c r="C16" s="8">
        <v>570</v>
      </c>
      <c r="E16" s="8">
        <v>20</v>
      </c>
    </row>
    <row r="17" spans="1:19" x14ac:dyDescent="0.25">
      <c r="B17" s="9">
        <f>(384090.367674523+20*30000)/1000</f>
        <v>984.09036767452301</v>
      </c>
      <c r="C17" s="8">
        <v>570</v>
      </c>
      <c r="E17" s="8">
        <v>20</v>
      </c>
    </row>
    <row r="19" spans="1:19" x14ac:dyDescent="0.25">
      <c r="A19" s="8" t="s">
        <v>40</v>
      </c>
      <c r="B19" s="8" t="s">
        <v>17</v>
      </c>
      <c r="C19" s="8" t="s">
        <v>16</v>
      </c>
      <c r="D19" s="8" t="s">
        <v>41</v>
      </c>
      <c r="E19" s="8" t="s">
        <v>30</v>
      </c>
      <c r="F19" s="8" t="s">
        <v>45</v>
      </c>
      <c r="G19" s="8" t="s">
        <v>48</v>
      </c>
      <c r="H19" s="8" t="s">
        <v>49</v>
      </c>
      <c r="I19" s="8" t="s">
        <v>51</v>
      </c>
      <c r="J19" s="8" t="s">
        <v>112</v>
      </c>
      <c r="K19" s="8" t="s">
        <v>118</v>
      </c>
      <c r="L19" s="8" t="s">
        <v>119</v>
      </c>
      <c r="M19" s="8" t="s">
        <v>120</v>
      </c>
      <c r="N19" s="8" t="s">
        <v>121</v>
      </c>
      <c r="O19" s="8" t="s">
        <v>112</v>
      </c>
      <c r="P19" s="8" t="s">
        <v>118</v>
      </c>
      <c r="Q19" s="8" t="s">
        <v>119</v>
      </c>
      <c r="R19" s="8" t="s">
        <v>120</v>
      </c>
      <c r="S19" s="8" t="s">
        <v>121</v>
      </c>
    </row>
    <row r="20" spans="1:19" x14ac:dyDescent="0.25">
      <c r="A20" s="8" t="s">
        <v>42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  <c r="J20" s="8">
        <v>2</v>
      </c>
      <c r="K20" s="8">
        <v>7.0000000000000007E-2</v>
      </c>
      <c r="L20" s="8">
        <v>7.0250000000000007E-2</v>
      </c>
      <c r="M20" s="8">
        <f>K20*J20*H20*B20*24*365/1000000000</f>
        <v>2.8817984627498752</v>
      </c>
      <c r="N20" s="8">
        <f>L20*J20*H20*B20*24*365/1000000000</f>
        <v>2.8920906001168385</v>
      </c>
      <c r="O20" s="8">
        <v>2</v>
      </c>
      <c r="P20" s="8">
        <v>7.0000000000000007E-2</v>
      </c>
      <c r="Q20" s="8">
        <v>7.0250000000000007E-2</v>
      </c>
      <c r="R20" s="8">
        <f>P20*O20*M20*G20*24*365/1000000000</f>
        <v>3.5342376347164477E-7</v>
      </c>
      <c r="S20" s="8">
        <f>Q20*O20*M20*G20*24*365/1000000000</f>
        <v>3.5468599119832914E-7</v>
      </c>
    </row>
    <row r="21" spans="1:19" x14ac:dyDescent="0.25">
      <c r="A21" s="8" t="s">
        <v>43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J21" s="8">
        <v>2</v>
      </c>
      <c r="K21" s="8">
        <v>7.0000000000000007E-2</v>
      </c>
      <c r="L21" s="8">
        <v>7.0250000000000007E-2</v>
      </c>
      <c r="M21" s="8">
        <f t="shared" ref="M21" si="4">K21*J21*H21*B21*24*365/1000000000</f>
        <v>1.4477981180328632</v>
      </c>
      <c r="N21" s="8">
        <f t="shared" ref="N21:N22" si="5">L21*J21*H21*B21*24*365/1000000000</f>
        <v>1.4529688255972659</v>
      </c>
      <c r="O21" s="8">
        <v>2</v>
      </c>
      <c r="P21" s="8">
        <v>7.0000000000000007E-2</v>
      </c>
      <c r="Q21" s="8">
        <v>7.0250000000000007E-2</v>
      </c>
      <c r="R21" s="8">
        <f t="shared" ref="R21:R22" si="6">P21*O21*M21*G21*24*365/1000000000</f>
        <v>3.5511592239110073E-7</v>
      </c>
      <c r="S21" s="8">
        <f t="shared" ref="S21:S22" si="7">Q21*O21*M21*G21*24*365/1000000000</f>
        <v>3.5638419354249753E-7</v>
      </c>
    </row>
    <row r="22" spans="1:19" x14ac:dyDescent="0.25">
      <c r="A22" s="8" t="s">
        <v>63</v>
      </c>
      <c r="B22" s="8">
        <f>C17*B17</f>
        <v>560931.50957447814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455.60382941345154</v>
      </c>
      <c r="J22" s="8">
        <v>2</v>
      </c>
      <c r="K22" s="8">
        <v>7.0000000000000007E-2</v>
      </c>
      <c r="L22" s="8">
        <v>7.0250000000000007E-2</v>
      </c>
      <c r="M22" s="8">
        <f>K22*J22*H22*B22*24*365/1000000000</f>
        <v>16.785404241548214</v>
      </c>
      <c r="N22" s="8">
        <f t="shared" si="5"/>
        <v>16.845352113839461</v>
      </c>
      <c r="O22" s="8">
        <v>2</v>
      </c>
      <c r="P22" s="8">
        <v>7.0000000000000007E-2</v>
      </c>
      <c r="Q22" s="8">
        <v>7.0250000000000007E-2</v>
      </c>
      <c r="R22" s="8">
        <f t="shared" si="6"/>
        <v>8.2342479047338922E-6</v>
      </c>
      <c r="S22" s="8">
        <f t="shared" si="7"/>
        <v>8.2636559329650856E-6</v>
      </c>
    </row>
    <row r="23" spans="1:19" x14ac:dyDescent="0.25">
      <c r="I23" s="8">
        <f>SUM(I20:I22)</f>
        <v>573.12145089184014</v>
      </c>
    </row>
    <row r="32" spans="1:19" x14ac:dyDescent="0.25">
      <c r="B32" s="9"/>
      <c r="C32" s="9"/>
      <c r="D32" s="9"/>
    </row>
    <row r="35" spans="12:15" x14ac:dyDescent="0.25">
      <c r="L35" s="8" t="s">
        <v>92</v>
      </c>
      <c r="M35" s="8" t="s">
        <v>113</v>
      </c>
      <c r="N35" s="8" t="s">
        <v>114</v>
      </c>
      <c r="O35" s="8" t="s">
        <v>122</v>
      </c>
    </row>
    <row r="36" spans="12:15" x14ac:dyDescent="0.25">
      <c r="L36" s="8" t="s">
        <v>93</v>
      </c>
      <c r="M36" s="8">
        <f>Table36[[#Totals],[Total Rent cost per year]]</f>
        <v>5936</v>
      </c>
      <c r="N36" s="8">
        <f>Table36[[#Totals],[Total Rent cost per year]]</f>
        <v>5936</v>
      </c>
      <c r="O36" s="8">
        <f>Table36[[#Totals],[Total Rent cost per year]]</f>
        <v>5936</v>
      </c>
    </row>
    <row r="37" spans="12:15" x14ac:dyDescent="0.25">
      <c r="L37" s="8" t="s">
        <v>94</v>
      </c>
      <c r="M37" s="8">
        <f>Table36[[#Totals],[Energy Cost per year in CU]]</f>
        <v>2489.7663590400002</v>
      </c>
      <c r="N37" s="8">
        <f>Table36[[#Totals],[Energy Cost per year in CU]]</f>
        <v>2489.7663590400002</v>
      </c>
      <c r="O37" s="8">
        <f>Table36[[#Totals],[Energy Cost per year in CU]]</f>
        <v>2489.7663590400002</v>
      </c>
    </row>
    <row r="38" spans="12:15" x14ac:dyDescent="0.25">
      <c r="L38" s="8" t="s">
        <v>95</v>
      </c>
      <c r="M38" s="8">
        <f>Table36[[#Totals],[FM Cost]]+I23</f>
        <v>2233.9824704598395</v>
      </c>
      <c r="N38" s="8">
        <f>Table36[[#Totals],[FM Cost]]+$I$23+M20+M21+M22+Table36[[#Totals],[FM Penalty Business]]</f>
        <v>2316.2870877925707</v>
      </c>
      <c r="O38" s="8">
        <f>Table36[[#Totals],[FM Cost]]+$I$23+N20+N21+N22+Table36[[#Totals],[FM Penalty ITS]]</f>
        <v>2316.8345326943017</v>
      </c>
    </row>
    <row r="39" spans="12:15" x14ac:dyDescent="0.25">
      <c r="L39" s="8" t="s">
        <v>96</v>
      </c>
      <c r="M39" s="8">
        <f>0.05*SUM(M36:M38)</f>
        <v>532.98744147499201</v>
      </c>
      <c r="N39" s="8">
        <f>0.05*SUM(N36:N38)</f>
        <v>537.10267234162859</v>
      </c>
      <c r="O39" s="8">
        <f>0.05*SUM(O36:O38)</f>
        <v>537.13004458671514</v>
      </c>
    </row>
    <row r="40" spans="12:15" x14ac:dyDescent="0.25">
      <c r="L40" s="8" t="s">
        <v>97</v>
      </c>
      <c r="M40" s="8">
        <f>0.07*SUM(M36:M38)</f>
        <v>746.18241806498884</v>
      </c>
      <c r="N40" s="8">
        <f>0.07*SUM(N36:N38)</f>
        <v>751.94374127828007</v>
      </c>
      <c r="O40" s="8">
        <f>0.07*SUM(O36:O38)</f>
        <v>751.98206242140122</v>
      </c>
    </row>
    <row r="41" spans="12:15" x14ac:dyDescent="0.25">
      <c r="M41" s="31">
        <f>SUM(M36:M40)</f>
        <v>11938.918689039821</v>
      </c>
      <c r="N41" s="31">
        <f>SUM(N36:N40)</f>
        <v>12031.099860452481</v>
      </c>
      <c r="O41" s="31">
        <f>SUM(O36:O40)</f>
        <v>12031.712998742418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G1" workbookViewId="0">
      <selection activeCell="R32" sqref="R32"/>
    </sheetView>
  </sheetViews>
  <sheetFormatPr defaultColWidth="8.85546875" defaultRowHeight="15" x14ac:dyDescent="0.25"/>
  <cols>
    <col min="1" max="1" width="23.28515625" style="8" customWidth="1"/>
    <col min="2" max="2" width="19.28515625" style="8" customWidth="1"/>
    <col min="3" max="3" width="21.28515625" style="8" customWidth="1"/>
    <col min="4" max="4" width="10.85546875" style="8" customWidth="1"/>
    <col min="5" max="8" width="18" style="8" customWidth="1"/>
    <col min="9" max="9" width="20.7109375" style="8" customWidth="1"/>
    <col min="10" max="10" width="21" style="8" customWidth="1"/>
    <col min="11" max="11" width="20" style="8" customWidth="1"/>
    <col min="12" max="12" width="17.140625" style="8" customWidth="1"/>
    <col min="13" max="13" width="20.85546875" style="8" customWidth="1"/>
    <col min="14" max="14" width="24.140625" style="8" customWidth="1"/>
    <col min="15" max="15" width="26.42578125" style="8" customWidth="1"/>
    <col min="16" max="16" width="21.140625" style="8" customWidth="1"/>
    <col min="17" max="17" width="14.85546875" style="8" customWidth="1"/>
    <col min="18" max="18" width="23.5703125" style="8" customWidth="1"/>
    <col min="19" max="19" width="19.7109375" style="8" customWidth="1"/>
    <col min="20" max="20" width="7.5703125" style="8" customWidth="1"/>
    <col min="21" max="21" width="8.85546875" style="8"/>
    <col min="22" max="23" width="16.7109375" style="8" customWidth="1"/>
    <col min="24" max="25" width="8.85546875" style="8"/>
    <col min="26" max="26" width="14.42578125" style="8" customWidth="1"/>
    <col min="27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36</v>
      </c>
      <c r="F1" s="8" t="s">
        <v>35</v>
      </c>
      <c r="G1" s="8" t="s">
        <v>37</v>
      </c>
      <c r="H1" s="2" t="s">
        <v>38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112</v>
      </c>
      <c r="Y1" s="8" t="s">
        <v>116</v>
      </c>
      <c r="Z1" s="8" t="s">
        <v>117</v>
      </c>
      <c r="AA1" s="8" t="s">
        <v>33</v>
      </c>
      <c r="AB1" s="8" t="s">
        <v>34</v>
      </c>
    </row>
    <row r="2" spans="1:28" x14ac:dyDescent="0.25">
      <c r="A2" s="8" t="s">
        <v>3</v>
      </c>
      <c r="B2" s="26" t="s">
        <v>81</v>
      </c>
      <c r="C2" s="25">
        <v>80</v>
      </c>
      <c r="D2" s="25">
        <v>54</v>
      </c>
      <c r="E2" s="8">
        <v>5</v>
      </c>
      <c r="F2" s="8">
        <f>Table27[[#This Row],[Floor Space per component]]*Table27[[#This Row],[Quantity]]</f>
        <v>270</v>
      </c>
      <c r="G2" s="8">
        <f>530/50</f>
        <v>10.6</v>
      </c>
      <c r="H2" s="2">
        <f>Table27[[#This Row],[Rent per sqm per year]]*Table27[[#This Row],[Total Floor Space]]</f>
        <v>2862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77.5</v>
      </c>
      <c r="M2" s="8">
        <f>Table27[[#This Row],[Energy consumption in W]]*24*365/1000</f>
        <v>678.9</v>
      </c>
      <c r="N2" s="8">
        <f>0.3048/50</f>
        <v>6.0960000000000007E-3</v>
      </c>
      <c r="O2" s="2">
        <f>Table27[[#This Row],[Yearly Energy Consumption in kWh]]*Table27[[#This Row],[CU/kWh]]</f>
        <v>4.1385744000000004</v>
      </c>
      <c r="P2" s="8">
        <v>0</v>
      </c>
      <c r="Q2" s="8">
        <v>20</v>
      </c>
      <c r="R2" s="8">
        <f>Table27[[#This Row],[Quantity]]*(Table27[[#This Row],[FIT]]*24*365)/1000000000</f>
        <v>0.12109824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f>190/50</f>
        <v>3.8</v>
      </c>
      <c r="W2" s="2">
        <f>Table27[[#This Row],[Cost per hour]]*Table27[[#This Row],[Total Time to Repair(h)]]*Table27[[#This Row],[Failures per year]]</f>
        <v>0.92034662399999989</v>
      </c>
      <c r="X2" s="8">
        <v>2</v>
      </c>
      <c r="Y2" s="8">
        <v>7.0000000000000007E-2</v>
      </c>
      <c r="Z2" s="8">
        <f>0.07+2*0.00027</f>
        <v>7.0540000000000005E-2</v>
      </c>
      <c r="AA2" s="8">
        <f>Table27[[#This Row],[Percentage of Business Users]]*Table27[[#This Row],[SLA CU per hour]]*Table27[[#This Row],[Failures per year]]*Table27[[#This Row],[Total Time to Repair(h)]]</f>
        <v>3.3907507199999999E-2</v>
      </c>
      <c r="AB2" s="8">
        <f>Table27[[#This Row],[Percentage of ITS and business users]]*Table27[[#This Row],[SLA CU per hour]]*Table27[[#This Row],[Failures per year]]*Table27[[#This Row],[Total Time to Repair(h)]]</f>
        <v>3.4169079398399999E-2</v>
      </c>
    </row>
    <row r="3" spans="1:28" x14ac:dyDescent="0.25">
      <c r="A3" s="8" t="s">
        <v>3</v>
      </c>
      <c r="B3" s="26" t="s">
        <v>60</v>
      </c>
      <c r="C3" s="25">
        <v>12</v>
      </c>
      <c r="D3" s="25">
        <f>156</f>
        <v>156</v>
      </c>
      <c r="E3" s="8">
        <v>0</v>
      </c>
      <c r="F3" s="8">
        <f>Table27[[#This Row],[Floor Space per component]]*Table27[[#This Row],[Quantity]]</f>
        <v>0</v>
      </c>
      <c r="G3" s="8">
        <v>0</v>
      </c>
      <c r="H3" s="2">
        <f>Table27[[#This Row],[Rent per sqm per year]]*Table27[[#This Row],[Total Floor Space]]</f>
        <v>0</v>
      </c>
      <c r="I3" s="8">
        <v>0</v>
      </c>
      <c r="J3" s="8">
        <v>0</v>
      </c>
      <c r="K3" s="8">
        <v>0</v>
      </c>
      <c r="L3" s="8">
        <f>1.2*Table27[[#This Row],[Quantity]]</f>
        <v>187.2</v>
      </c>
      <c r="M3" s="8">
        <f>Table27[[#This Row],[Energy consumption in W]]*24*365/1000</f>
        <v>1639.8719999999998</v>
      </c>
      <c r="N3" s="8">
        <f t="shared" ref="N3:N10" si="0">0.3048/50</f>
        <v>6.0960000000000007E-3</v>
      </c>
      <c r="O3" s="2">
        <f>Table27[[#This Row],[Yearly Energy Consumption in kWh]]*Table27[[#This Row],[CU/kWh]]</f>
        <v>9.9966597119999996</v>
      </c>
      <c r="P3" s="8">
        <v>0</v>
      </c>
      <c r="Q3" s="8">
        <v>20</v>
      </c>
      <c r="R3" s="8">
        <f>Table27[[#This Row],[Quantity]]*(Table27[[#This Row],[FIT]]*24*365)/1000000000</f>
        <v>0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f t="shared" ref="V3:V10" si="1">190/50</f>
        <v>3.8</v>
      </c>
      <c r="W3" s="2">
        <f>Table27[[#This Row],[Cost per hour]]*Table27[[#This Row],[Total Time to Repair(h)]]*Table27[[#This Row],[Failures per year]]</f>
        <v>0</v>
      </c>
      <c r="X3" s="8">
        <v>2</v>
      </c>
      <c r="Y3" s="8">
        <v>7.0000000000000007E-2</v>
      </c>
      <c r="Z3" s="8">
        <f t="shared" ref="Z3:Z10" si="2">0.07+2*0.00027</f>
        <v>7.0540000000000005E-2</v>
      </c>
      <c r="AA3" s="8">
        <f>Table27[[#This Row],[Percentage of Business Users]]*Table27[[#This Row],[SLA CU per hour]]*Table27[[#This Row],[Failures per year]]*Table27[[#This Row],[Total Time to Repair(h)]]</f>
        <v>0</v>
      </c>
      <c r="AB3" s="8">
        <f>Table27[[#This Row],[Percentage of ITS and business users]]*Table27[[#This Row],[SLA CU per hour]]*Table27[[#This Row],[Failures per year]]*Table27[[#This Row],[Total Time to Repair(h)]]</f>
        <v>0</v>
      </c>
    </row>
    <row r="4" spans="1:28" x14ac:dyDescent="0.25">
      <c r="A4" s="8" t="s">
        <v>3</v>
      </c>
      <c r="B4" s="26" t="s">
        <v>6</v>
      </c>
      <c r="C4" s="25">
        <f>0.1/9</f>
        <v>1.1111111111111112E-2</v>
      </c>
      <c r="D4" s="25">
        <v>3120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0</v>
      </c>
      <c r="J4" s="8">
        <v>0</v>
      </c>
      <c r="K4" s="8">
        <v>0</v>
      </c>
      <c r="L4" s="8">
        <f>0.1*Table27[[#This Row],[Quantity]]</f>
        <v>312</v>
      </c>
      <c r="M4" s="8">
        <f>Table27[[#This Row],[Energy consumption in W]]*24*365/1000</f>
        <v>2733.12</v>
      </c>
      <c r="N4" s="8">
        <f t="shared" si="0"/>
        <v>6.0960000000000007E-3</v>
      </c>
      <c r="O4" s="2">
        <f>Table27[[#This Row],[Yearly Energy Consumption in kWh]]*Table27[[#This Row],[CU/kWh]]</f>
        <v>16.66109952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f t="shared" si="1"/>
        <v>3.8</v>
      </c>
      <c r="W4" s="2">
        <f>Table27[[#This Row],[Cost per hour]]*Table27[[#This Row],[Total Time to Repair(h)]]*Table27[[#This Row],[Failures per year]]</f>
        <v>0</v>
      </c>
      <c r="X4" s="8">
        <v>2</v>
      </c>
      <c r="Y4" s="8">
        <v>7.0000000000000007E-2</v>
      </c>
      <c r="Z4" s="8">
        <f t="shared" si="2"/>
        <v>7.0540000000000005E-2</v>
      </c>
      <c r="AA4" s="8">
        <f>Table27[[#This Row],[Percentage of Business Users]]*Table27[[#This Row],[SLA CU per hour]]*Table27[[#This Row],[Failures per year]]*Table27[[#This Row],[Total Time to Repair(h)]]</f>
        <v>0</v>
      </c>
      <c r="AB4" s="8">
        <f>Table27[[#This Row],[Percentage of ITS and business users]]*Table27[[#This Row],[SLA CU per hour]]*Table27[[#This Row],[Failures per year]]*Table27[[#This Row],[Total Time to Repair(h)]]</f>
        <v>0</v>
      </c>
    </row>
    <row r="5" spans="1:28" x14ac:dyDescent="0.25">
      <c r="A5" s="8" t="s">
        <v>3</v>
      </c>
      <c r="B5" s="26" t="s">
        <v>7</v>
      </c>
      <c r="C5" s="25">
        <v>200</v>
      </c>
      <c r="D5" s="25">
        <v>1</v>
      </c>
      <c r="E5" s="8">
        <v>20</v>
      </c>
      <c r="F5" s="8">
        <f>Table27[[#This Row],[Floor Space per component]]*Table27[[#This Row],[Quantity]]</f>
        <v>20</v>
      </c>
      <c r="G5" s="8">
        <v>10.6</v>
      </c>
      <c r="H5" s="2">
        <f>Table27[[#This Row],[Rent per sqm per year]]*Table27[[#This Row],[Total Floor Space]]</f>
        <v>212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6.0960000000000007E-3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f t="shared" si="1"/>
        <v>3.8</v>
      </c>
      <c r="W5" s="2">
        <f>Table27[[#This Row],[Cost per hour]]*Table27[[#This Row],[Total Time to Repair(h)]]*Table27[[#This Row],[Failures per year]]</f>
        <v>0</v>
      </c>
      <c r="X5" s="8">
        <v>2</v>
      </c>
      <c r="Y5" s="8">
        <v>7.0000000000000007E-2</v>
      </c>
      <c r="Z5" s="8">
        <f t="shared" si="2"/>
        <v>7.0540000000000005E-2</v>
      </c>
      <c r="AA5" s="8">
        <f>Table27[[#This Row],[Percentage of Business Users]]*Table27[[#This Row],[SLA CU per hour]]*Table27[[#This Row],[Failures per year]]*Table27[[#This Row],[Total Time to Repair(h)]]</f>
        <v>0</v>
      </c>
      <c r="AB5" s="8">
        <f>Table27[[#This Row],[Percentage of ITS and business users]]*Table27[[#This Row],[SLA CU per hour]]*Table27[[#This Row],[Failures per year]]*Table27[[#This Row],[Total Time to Repair(h)]]</f>
        <v>0</v>
      </c>
    </row>
    <row r="6" spans="1:28" x14ac:dyDescent="0.25">
      <c r="A6" s="8" t="s">
        <v>8</v>
      </c>
      <c r="B6" s="26" t="s">
        <v>9</v>
      </c>
      <c r="C6" s="25">
        <v>1.8</v>
      </c>
      <c r="D6" s="25">
        <f>156*2</f>
        <v>312</v>
      </c>
      <c r="E6" s="8">
        <v>0</v>
      </c>
      <c r="F6" s="8">
        <f>Table27[[#This Row],[Floor Space per component]]*Table27[[#This Row],[Quantity]]</f>
        <v>0</v>
      </c>
      <c r="G6" s="8">
        <v>0</v>
      </c>
      <c r="H6" s="2">
        <f>Table27[[#This Row],[Rent per sqm per year]]*Table27[[#This Row],[Total Floor Space]]</f>
        <v>0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6.0960000000000007E-3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0.3279744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f t="shared" si="1"/>
        <v>3.8</v>
      </c>
      <c r="W6" s="2">
        <f>Table27[[#This Row],[Cost per hour]]*Table27[[#This Row],[Total Time to Repair(h)]]*Table27[[#This Row],[Failures per year]]</f>
        <v>7.5401314559999992</v>
      </c>
      <c r="X6" s="8">
        <v>2</v>
      </c>
      <c r="Y6" s="8">
        <v>7.0000000000000007E-2</v>
      </c>
      <c r="Z6" s="8">
        <f t="shared" si="2"/>
        <v>7.0540000000000005E-2</v>
      </c>
      <c r="AA6" s="8">
        <f>Table27[[#This Row],[Percentage of Business Users]]*Table27[[#This Row],[SLA CU per hour]]*Table27[[#This Row],[Failures per year]]*Table27[[#This Row],[Total Time to Repair(h)]]</f>
        <v>0.2777943168</v>
      </c>
      <c r="AB6" s="8">
        <f>Table27[[#This Row],[Percentage of ITS and business users]]*Table27[[#This Row],[SLA CU per hour]]*Table27[[#This Row],[Failures per year]]*Table27[[#This Row],[Total Time to Repair(h)]]</f>
        <v>0.27993730152960006</v>
      </c>
    </row>
    <row r="7" spans="1:28" x14ac:dyDescent="0.25">
      <c r="A7" s="8" t="s">
        <v>10</v>
      </c>
      <c r="B7" s="26" t="s">
        <v>60</v>
      </c>
      <c r="C7" s="25">
        <v>12</v>
      </c>
      <c r="D7" s="25">
        <f>156*2</f>
        <v>312</v>
      </c>
      <c r="E7" s="8">
        <v>0</v>
      </c>
      <c r="F7" s="8">
        <f>Table27[[#This Row],[Floor Space per component]]*Table27[[#This Row],[Quantity]]</f>
        <v>0</v>
      </c>
      <c r="G7" s="8">
        <v>0</v>
      </c>
      <c r="H7" s="2">
        <f>Table27[[#This Row],[Rent per sqm per year]]*Table27[[#This Row],[Total Floor Space]]</f>
        <v>0</v>
      </c>
      <c r="I7" s="8">
        <v>0</v>
      </c>
      <c r="J7" s="8">
        <v>0</v>
      </c>
      <c r="K7" s="8">
        <v>50</v>
      </c>
      <c r="L7" s="8">
        <f>1.2*Table27[[#This Row],[Quantity]]</f>
        <v>374.4</v>
      </c>
      <c r="M7" s="8">
        <f>Table27[[#This Row],[Energy consumption in W]]*24*365/1000</f>
        <v>3279.7439999999997</v>
      </c>
      <c r="N7" s="8">
        <f t="shared" si="0"/>
        <v>6.0960000000000007E-3</v>
      </c>
      <c r="O7" s="2">
        <f>Table27[[#This Row],[Yearly Energy Consumption in kWh]]*Table27[[#This Row],[CU/kWh]]</f>
        <v>19.993319423999999</v>
      </c>
      <c r="P7" s="8">
        <v>1.5</v>
      </c>
      <c r="Q7" s="8">
        <v>20</v>
      </c>
      <c r="R7" s="8">
        <f>Table27[[#This Row],[Quantity]]*(Table27[[#This Row],[FIT]]*24*365)/1000000000</f>
        <v>0.136656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f t="shared" si="1"/>
        <v>3.8</v>
      </c>
      <c r="W7" s="2">
        <f>Table27[[#This Row],[Cost per hour]]*Table27[[#This Row],[Total Time to Repair(h)]]*Table27[[#This Row],[Failures per year]]</f>
        <v>7.7893919999999991E-2</v>
      </c>
      <c r="X7" s="8">
        <v>2</v>
      </c>
      <c r="Y7" s="8">
        <v>7.0000000000000007E-2</v>
      </c>
      <c r="Z7" s="8">
        <f t="shared" si="2"/>
        <v>7.0540000000000005E-2</v>
      </c>
      <c r="AA7" s="8">
        <f>Table27[[#This Row],[Percentage of Business Users]]*Table27[[#This Row],[SLA CU per hour]]*Table27[[#This Row],[Failures per year]]*Table27[[#This Row],[Total Time to Repair(h)]]</f>
        <v>2.8697760000000001E-3</v>
      </c>
      <c r="AB7" s="8">
        <f>Table27[[#This Row],[Percentage of ITS and business users]]*Table27[[#This Row],[SLA CU per hour]]*Table27[[#This Row],[Failures per year]]*Table27[[#This Row],[Total Time to Repair(h)]]</f>
        <v>2.8919142720000004E-3</v>
      </c>
    </row>
    <row r="8" spans="1:28" x14ac:dyDescent="0.25">
      <c r="A8" s="8" t="s">
        <v>10</v>
      </c>
      <c r="B8" s="26" t="s">
        <v>11</v>
      </c>
      <c r="C8" s="25">
        <v>1</v>
      </c>
      <c r="D8" s="25">
        <f>5000</f>
        <v>5000</v>
      </c>
      <c r="E8" s="8">
        <v>0</v>
      </c>
      <c r="F8" s="8">
        <f>Table27[[#This Row],[Floor Space per component]]*Table27[[#This Row],[Quantity]]</f>
        <v>0</v>
      </c>
      <c r="G8" s="8">
        <v>4</v>
      </c>
      <c r="H8" s="2">
        <f>Table27[[#This Row],[Rent per sqm per year]]*Table27[[#This Row],[Total Floor Space]]</f>
        <v>0</v>
      </c>
      <c r="I8" s="8">
        <v>2488</v>
      </c>
      <c r="J8" s="8">
        <v>6</v>
      </c>
      <c r="K8" s="8">
        <v>256</v>
      </c>
      <c r="L8" s="8">
        <f>4*Table27[[#This Row],[Quantity]]</f>
        <v>20000</v>
      </c>
      <c r="M8" s="8">
        <f>Table27[[#This Row],[Energy consumption in W]]*24*365/1000</f>
        <v>175200</v>
      </c>
      <c r="N8" s="8">
        <f t="shared" si="0"/>
        <v>6.0960000000000007E-3</v>
      </c>
      <c r="O8" s="2">
        <f>Table27[[#This Row],[Yearly Energy Consumption in kWh]]*Table27[[#This Row],[CU/kWh]]</f>
        <v>1068.0192000000002</v>
      </c>
      <c r="P8" s="8">
        <v>2</v>
      </c>
      <c r="Q8" s="8">
        <v>20</v>
      </c>
      <c r="R8" s="8">
        <f>Table27[[#This Row],[Quantity]]*(Table27[[#This Row],[FIT]]*24*365)/1000000000</f>
        <v>11.2128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f t="shared" si="1"/>
        <v>3.8</v>
      </c>
      <c r="W8" s="2">
        <f>Table27[[#This Row],[Cost per hour]]*Table27[[#This Row],[Total Time to Repair(h)]]*Table27[[#This Row],[Failures per year]]</f>
        <v>264.17356799999999</v>
      </c>
      <c r="X8" s="8">
        <v>2</v>
      </c>
      <c r="Y8" s="8">
        <v>7.0000000000000007E-2</v>
      </c>
      <c r="Z8" s="8">
        <f t="shared" si="2"/>
        <v>7.0540000000000005E-2</v>
      </c>
      <c r="AA8" s="8">
        <f>Table27[[#This Row],[Percentage of Business Users]]*Table27[[#This Row],[SLA CU per hour]]*Table27[[#This Row],[Failures per year]]*Table27[[#This Row],[Total Time to Repair(h)]]</f>
        <v>9.7327104000000002</v>
      </c>
      <c r="AB8" s="8">
        <f>Table27[[#This Row],[Percentage of ITS and business users]]*Table27[[#This Row],[SLA CU per hour]]*Table27[[#This Row],[Failures per year]]*Table27[[#This Row],[Total Time to Repair(h)]]</f>
        <v>9.8077913088000006</v>
      </c>
    </row>
    <row r="9" spans="1:28" x14ac:dyDescent="0.25">
      <c r="A9" s="8" t="s">
        <v>10</v>
      </c>
      <c r="B9" s="26" t="s">
        <v>82</v>
      </c>
      <c r="C9" s="25">
        <v>1.2</v>
      </c>
      <c r="D9" s="25">
        <v>1244</v>
      </c>
      <c r="E9" s="8">
        <v>0</v>
      </c>
      <c r="F9" s="8">
        <f>Table27[[#This Row],[Floor Space per component]]*Table27[[#This Row],[Quantity]]</f>
        <v>0</v>
      </c>
      <c r="G9" s="8">
        <v>4</v>
      </c>
      <c r="H9" s="2">
        <f>Table27[[#This Row],[Rent per sqm per year]]*Table27[[#This Row],[Total Floor Space]]</f>
        <v>0</v>
      </c>
      <c r="I9" s="8">
        <v>207.83333333333331</v>
      </c>
      <c r="J9" s="8">
        <v>24</v>
      </c>
      <c r="K9" s="8">
        <v>50</v>
      </c>
      <c r="L9" s="8">
        <f>50*Table27[[#This Row],[Quantity]]</f>
        <v>62200</v>
      </c>
      <c r="M9" s="8">
        <f>Table27[[#This Row],[Energy consumption in W]]*24*365/1000</f>
        <v>544872</v>
      </c>
      <c r="N9" s="8">
        <f t="shared" si="0"/>
        <v>6.0960000000000007E-3</v>
      </c>
      <c r="O9" s="2">
        <f>Table27[[#This Row],[Yearly Energy Consumption in kWh]]*Table27[[#This Row],[CU/kWh]]</f>
        <v>3321.5397120000002</v>
      </c>
      <c r="P9" s="8">
        <v>2</v>
      </c>
      <c r="Q9" s="8">
        <v>20</v>
      </c>
      <c r="R9" s="8">
        <f>Table27[[#This Row],[Quantity]]*(Table27[[#This Row],[FIT]]*24*365)/1000000000</f>
        <v>0.54487200000000002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f t="shared" si="1"/>
        <v>3.8</v>
      </c>
      <c r="W9" s="2">
        <f>Table27[[#This Row],[Cost per hour]]*Table27[[#This Row],[Total Time to Repair(h)]]*Table27[[#This Row],[Failures per year]]</f>
        <v>50.106429120000001</v>
      </c>
      <c r="X9" s="8">
        <v>2</v>
      </c>
      <c r="Y9" s="8">
        <v>7.0000000000000007E-2</v>
      </c>
      <c r="Z9" s="8">
        <f t="shared" si="2"/>
        <v>7.0540000000000005E-2</v>
      </c>
      <c r="AA9" s="8">
        <f>Table27[[#This Row],[Percentage of Business Users]]*Table27[[#This Row],[SLA CU per hour]]*Table27[[#This Row],[Failures per year]]*Table27[[#This Row],[Total Time to Repair(h)]]</f>
        <v>1.8460263360000004</v>
      </c>
      <c r="AB9" s="8">
        <f>Table27[[#This Row],[Percentage of ITS and business users]]*Table27[[#This Row],[SLA CU per hour]]*Table27[[#This Row],[Failures per year]]*Table27[[#This Row],[Total Time to Repair(h)]]</f>
        <v>1.8602671105920001</v>
      </c>
    </row>
    <row r="10" spans="1:28" x14ac:dyDescent="0.25">
      <c r="A10" s="8" t="s">
        <v>10</v>
      </c>
      <c r="B10" s="26" t="s">
        <v>83</v>
      </c>
      <c r="C10" s="25">
        <f>12+(100/4)</f>
        <v>37</v>
      </c>
      <c r="D10" s="25">
        <f>5000</f>
        <v>5000</v>
      </c>
      <c r="E10" s="8">
        <v>1</v>
      </c>
      <c r="F10" s="8">
        <f>Table27[[#This Row],[Floor Space per component]]*Table27[[#This Row],[Quantity]]</f>
        <v>5000</v>
      </c>
      <c r="G10" s="8">
        <v>2</v>
      </c>
      <c r="H10" s="2">
        <f>Table27[[#This Row],[Rent per sqm per year]]*Table27[[#This Row],[Total Floor Space]]</f>
        <v>10000</v>
      </c>
      <c r="I10" s="8">
        <v>0</v>
      </c>
      <c r="J10" s="8">
        <v>24</v>
      </c>
      <c r="K10" s="8">
        <v>5000</v>
      </c>
      <c r="L10" s="8">
        <f>25*Table27[[#This Row],[Quantity]]</f>
        <v>125000</v>
      </c>
      <c r="M10" s="8">
        <f>Table27[[#This Row],[Energy consumption in W]]*24*365/1000</f>
        <v>1095000</v>
      </c>
      <c r="N10" s="8">
        <f t="shared" si="0"/>
        <v>6.0960000000000007E-3</v>
      </c>
      <c r="O10" s="2">
        <f>Table27[[#This Row],[Yearly Energy Consumption in kWh]]*Table27[[#This Row],[CU/kWh]]</f>
        <v>6675.1200000000008</v>
      </c>
      <c r="P10" s="8">
        <v>2</v>
      </c>
      <c r="Q10" s="8">
        <v>20</v>
      </c>
      <c r="R10" s="8">
        <f>Table27[[#This Row],[Quantity]]*(Table27[[#This Row],[FIT]]*24*365)/1000000000</f>
        <v>219</v>
      </c>
      <c r="S10" s="8">
        <f>2*Table27[[#This Row],[Mean dist in km from CO]]/Table27[[#This Row],[Avg Travel Speed]]</f>
        <v>0.2</v>
      </c>
      <c r="T10" s="8">
        <f>Table27[[#This Row],[MTTR]]+Table27[[#This Row],[Twice Travel Time]]</f>
        <v>24.2</v>
      </c>
      <c r="U10" s="8">
        <v>1</v>
      </c>
      <c r="V10" s="8">
        <f t="shared" si="1"/>
        <v>3.8</v>
      </c>
      <c r="W10" s="2">
        <f>Table27[[#This Row],[Cost per hour]]*Table27[[#This Row],[Total Time to Repair(h)]]*Table27[[#This Row],[Failures per year]]</f>
        <v>20139.239999999998</v>
      </c>
      <c r="X10" s="8">
        <v>2</v>
      </c>
      <c r="Y10" s="8">
        <v>7.0000000000000007E-2</v>
      </c>
      <c r="Z10" s="8">
        <f t="shared" si="2"/>
        <v>7.0540000000000005E-2</v>
      </c>
      <c r="AA10" s="8">
        <f>Table27[[#This Row],[Percentage of Business Users]]*Table27[[#This Row],[SLA CU per hour]]*Table27[[#This Row],[Failures per year]]*Table27[[#This Row],[Total Time to Repair(h)]]</f>
        <v>741.97200000000009</v>
      </c>
      <c r="AB10" s="8">
        <f>Table27[[#This Row],[Percentage of ITS and business users]]*Table27[[#This Row],[SLA CU per hour]]*Table27[[#This Row],[Failures per year]]*Table27[[#This Row],[Total Time to Repair(h)]]</f>
        <v>747.695784</v>
      </c>
    </row>
    <row r="11" spans="1:28" x14ac:dyDescent="0.25">
      <c r="B11" s="26"/>
      <c r="H11" s="32">
        <f>SUM(Table27[Total Rent cost per year])</f>
        <v>13074</v>
      </c>
      <c r="O11" s="32">
        <f>SUM(Table27[Energy Cost per year in CU])</f>
        <v>11115.468565056002</v>
      </c>
      <c r="W11" s="32">
        <f>SUM(Table27[FM Cost])+L20</f>
        <v>20896.88245642011</v>
      </c>
      <c r="AA11" s="8">
        <f>SUBTOTAL(109,Table27[FM Penalty Business])</f>
        <v>753.86530833600011</v>
      </c>
      <c r="AB11" s="8">
        <f>SUBTOTAL(109,Table27[FM Penalty ITS])</f>
        <v>759.68084071459202</v>
      </c>
    </row>
    <row r="14" spans="1:28" x14ac:dyDescent="0.25">
      <c r="A14" s="8" t="s">
        <v>40</v>
      </c>
      <c r="B14" s="8" t="s">
        <v>17</v>
      </c>
      <c r="C14" s="8" t="s">
        <v>16</v>
      </c>
      <c r="D14" s="8" t="s">
        <v>41</v>
      </c>
      <c r="E14" s="8" t="s">
        <v>30</v>
      </c>
      <c r="F14" s="8" t="s">
        <v>45</v>
      </c>
      <c r="G14" s="8" t="s">
        <v>46</v>
      </c>
      <c r="H14" s="8" t="s">
        <v>48</v>
      </c>
      <c r="I14" s="8" t="s">
        <v>47</v>
      </c>
      <c r="J14" s="8" t="s">
        <v>49</v>
      </c>
      <c r="K14" s="8" t="s">
        <v>50</v>
      </c>
      <c r="L14" s="8" t="s">
        <v>51</v>
      </c>
      <c r="M14" s="8" t="s">
        <v>112</v>
      </c>
      <c r="N14" s="8" t="s">
        <v>118</v>
      </c>
      <c r="O14" s="8" t="s">
        <v>119</v>
      </c>
      <c r="P14" s="8" t="s">
        <v>120</v>
      </c>
      <c r="Q14" s="8" t="s">
        <v>121</v>
      </c>
    </row>
    <row r="15" spans="1:28" x14ac:dyDescent="0.25">
      <c r="A15" s="8" t="s">
        <v>42</v>
      </c>
      <c r="B15" s="8">
        <f>570*B29/1000</f>
        <v>97502.201320258406</v>
      </c>
      <c r="C15" s="8">
        <v>24</v>
      </c>
      <c r="D15" s="8">
        <v>1</v>
      </c>
      <c r="E15" s="8">
        <f>190/50</f>
        <v>3.8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78.220243988925162</v>
      </c>
      <c r="M15" s="8">
        <v>2</v>
      </c>
      <c r="N15" s="8">
        <v>7.0000000000000007E-2</v>
      </c>
      <c r="O15" s="8">
        <f>0.07+2*0.00027</f>
        <v>7.0540000000000005E-2</v>
      </c>
      <c r="P15" s="8">
        <f>N15*M15*J15*B15*24*365/1000000000</f>
        <v>2.8817984627498747</v>
      </c>
      <c r="Q15" s="8">
        <f>O15*M15*J15*B15*24*365/1000000000</f>
        <v>2.9040294794625163</v>
      </c>
    </row>
    <row r="16" spans="1:28" x14ac:dyDescent="0.25">
      <c r="A16" s="8" t="s">
        <v>43</v>
      </c>
      <c r="B16" s="8">
        <f>570*C29/1000</f>
        <v>48782.100875533812</v>
      </c>
      <c r="C16" s="8">
        <v>24</v>
      </c>
      <c r="D16" s="8">
        <v>1</v>
      </c>
      <c r="E16" s="8">
        <v>3.8</v>
      </c>
      <c r="F16" s="8">
        <v>2</v>
      </c>
      <c r="G16" s="8">
        <v>1</v>
      </c>
      <c r="H16" s="8">
        <f t="shared" ref="H16:I17" si="3">F16/20</f>
        <v>0.1</v>
      </c>
      <c r="I16" s="8">
        <f t="shared" si="3"/>
        <v>0.05</v>
      </c>
      <c r="J16" s="8">
        <f t="shared" ref="J16:J17" si="4">C16+2*H16</f>
        <v>24.2</v>
      </c>
      <c r="K16" s="8">
        <f t="shared" ref="K16:K17" si="5">C16+2*I16</f>
        <v>24.1</v>
      </c>
      <c r="L16" s="8">
        <f t="shared" ref="L16:L17" si="6">B16*24*365*J16*E16/1000000000</f>
        <v>39.297377489463415</v>
      </c>
      <c r="M16" s="8">
        <v>2</v>
      </c>
      <c r="N16" s="8">
        <v>7.0000000000000007E-2</v>
      </c>
      <c r="O16" s="8">
        <f t="shared" ref="O16:O17" si="7">0.07+2*0.00027</f>
        <v>7.0540000000000005E-2</v>
      </c>
      <c r="P16" s="8">
        <f t="shared" ref="P16:P17" si="8">N16*M16*J16*B16*24*365/1000000000</f>
        <v>1.4477981180328632</v>
      </c>
      <c r="Q16" s="8">
        <f t="shared" ref="Q16:Q17" si="9">O16*M16*J16*B16*24*365/1000000000</f>
        <v>1.4589668463719738</v>
      </c>
    </row>
    <row r="17" spans="1:19" x14ac:dyDescent="0.25">
      <c r="A17" s="8" t="s">
        <v>44</v>
      </c>
      <c r="B17" s="8">
        <f>570*D29/1000</f>
        <v>390662.20119410474</v>
      </c>
      <c r="C17" s="8">
        <v>24</v>
      </c>
      <c r="D17" s="8">
        <v>1</v>
      </c>
      <c r="E17" s="8">
        <v>3.8</v>
      </c>
      <c r="F17" s="8">
        <v>4</v>
      </c>
      <c r="G17" s="8">
        <v>1.5</v>
      </c>
      <c r="H17" s="8">
        <f t="shared" si="3"/>
        <v>0.2</v>
      </c>
      <c r="I17" s="8">
        <f t="shared" si="3"/>
        <v>7.4999999999999997E-2</v>
      </c>
      <c r="J17" s="8">
        <f t="shared" si="4"/>
        <v>24.4</v>
      </c>
      <c r="K17" s="8">
        <f t="shared" si="5"/>
        <v>24.15</v>
      </c>
      <c r="L17" s="8">
        <f t="shared" si="6"/>
        <v>317.30646582172432</v>
      </c>
      <c r="M17" s="8">
        <v>2</v>
      </c>
      <c r="N17" s="8">
        <v>7.0000000000000007E-2</v>
      </c>
      <c r="O17" s="8">
        <f t="shared" si="7"/>
        <v>7.0540000000000005E-2</v>
      </c>
      <c r="P17" s="8">
        <f t="shared" si="8"/>
        <v>11.690238214484584</v>
      </c>
      <c r="Q17" s="8">
        <f t="shared" si="9"/>
        <v>11.780420052139178</v>
      </c>
    </row>
    <row r="20" spans="1:19" x14ac:dyDescent="0.25">
      <c r="K20" s="8" t="s">
        <v>52</v>
      </c>
      <c r="L20" s="8">
        <f>SUM(L15:L17)</f>
        <v>434.82408730011286</v>
      </c>
    </row>
    <row r="22" spans="1:19" x14ac:dyDescent="0.25">
      <c r="O22" s="8" t="s">
        <v>92</v>
      </c>
    </row>
    <row r="23" spans="1:19" x14ac:dyDescent="0.25">
      <c r="O23" s="8" t="s">
        <v>98</v>
      </c>
      <c r="P23" s="8" t="s">
        <v>113</v>
      </c>
      <c r="Q23" s="8" t="s">
        <v>114</v>
      </c>
      <c r="R23" s="8" t="s">
        <v>122</v>
      </c>
    </row>
    <row r="24" spans="1:19" x14ac:dyDescent="0.25">
      <c r="O24" s="8" t="s">
        <v>93</v>
      </c>
      <c r="P24" s="8">
        <f>Table27[[#Totals],[Total Rent cost per year]]</f>
        <v>13074</v>
      </c>
      <c r="Q24" s="8">
        <f>Table27[[#Totals],[Total Rent cost per year]]</f>
        <v>13074</v>
      </c>
      <c r="R24" s="8">
        <f>Table27[[#Totals],[Total Rent cost per year]]</f>
        <v>13074</v>
      </c>
    </row>
    <row r="25" spans="1:19" x14ac:dyDescent="0.25">
      <c r="O25" s="8" t="s">
        <v>94</v>
      </c>
      <c r="P25" s="8">
        <f>Table27[[#Totals],[Energy Cost per year in CU]]</f>
        <v>11115.468565056002</v>
      </c>
      <c r="Q25" s="8">
        <f>Table27[[#Totals],[Energy Cost per year in CU]]</f>
        <v>11115.468565056002</v>
      </c>
      <c r="R25" s="8">
        <f>Table27[[#Totals],[Energy Cost per year in CU]]</f>
        <v>11115.468565056002</v>
      </c>
    </row>
    <row r="26" spans="1:19" x14ac:dyDescent="0.25">
      <c r="O26" s="8" t="s">
        <v>95</v>
      </c>
      <c r="P26" s="8">
        <f>Table27[[#Totals],[FM Cost]]+L20</f>
        <v>21331.706543720222</v>
      </c>
      <c r="Q26" s="8">
        <f>Table27[[#Totals],[FM Cost]]+$L$20+P15+P16+P17+Table27[[#Totals],[FM Penalty Business]]</f>
        <v>22101.591686851487</v>
      </c>
      <c r="R26" s="8">
        <f>Table27[[#Totals],[FM Cost]]+$L$20+Q15+Q16+Q17+Table27[[#Totals],[FM Penalty ITS]]</f>
        <v>22107.530800812783</v>
      </c>
    </row>
    <row r="27" spans="1:19" x14ac:dyDescent="0.25">
      <c r="O27" s="8" t="s">
        <v>96</v>
      </c>
      <c r="P27" s="8">
        <f>0.05*SUM(P24:P26)</f>
        <v>2276.0587554388112</v>
      </c>
      <c r="Q27" s="8">
        <f>0.05*SUM(Q24:Q26)</f>
        <v>2314.5530125953746</v>
      </c>
      <c r="R27" s="8">
        <f>0.05*SUM(R24:R26)</f>
        <v>2314.8499682934394</v>
      </c>
    </row>
    <row r="28" spans="1:19" x14ac:dyDescent="0.25">
      <c r="K28" s="8" t="s">
        <v>53</v>
      </c>
      <c r="O28" s="8" t="s">
        <v>97</v>
      </c>
      <c r="P28" s="8">
        <f>0.07*SUM(P24:P26)</f>
        <v>3186.482257614336</v>
      </c>
      <c r="Q28" s="8">
        <f>0.07*SUM(Q24:Q26)</f>
        <v>3240.3742176335245</v>
      </c>
      <c r="R28" s="8">
        <f>0.07*SUM(R24:R26)</f>
        <v>3240.7899556108155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K29" s="8">
        <f>Table27[[#Totals],[Total Rent cost per year]]+Table27[[#Totals],[Energy Cost per year in CU]]+Table27[[#Totals],[FM Cost]]+L20</f>
        <v>45521.175108776224</v>
      </c>
      <c r="P29" s="8">
        <f>SUM(Table14[Residential])</f>
        <v>50983.71612182937</v>
      </c>
      <c r="Q29" s="8">
        <f>SUBTOTAL(109,Table14[Business])</f>
        <v>51845.987482136385</v>
      </c>
      <c r="R29" s="8">
        <f>SUBTOTAL(109,Table14[Business ITS])</f>
        <v>51852.639289773047</v>
      </c>
      <c r="S29" s="8">
        <v>11727.88547395296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G1" workbookViewId="0">
      <selection activeCell="O35" sqref="O35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36</v>
      </c>
      <c r="F1" s="8" t="s">
        <v>35</v>
      </c>
      <c r="G1" s="8" t="s">
        <v>37</v>
      </c>
      <c r="H1" s="8" t="s">
        <v>38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112</v>
      </c>
      <c r="Y1" s="8" t="s">
        <v>116</v>
      </c>
      <c r="Z1" s="8" t="s">
        <v>117</v>
      </c>
      <c r="AA1" s="8" t="s">
        <v>33</v>
      </c>
      <c r="AB1" s="8" t="s">
        <v>34</v>
      </c>
    </row>
    <row r="2" spans="1:28" x14ac:dyDescent="0.25">
      <c r="A2" s="8" t="s">
        <v>3</v>
      </c>
      <c r="B2" s="8" t="s">
        <v>59</v>
      </c>
      <c r="C2" s="25">
        <v>80</v>
      </c>
      <c r="D2" s="25">
        <f>54*2</f>
        <v>108</v>
      </c>
      <c r="E2" s="8">
        <v>5</v>
      </c>
      <c r="F2" s="8">
        <f>Table38[[#This Row],[Floor Space per component]]*Table38[[#This Row],[Quantity]]</f>
        <v>540</v>
      </c>
      <c r="G2" s="8">
        <v>10.6</v>
      </c>
      <c r="H2" s="8">
        <f>Table38[[#This Row],[Rent per sqm per year]]*Table38[[#This Row],[Total Floor Space]]</f>
        <v>5724</v>
      </c>
      <c r="I2" s="8">
        <f>0.5+(1/6)*Table38[[#This Row],[Quantity]]</f>
        <v>18.5</v>
      </c>
      <c r="J2" s="8">
        <v>2</v>
      </c>
      <c r="K2" s="8">
        <v>256</v>
      </c>
      <c r="L2" s="8">
        <f>100*Table38[[#This Row],[Quantity]]</f>
        <v>10800</v>
      </c>
      <c r="M2" s="8">
        <f>Table38[[#This Row],[Energy consumption in W]]*24*365/1000</f>
        <v>94608</v>
      </c>
      <c r="N2" s="8">
        <f>0.3048/50</f>
        <v>6.0960000000000007E-3</v>
      </c>
      <c r="O2" s="8">
        <f>Table38[[#This Row],[Yearly Energy Consumption in kWh]]*Table38[[#This Row],[CU/kWh]]</f>
        <v>576.73036800000011</v>
      </c>
      <c r="P2" s="8">
        <v>0</v>
      </c>
      <c r="Q2" s="8">
        <v>20</v>
      </c>
      <c r="R2" s="8">
        <f>Table38[[#This Row],[Quantity]]*(Table38[[#This Row],[FIT]]*24*365)/1000000000</f>
        <v>0.24219647999999999</v>
      </c>
      <c r="S2" s="8">
        <f>2*Table38[[#This Row],[Mean dist in km from CO]]/Table38[[#This Row],[Avg Travel Speed]]</f>
        <v>0</v>
      </c>
      <c r="T2" s="8">
        <f>Table38[[#This Row],[MTTR]]+Table38[[#This Row],[Twice Travel Time]]</f>
        <v>2</v>
      </c>
      <c r="U2" s="8">
        <v>1</v>
      </c>
      <c r="V2" s="8">
        <f>190/50</f>
        <v>3.8</v>
      </c>
      <c r="W2" s="8">
        <f>Table38[[#This Row],[Cost per hour]]*Table38[[#This Row],[Total Time to Repair(h)]]*Table38[[#This Row],[Failures per year]]</f>
        <v>1.8406932479999998</v>
      </c>
      <c r="X2" s="8">
        <v>2</v>
      </c>
      <c r="Y2" s="8">
        <v>7.0000000000000007E-2</v>
      </c>
      <c r="Z2" s="8">
        <f>0.07+2*0.00027</f>
        <v>7.0540000000000005E-2</v>
      </c>
      <c r="AA2" s="8">
        <f>Table38[[#This Row],[Percentage of Business Users]]*Table38[[#This Row],[SLA CU per hour]]*Table38[[#This Row],[Failures per year]]*Table38[[#This Row],[Total Time to Repair(h)]]</f>
        <v>6.7815014399999998E-2</v>
      </c>
      <c r="AB2" s="8">
        <f>Table38[[#This Row],[Percentage of ITS and business users]]*Table38[[#This Row],[SLA CU per hour]]*Table38[[#This Row],[Failures per year]]*Table38[[#This Row],[Total Time to Repair(h)]]</f>
        <v>6.8338158796799997E-2</v>
      </c>
    </row>
    <row r="3" spans="1:28" x14ac:dyDescent="0.25">
      <c r="A3" s="8" t="s">
        <v>3</v>
      </c>
      <c r="B3" s="8" t="s">
        <v>60</v>
      </c>
      <c r="C3" s="25">
        <v>12</v>
      </c>
      <c r="D3" s="25">
        <f>156*2</f>
        <v>312</v>
      </c>
      <c r="E3" s="8">
        <v>0</v>
      </c>
      <c r="F3" s="8">
        <f>Table38[[#This Row],[Floor Space per component]]*Table38[[#This Row],[Quantity]]</f>
        <v>0</v>
      </c>
      <c r="G3" s="8">
        <v>0</v>
      </c>
      <c r="H3" s="8">
        <f>Table38[[#This Row],[Rent per sqm per year]]*Table38[[#This Row],[Total Floor Space]]</f>
        <v>0</v>
      </c>
      <c r="I3" s="8">
        <v>0</v>
      </c>
      <c r="J3" s="8">
        <v>0</v>
      </c>
      <c r="K3" s="8">
        <v>0</v>
      </c>
      <c r="L3" s="8">
        <f>4.5*Table38[[#This Row],[Quantity]]</f>
        <v>1404</v>
      </c>
      <c r="M3" s="8">
        <f>Table38[[#This Row],[Energy consumption in W]]*24*365/1000</f>
        <v>12299.04</v>
      </c>
      <c r="N3" s="8">
        <f t="shared" ref="N3:N10" si="0">0.3048/50</f>
        <v>6.0960000000000007E-3</v>
      </c>
      <c r="O3" s="8">
        <f>Table38[[#This Row],[Yearly Energy Consumption in kWh]]*Table38[[#This Row],[CU/kWh]]</f>
        <v>74.974947840000013</v>
      </c>
      <c r="P3" s="8">
        <v>0</v>
      </c>
      <c r="Q3" s="8">
        <v>20</v>
      </c>
      <c r="R3" s="8">
        <f>Table38[[#This Row],[Quantity]]*(Table38[[#This Row],[FIT]]*24*365)/1000000000</f>
        <v>0</v>
      </c>
      <c r="S3" s="8">
        <f>2*Table38[[#This Row],[Mean dist in km from CO]]/Table38[[#This Row],[Avg Travel Speed]]</f>
        <v>0</v>
      </c>
      <c r="T3" s="8">
        <f>Table38[[#This Row],[MTTR]]+Table38[[#This Row],[Twice Travel Time]]</f>
        <v>0</v>
      </c>
      <c r="U3" s="8">
        <v>1</v>
      </c>
      <c r="V3" s="8">
        <f t="shared" ref="V3:V10" si="1">190/50</f>
        <v>3.8</v>
      </c>
      <c r="W3" s="8">
        <f>Table38[[#This Row],[Cost per hour]]*Table38[[#This Row],[Total Time to Repair(h)]]*Table38[[#This Row],[Failures per year]]</f>
        <v>0</v>
      </c>
      <c r="X3" s="8">
        <v>2</v>
      </c>
      <c r="Y3" s="8">
        <v>7.0000000000000007E-2</v>
      </c>
      <c r="Z3" s="8">
        <f t="shared" ref="Z3:Z10" si="2">0.07+2*0.00027</f>
        <v>7.0540000000000005E-2</v>
      </c>
      <c r="AA3" s="8">
        <f>Table38[[#This Row],[Percentage of Business Users]]*Table38[[#This Row],[SLA CU per hour]]*Table38[[#This Row],[Failures per year]]*Table38[[#This Row],[Total Time to Repair(h)]]</f>
        <v>0</v>
      </c>
      <c r="AB3" s="8">
        <f>Table38[[#This Row],[Percentage of ITS and business users]]*Table38[[#This Row],[SLA CU per hour]]*Table38[[#This Row],[Failures per year]]*Table38[[#This Row],[Total Time to Repair(h)]]</f>
        <v>0</v>
      </c>
    </row>
    <row r="4" spans="1:28" x14ac:dyDescent="0.25">
      <c r="A4" s="8" t="s">
        <v>3</v>
      </c>
      <c r="B4" s="8" t="s">
        <v>6</v>
      </c>
      <c r="C4" s="25">
        <f>0.1/9</f>
        <v>1.1111111111111112E-2</v>
      </c>
      <c r="D4" s="25">
        <v>3120</v>
      </c>
      <c r="E4" s="8">
        <v>0</v>
      </c>
      <c r="F4" s="8">
        <f>Table38[[#This Row],[Floor Space per component]]*Table38[[#This Row],[Quantity]]</f>
        <v>0</v>
      </c>
      <c r="G4" s="8">
        <v>0</v>
      </c>
      <c r="H4" s="8">
        <f>Table38[[#This Row],[Rent per sqm per year]]*Table38[[#This Row],[Total Floor Space]]</f>
        <v>0</v>
      </c>
      <c r="I4" s="8">
        <v>0</v>
      </c>
      <c r="J4" s="8">
        <v>0</v>
      </c>
      <c r="K4" s="8">
        <v>0</v>
      </c>
      <c r="L4" s="8">
        <f>1*Table38[[#This Row],[Quantity]]</f>
        <v>3120</v>
      </c>
      <c r="M4" s="8">
        <f>Table38[[#This Row],[Energy consumption in W]]*24*365/1000</f>
        <v>27331.200000000001</v>
      </c>
      <c r="N4" s="8">
        <f t="shared" si="0"/>
        <v>6.0960000000000007E-3</v>
      </c>
      <c r="O4" s="8">
        <f>Table38[[#This Row],[Yearly Energy Consumption in kWh]]*Table38[[#This Row],[CU/kWh]]</f>
        <v>166.61099520000002</v>
      </c>
      <c r="P4" s="8">
        <v>0</v>
      </c>
      <c r="Q4" s="8">
        <v>20</v>
      </c>
      <c r="R4" s="8">
        <f>Table38[[#This Row],[Quantity]]*(Table38[[#This Row],[FIT]]*24*365)/1000000000</f>
        <v>0</v>
      </c>
      <c r="S4" s="8">
        <f>2*Table38[[#This Row],[Mean dist in km from CO]]/Table38[[#This Row],[Avg Travel Speed]]</f>
        <v>0</v>
      </c>
      <c r="T4" s="8">
        <f>Table38[[#This Row],[MTTR]]+Table38[[#This Row],[Twice Travel Time]]</f>
        <v>0</v>
      </c>
      <c r="U4" s="8">
        <v>1</v>
      </c>
      <c r="V4" s="8">
        <f t="shared" si="1"/>
        <v>3.8</v>
      </c>
      <c r="W4" s="8">
        <f>Table38[[#This Row],[Cost per hour]]*Table38[[#This Row],[Total Time to Repair(h)]]*Table38[[#This Row],[Failures per year]]</f>
        <v>0</v>
      </c>
      <c r="X4" s="8">
        <v>2</v>
      </c>
      <c r="Y4" s="8">
        <v>7.0000000000000007E-2</v>
      </c>
      <c r="Z4" s="8">
        <f t="shared" si="2"/>
        <v>7.0540000000000005E-2</v>
      </c>
      <c r="AA4" s="8">
        <f>Table38[[#This Row],[Percentage of Business Users]]*Table38[[#This Row],[SLA CU per hour]]*Table38[[#This Row],[Failures per year]]*Table38[[#This Row],[Total Time to Repair(h)]]</f>
        <v>0</v>
      </c>
      <c r="AB4" s="8">
        <f>Table38[[#This Row],[Percentage of ITS and business users]]*Table38[[#This Row],[SLA CU per hour]]*Table38[[#This Row],[Failures per year]]*Table38[[#This Row],[Total Time to Repair(h)]]</f>
        <v>0</v>
      </c>
    </row>
    <row r="5" spans="1:28" x14ac:dyDescent="0.25">
      <c r="A5" s="8" t="s">
        <v>3</v>
      </c>
      <c r="B5" s="8" t="s">
        <v>7</v>
      </c>
      <c r="C5" s="25">
        <v>400</v>
      </c>
      <c r="D5" s="25">
        <v>1</v>
      </c>
      <c r="E5" s="8">
        <v>20</v>
      </c>
      <c r="F5" s="8">
        <f>Table38[[#This Row],[Floor Space per component]]*Table38[[#This Row],[Quantity]]</f>
        <v>20</v>
      </c>
      <c r="G5" s="8">
        <v>10.6</v>
      </c>
      <c r="H5" s="8">
        <f>Table38[[#This Row],[Rent per sqm per year]]*Table38[[#This Row],[Total Floor Space]]</f>
        <v>212</v>
      </c>
      <c r="I5" s="8">
        <v>4</v>
      </c>
      <c r="J5" s="8">
        <v>0</v>
      </c>
      <c r="K5" s="8">
        <v>0</v>
      </c>
      <c r="L5" s="8">
        <f>100*Table38[[#This Row],[Quantity]]</f>
        <v>100</v>
      </c>
      <c r="M5" s="8">
        <f>Table38[[#This Row],[Energy consumption in W]]*24*365/1000</f>
        <v>876</v>
      </c>
      <c r="N5" s="8">
        <f t="shared" si="0"/>
        <v>6.0960000000000007E-3</v>
      </c>
      <c r="O5" s="8">
        <f>Table38[[#This Row],[Yearly Energy Consumption in kWh]]*Table38[[#This Row],[CU/kWh]]</f>
        <v>5.3400960000000008</v>
      </c>
      <c r="P5" s="8">
        <v>0</v>
      </c>
      <c r="Q5" s="8">
        <v>20</v>
      </c>
      <c r="R5" s="8">
        <f>Table38[[#This Row],[Quantity]]*(Table38[[#This Row],[FIT]]*24*365)/1000000000</f>
        <v>0</v>
      </c>
      <c r="S5" s="8">
        <f>2*Table38[[#This Row],[Mean dist in km from CO]]/Table38[[#This Row],[Avg Travel Speed]]</f>
        <v>0</v>
      </c>
      <c r="T5" s="8">
        <f>Table38[[#This Row],[MTTR]]+Table38[[#This Row],[Twice Travel Time]]</f>
        <v>0</v>
      </c>
      <c r="U5" s="8">
        <v>1</v>
      </c>
      <c r="V5" s="8">
        <f t="shared" si="1"/>
        <v>3.8</v>
      </c>
      <c r="W5" s="8">
        <f>Table38[[#This Row],[Cost per hour]]*Table38[[#This Row],[Total Time to Repair(h)]]*Table38[[#This Row],[Failures per year]]</f>
        <v>0</v>
      </c>
      <c r="X5" s="8">
        <v>2</v>
      </c>
      <c r="Y5" s="8">
        <v>7.0000000000000007E-2</v>
      </c>
      <c r="Z5" s="8">
        <f t="shared" si="2"/>
        <v>7.0540000000000005E-2</v>
      </c>
      <c r="AA5" s="8">
        <f>Table38[[#This Row],[Percentage of Business Users]]*Table38[[#This Row],[SLA CU per hour]]*Table38[[#This Row],[Failures per year]]*Table38[[#This Row],[Total Time to Repair(h)]]</f>
        <v>0</v>
      </c>
      <c r="AB5" s="8">
        <f>Table38[[#This Row],[Percentage of ITS and business users]]*Table38[[#This Row],[SLA CU per hour]]*Table38[[#This Row],[Failures per year]]*Table38[[#This Row],[Total Time to Repair(h)]]</f>
        <v>0</v>
      </c>
    </row>
    <row r="6" spans="1:28" x14ac:dyDescent="0.25">
      <c r="A6" s="8" t="s">
        <v>8</v>
      </c>
      <c r="B6" s="8" t="s">
        <v>9</v>
      </c>
      <c r="C6" s="25">
        <v>1.8</v>
      </c>
      <c r="D6" s="25">
        <f>156</f>
        <v>156</v>
      </c>
      <c r="E6" s="8">
        <v>0</v>
      </c>
      <c r="F6" s="8">
        <f>Table38[[#This Row],[Floor Space per component]]*Table38[[#This Row],[Quantity]]</f>
        <v>0</v>
      </c>
      <c r="G6" s="8">
        <v>0</v>
      </c>
      <c r="H6" s="8">
        <f>Table38[[#This Row],[Rent per sqm per year]]*Table38[[#This Row],[Total Floor Space]]</f>
        <v>0</v>
      </c>
      <c r="I6" s="8">
        <f>1/6*(1+Table38[[#This Row],[Quantity]])</f>
        <v>26.166666666666664</v>
      </c>
      <c r="J6" s="8">
        <v>6</v>
      </c>
      <c r="K6" s="8">
        <v>50</v>
      </c>
      <c r="L6" s="8">
        <f>0*Table38[[#This Row],[Quantity]]</f>
        <v>0</v>
      </c>
      <c r="M6" s="8">
        <f>Table38[[#This Row],[Energy consumption in W]]*24*365/1000</f>
        <v>0</v>
      </c>
      <c r="N6" s="8">
        <f t="shared" si="0"/>
        <v>6.0960000000000007E-3</v>
      </c>
      <c r="O6" s="8">
        <f>Table38[[#This Row],[Yearly Energy Consumption in kWh]]*Table38[[#This Row],[CU/kWh]]</f>
        <v>0</v>
      </c>
      <c r="P6" s="8">
        <v>1.5</v>
      </c>
      <c r="Q6" s="8">
        <v>20</v>
      </c>
      <c r="R6" s="8">
        <f>Table38[[#This Row],[Quantity]]*(Table38[[#This Row],[FIT]]*24*365)/1000000000</f>
        <v>6.8328E-2</v>
      </c>
      <c r="S6" s="8">
        <f>2*Table38[[#This Row],[Mean dist in km from CO]]/Table38[[#This Row],[Avg Travel Speed]]</f>
        <v>0.15</v>
      </c>
      <c r="T6" s="8">
        <f>Table38[[#This Row],[MTTR]]+Table38[[#This Row],[Twice Travel Time]]</f>
        <v>6.15</v>
      </c>
      <c r="U6" s="8">
        <v>1</v>
      </c>
      <c r="V6" s="8">
        <f t="shared" si="1"/>
        <v>3.8</v>
      </c>
      <c r="W6" s="8">
        <f>Table38[[#This Row],[Cost per hour]]*Table38[[#This Row],[Total Time to Repair(h)]]*Table38[[#This Row],[Failures per year]]</f>
        <v>1.59682536</v>
      </c>
      <c r="X6" s="8">
        <v>2</v>
      </c>
      <c r="Y6" s="8">
        <v>7.0000000000000007E-2</v>
      </c>
      <c r="Z6" s="8">
        <f t="shared" si="2"/>
        <v>7.0540000000000005E-2</v>
      </c>
      <c r="AA6" s="8">
        <f>Table38[[#This Row],[Percentage of Business Users]]*Table38[[#This Row],[SLA CU per hour]]*Table38[[#This Row],[Failures per year]]*Table38[[#This Row],[Total Time to Repair(h)]]</f>
        <v>5.8830408000000008E-2</v>
      </c>
      <c r="AB6" s="8">
        <f>Table38[[#This Row],[Percentage of ITS and business users]]*Table38[[#This Row],[SLA CU per hour]]*Table38[[#This Row],[Failures per year]]*Table38[[#This Row],[Total Time to Repair(h)]]</f>
        <v>5.9284242576000012E-2</v>
      </c>
    </row>
    <row r="7" spans="1:28" x14ac:dyDescent="0.25">
      <c r="A7" s="8" t="s">
        <v>8</v>
      </c>
      <c r="B7" s="8" t="s">
        <v>60</v>
      </c>
      <c r="C7" s="25">
        <v>4</v>
      </c>
      <c r="D7" s="25">
        <f>156</f>
        <v>156</v>
      </c>
      <c r="E7" s="8">
        <v>0</v>
      </c>
      <c r="F7" s="8">
        <f>Table38[[#This Row],[Floor Space per component]]*Table38[[#This Row],[Quantity]]</f>
        <v>0</v>
      </c>
      <c r="G7" s="8">
        <v>0</v>
      </c>
      <c r="H7" s="8">
        <f>Table38[[#This Row],[Rent per sqm per year]]*Table38[[#This Row],[Total Floor Space]]</f>
        <v>0</v>
      </c>
      <c r="I7" s="8">
        <v>0</v>
      </c>
      <c r="J7" s="8">
        <v>0</v>
      </c>
      <c r="K7" s="8">
        <v>0</v>
      </c>
      <c r="L7" s="8">
        <f>4.5*Table38[[#This Row],[Quantity]]</f>
        <v>702</v>
      </c>
      <c r="M7" s="8">
        <f>Table38[[#This Row],[Energy consumption in W]]*24*365/1000</f>
        <v>6149.52</v>
      </c>
      <c r="N7" s="8">
        <f t="shared" si="0"/>
        <v>6.0960000000000007E-3</v>
      </c>
      <c r="O7" s="8">
        <f>Table38[[#This Row],[Yearly Energy Consumption in kWh]]*Table38[[#This Row],[CU/kWh]]</f>
        <v>37.487473920000006</v>
      </c>
      <c r="P7" s="8">
        <v>1.5</v>
      </c>
      <c r="Q7" s="8">
        <v>20</v>
      </c>
      <c r="R7" s="8">
        <f>Table38[[#This Row],[Quantity]]*(Table38[[#This Row],[FIT]]*24*365)/1000000000</f>
        <v>0</v>
      </c>
      <c r="S7" s="8">
        <f>2*Table38[[#This Row],[Mean dist in km from CO]]/Table38[[#This Row],[Avg Travel Speed]]</f>
        <v>0.15</v>
      </c>
      <c r="T7" s="8">
        <f>Table38[[#This Row],[MTTR]]+Table38[[#This Row],[Twice Travel Time]]</f>
        <v>0.15</v>
      </c>
      <c r="U7" s="8">
        <v>1</v>
      </c>
      <c r="V7" s="8">
        <f t="shared" si="1"/>
        <v>3.8</v>
      </c>
      <c r="W7" s="8">
        <f>Table38[[#This Row],[Cost per hour]]*Table38[[#This Row],[Total Time to Repair(h)]]*Table38[[#This Row],[Failures per year]]</f>
        <v>0</v>
      </c>
      <c r="X7" s="8">
        <v>2</v>
      </c>
      <c r="Y7" s="8">
        <v>7.0000000000000007E-2</v>
      </c>
      <c r="Z7" s="8">
        <f t="shared" si="2"/>
        <v>7.0540000000000005E-2</v>
      </c>
      <c r="AA7" s="8">
        <f>Table38[[#This Row],[Percentage of Business Users]]*Table38[[#This Row],[SLA CU per hour]]*Table38[[#This Row],[Failures per year]]*Table38[[#This Row],[Total Time to Repair(h)]]</f>
        <v>0</v>
      </c>
      <c r="AB7" s="8">
        <f>Table38[[#This Row],[Percentage of ITS and business users]]*Table38[[#This Row],[SLA CU per hour]]*Table38[[#This Row],[Failures per year]]*Table38[[#This Row],[Total Time to Repair(h)]]</f>
        <v>0</v>
      </c>
    </row>
    <row r="8" spans="1:28" x14ac:dyDescent="0.25">
      <c r="A8" s="8" t="s">
        <v>10</v>
      </c>
      <c r="B8" s="8" t="s">
        <v>9</v>
      </c>
      <c r="C8" s="25">
        <v>1.8</v>
      </c>
      <c r="D8" s="25">
        <v>610</v>
      </c>
      <c r="E8" s="8">
        <v>0</v>
      </c>
      <c r="F8" s="8">
        <f>Table38[[#This Row],[Floor Space per component]]*Table38[[#This Row],[Quantity]]</f>
        <v>0</v>
      </c>
      <c r="G8" s="8">
        <v>0</v>
      </c>
      <c r="H8" s="8">
        <f>Table38[[#This Row],[Rent per sqm per year]]*Table38[[#This Row],[Total Floor Space]]</f>
        <v>0</v>
      </c>
      <c r="I8" s="8">
        <f>1/6*(1+Table38[[#This Row],[Quantity]])</f>
        <v>101.83333333333333</v>
      </c>
      <c r="J8" s="8">
        <v>6</v>
      </c>
      <c r="K8" s="8">
        <v>50</v>
      </c>
      <c r="L8" s="8">
        <f>0*Table38[[#This Row],[Quantity]]</f>
        <v>0</v>
      </c>
      <c r="M8" s="8">
        <f>Table38[[#This Row],[Energy consumption in W]]*24*365/1000</f>
        <v>0</v>
      </c>
      <c r="N8" s="8">
        <f t="shared" si="0"/>
        <v>6.0960000000000007E-3</v>
      </c>
      <c r="O8" s="8">
        <f>Table38[[#This Row],[Yearly Energy Consumption in kWh]]*Table38[[#This Row],[CU/kWh]]</f>
        <v>0</v>
      </c>
      <c r="P8" s="8">
        <v>2</v>
      </c>
      <c r="Q8" s="8">
        <v>20</v>
      </c>
      <c r="R8" s="8">
        <f>Table38[[#This Row],[Quantity]]*(Table38[[#This Row],[FIT]]*24*365)/1000000000</f>
        <v>0.26717999999999997</v>
      </c>
      <c r="S8" s="8">
        <f>2*Table38[[#This Row],[Mean dist in km from CO]]/Table38[[#This Row],[Avg Travel Speed]]</f>
        <v>0.2</v>
      </c>
      <c r="T8" s="8">
        <f>Table38[[#This Row],[MTTR]]+Table38[[#This Row],[Twice Travel Time]]</f>
        <v>6.2</v>
      </c>
      <c r="U8" s="8">
        <v>1</v>
      </c>
      <c r="V8" s="8">
        <f t="shared" si="1"/>
        <v>3.8</v>
      </c>
      <c r="W8" s="8">
        <f>Table38[[#This Row],[Cost per hour]]*Table38[[#This Row],[Total Time to Repair(h)]]*Table38[[#This Row],[Failures per year]]</f>
        <v>6.2947607999999988</v>
      </c>
      <c r="X8" s="8">
        <v>2</v>
      </c>
      <c r="Y8" s="8">
        <v>7.0000000000000007E-2</v>
      </c>
      <c r="Z8" s="8">
        <f t="shared" si="2"/>
        <v>7.0540000000000005E-2</v>
      </c>
      <c r="AA8" s="8">
        <f>Table38[[#This Row],[Percentage of Business Users]]*Table38[[#This Row],[SLA CU per hour]]*Table38[[#This Row],[Failures per year]]*Table38[[#This Row],[Total Time to Repair(h)]]</f>
        <v>0.23191223999999999</v>
      </c>
      <c r="AB8" s="8">
        <f>Table38[[#This Row],[Percentage of ITS and business users]]*Table38[[#This Row],[SLA CU per hour]]*Table38[[#This Row],[Failures per year]]*Table38[[#This Row],[Total Time to Repair(h)]]</f>
        <v>0.23370127728000001</v>
      </c>
    </row>
    <row r="9" spans="1:28" x14ac:dyDescent="0.25">
      <c r="A9" s="8" t="s">
        <v>13</v>
      </c>
      <c r="B9" s="8" t="s">
        <v>61</v>
      </c>
      <c r="C9" s="25">
        <f>10</f>
        <v>10</v>
      </c>
      <c r="D9" s="25">
        <v>5000</v>
      </c>
      <c r="E9" s="8">
        <v>1</v>
      </c>
      <c r="F9" s="8">
        <f>Table38[[#This Row],[Floor Space per component]]*Table38[[#This Row],[Quantity]]</f>
        <v>5000</v>
      </c>
      <c r="G9" s="8">
        <v>0</v>
      </c>
      <c r="H9" s="8">
        <f>Table38[[#This Row],[Rent per sqm per year]]*Table38[[#This Row],[Total Floor Space]]</f>
        <v>0</v>
      </c>
      <c r="I9" s="8">
        <f>(0.5+1/6*8)*Table38[[#This Row],[Quantity]]</f>
        <v>9166.6666666666661</v>
      </c>
      <c r="J9" s="8">
        <v>24</v>
      </c>
      <c r="K9" s="8">
        <v>5000</v>
      </c>
      <c r="L9" s="8">
        <f>50*Table38[[#This Row],[Quantity]]</f>
        <v>250000</v>
      </c>
      <c r="M9" s="8">
        <f>Table38[[#This Row],[Energy consumption in W]]*24*365/1000</f>
        <v>2190000</v>
      </c>
      <c r="N9" s="8">
        <f t="shared" si="0"/>
        <v>6.0960000000000007E-3</v>
      </c>
      <c r="O9" s="8">
        <f>Table38[[#This Row],[Yearly Energy Consumption in kWh]]*Table38[[#This Row],[CU/kWh]]</f>
        <v>13350.240000000002</v>
      </c>
      <c r="P9" s="8">
        <v>2.25</v>
      </c>
      <c r="Q9" s="8">
        <v>20</v>
      </c>
      <c r="R9" s="8">
        <f>Table38[[#This Row],[Quantity]]*(Table38[[#This Row],[FIT]]*24*365)/1000000000</f>
        <v>219</v>
      </c>
      <c r="S9" s="8">
        <f>2*Table38[[#This Row],[Mean dist in km from CO]]/Table38[[#This Row],[Avg Travel Speed]]</f>
        <v>0.22500000000000001</v>
      </c>
      <c r="T9" s="8">
        <f>Table38[[#This Row],[MTTR]]+Table38[[#This Row],[Twice Travel Time]]</f>
        <v>24.225000000000001</v>
      </c>
      <c r="U9" s="8">
        <v>1</v>
      </c>
      <c r="V9" s="8">
        <f t="shared" si="1"/>
        <v>3.8</v>
      </c>
      <c r="W9" s="8">
        <f>Table38[[#This Row],[Cost per hour]]*Table38[[#This Row],[Total Time to Repair(h)]]*Table38[[#This Row],[Failures per year]]</f>
        <v>20160.045000000002</v>
      </c>
      <c r="X9" s="8">
        <v>2</v>
      </c>
      <c r="Y9" s="8">
        <v>7.0000000000000007E-2</v>
      </c>
      <c r="Z9" s="8">
        <f t="shared" si="2"/>
        <v>7.0540000000000005E-2</v>
      </c>
      <c r="AA9" s="8">
        <f>Table38[[#This Row],[Percentage of Business Users]]*Table38[[#This Row],[SLA CU per hour]]*Table38[[#This Row],[Failures per year]]*Table38[[#This Row],[Total Time to Repair(h)]]</f>
        <v>742.73850000000016</v>
      </c>
      <c r="AB9" s="8">
        <f>Table38[[#This Row],[Percentage of ITS and business users]]*Table38[[#This Row],[SLA CU per hour]]*Table38[[#This Row],[Failures per year]]*Table38[[#This Row],[Total Time to Repair(h)]]</f>
        <v>748.46819700000015</v>
      </c>
    </row>
    <row r="10" spans="1:28" x14ac:dyDescent="0.25">
      <c r="A10" s="8" t="s">
        <v>13</v>
      </c>
      <c r="B10" s="8" t="s">
        <v>62</v>
      </c>
      <c r="C10" s="25">
        <v>2.2999999999999998</v>
      </c>
      <c r="D10" s="25">
        <v>5000</v>
      </c>
      <c r="E10" s="8">
        <v>0</v>
      </c>
      <c r="F10" s="8">
        <f>Table38[[#This Row],[Floor Space per component]]*Table38[[#This Row],[Quantity]]</f>
        <v>0</v>
      </c>
      <c r="G10" s="8">
        <v>0</v>
      </c>
      <c r="H10" s="8">
        <f>Table38[[#This Row],[Rent per sqm per year]]*Table38[[#This Row],[Total Floor Space]]</f>
        <v>0</v>
      </c>
      <c r="I10" s="8">
        <f>1*Table38[[#This Row],[Quantity]]</f>
        <v>5000</v>
      </c>
      <c r="J10" s="8">
        <v>6</v>
      </c>
      <c r="K10" s="8">
        <v>256</v>
      </c>
      <c r="L10" s="8">
        <f>6.5*Table38[[#This Row],[Quantity]]</f>
        <v>32500</v>
      </c>
      <c r="M10" s="8">
        <f>Table38[[#This Row],[Energy consumption in W]]*24*365/1000</f>
        <v>284700</v>
      </c>
      <c r="N10" s="8">
        <f t="shared" si="0"/>
        <v>6.0960000000000007E-3</v>
      </c>
      <c r="O10" s="8">
        <f>Table38[[#This Row],[Yearly Energy Consumption in kWh]]*Table38[[#This Row],[CU/kWh]]</f>
        <v>1735.5312000000001</v>
      </c>
      <c r="P10" s="8">
        <v>2.25</v>
      </c>
      <c r="Q10" s="8">
        <v>20</v>
      </c>
      <c r="R10" s="8">
        <f>Table38[[#This Row],[Quantity]]*(Table38[[#This Row],[FIT]]*24*365)/1000000000</f>
        <v>11.2128</v>
      </c>
      <c r="S10" s="8">
        <f>2*Table38[[#This Row],[Mean dist in km from CO]]/Table38[[#This Row],[Avg Travel Speed]]</f>
        <v>0.22500000000000001</v>
      </c>
      <c r="T10" s="8">
        <f>Table38[[#This Row],[MTTR]]+Table38[[#This Row],[Twice Travel Time]]</f>
        <v>6.2249999999999996</v>
      </c>
      <c r="U10" s="8">
        <v>1</v>
      </c>
      <c r="V10" s="8">
        <f t="shared" si="1"/>
        <v>3.8</v>
      </c>
      <c r="W10" s="8">
        <f>Table38[[#This Row],[Cost per hour]]*Table38[[#This Row],[Total Time to Repair(h)]]*Table38[[#This Row],[Failures per year]]</f>
        <v>265.23878399999995</v>
      </c>
      <c r="X10" s="8">
        <v>2</v>
      </c>
      <c r="Y10" s="8">
        <v>7.0000000000000007E-2</v>
      </c>
      <c r="Z10" s="8">
        <f t="shared" si="2"/>
        <v>7.0540000000000005E-2</v>
      </c>
      <c r="AA10" s="8">
        <f>Table38[[#This Row],[Percentage of Business Users]]*Table38[[#This Row],[SLA CU per hour]]*Table38[[#This Row],[Failures per year]]*Table38[[#This Row],[Total Time to Repair(h)]]</f>
        <v>9.7719552000000007</v>
      </c>
      <c r="AB10" s="8">
        <f>Table38[[#This Row],[Percentage of ITS and business users]]*Table38[[#This Row],[SLA CU per hour]]*Table38[[#This Row],[Failures per year]]*Table38[[#This Row],[Total Time to Repair(h)]]</f>
        <v>9.8473388544000002</v>
      </c>
    </row>
    <row r="11" spans="1:28" x14ac:dyDescent="0.25">
      <c r="H11" s="8">
        <f>SUM(Table38[Total Rent cost per year])</f>
        <v>5936</v>
      </c>
      <c r="O11" s="8">
        <f>SUBTOTAL(109,Table38[Energy Cost per year in CU])</f>
        <v>15946.915080960001</v>
      </c>
      <c r="W11" s="8">
        <f>SUBTOTAL(109,Table38[FM Cost])</f>
        <v>20435.016063408002</v>
      </c>
      <c r="AA11" s="8">
        <f>SUBTOTAL(109,Table38[FM Penalty Business])</f>
        <v>752.86901286240015</v>
      </c>
      <c r="AB11" s="8">
        <f>SUBTOTAL(109,Table38[FM Penalty ITS])</f>
        <v>758.67685953305295</v>
      </c>
    </row>
    <row r="14" spans="1:28" x14ac:dyDescent="0.25">
      <c r="A14" s="8" t="s">
        <v>39</v>
      </c>
      <c r="B14" s="8" t="s">
        <v>64</v>
      </c>
      <c r="C14" s="8" t="s">
        <v>65</v>
      </c>
      <c r="D14" s="8" t="s">
        <v>17</v>
      </c>
      <c r="E14" s="8" t="s">
        <v>66</v>
      </c>
      <c r="F14" s="8" t="s">
        <v>26</v>
      </c>
      <c r="G14" s="8" t="s">
        <v>67</v>
      </c>
      <c r="H14" s="8" t="s">
        <v>68</v>
      </c>
      <c r="I14" s="8" t="s">
        <v>69</v>
      </c>
    </row>
    <row r="15" spans="1:28" x14ac:dyDescent="0.25">
      <c r="B15" s="9">
        <f>171056.493544313/1000</f>
        <v>171.05649354431301</v>
      </c>
      <c r="C15" s="8">
        <v>570</v>
      </c>
      <c r="E15" s="8">
        <v>20</v>
      </c>
    </row>
    <row r="16" spans="1:28" x14ac:dyDescent="0.25">
      <c r="B16" s="9">
        <f>85582.6331149716/1000</f>
        <v>85.5826331149716</v>
      </c>
      <c r="C16" s="8">
        <v>570</v>
      </c>
      <c r="E16" s="8">
        <v>20</v>
      </c>
    </row>
    <row r="17" spans="1:15" x14ac:dyDescent="0.25">
      <c r="B17" s="9">
        <f>384090.367674523/1000</f>
        <v>384.09036767452295</v>
      </c>
      <c r="C17" s="8">
        <v>570</v>
      </c>
      <c r="E17" s="8">
        <v>20</v>
      </c>
    </row>
    <row r="19" spans="1:15" x14ac:dyDescent="0.25">
      <c r="A19" s="8" t="s">
        <v>40</v>
      </c>
      <c r="B19" s="8" t="s">
        <v>17</v>
      </c>
      <c r="C19" s="8" t="s">
        <v>16</v>
      </c>
      <c r="D19" s="8" t="s">
        <v>41</v>
      </c>
      <c r="E19" s="8" t="s">
        <v>30</v>
      </c>
      <c r="F19" s="8" t="s">
        <v>45</v>
      </c>
      <c r="G19" s="8" t="s">
        <v>48</v>
      </c>
      <c r="H19" s="8" t="s">
        <v>49</v>
      </c>
      <c r="I19" s="8" t="s">
        <v>51</v>
      </c>
      <c r="J19" s="8" t="s">
        <v>112</v>
      </c>
      <c r="K19" s="8" t="s">
        <v>118</v>
      </c>
      <c r="L19" s="8" t="s">
        <v>119</v>
      </c>
      <c r="M19" s="8" t="s">
        <v>120</v>
      </c>
      <c r="N19" s="8" t="s">
        <v>121</v>
      </c>
    </row>
    <row r="20" spans="1:15" x14ac:dyDescent="0.25">
      <c r="A20" s="8" t="s">
        <v>42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B20*24*365*E20*H20/1000000000</f>
        <v>78.220243988925176</v>
      </c>
      <c r="J20" s="8">
        <v>2</v>
      </c>
      <c r="K20" s="8">
        <v>7.0000000000000007E-2</v>
      </c>
      <c r="L20" s="8">
        <v>7.0250000000000007E-2</v>
      </c>
      <c r="M20" s="8">
        <f>K20*J20*H20*B20*24*365/1000000000</f>
        <v>2.8817984627498752</v>
      </c>
      <c r="N20" s="8">
        <f>L20*J20*H20*B20*24*365/1000000000</f>
        <v>2.8920906001168385</v>
      </c>
    </row>
    <row r="21" spans="1:15" x14ac:dyDescent="0.25">
      <c r="A21" s="8" t="s">
        <v>43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3">2*F21/20</f>
        <v>0.2</v>
      </c>
      <c r="H21" s="8">
        <f t="shared" ref="H21:H22" si="4">G21+C21</f>
        <v>24.2</v>
      </c>
      <c r="I21" s="8">
        <f t="shared" ref="I21:I22" si="5">B21*24*365*E21*H21/1000000000</f>
        <v>39.297377489463408</v>
      </c>
      <c r="J21" s="8">
        <v>2</v>
      </c>
      <c r="K21" s="8">
        <v>7.0000000000000007E-2</v>
      </c>
      <c r="L21" s="8">
        <v>7.0250000000000007E-2</v>
      </c>
      <c r="M21" s="8">
        <f t="shared" ref="M21:M22" si="6">K21*J21*H21*B21*24*365/1000000000</f>
        <v>1.4477981180328632</v>
      </c>
      <c r="N21" s="8">
        <f t="shared" ref="N21:N22" si="7">L21*J21*H21*B21*24*365/1000000000</f>
        <v>1.4529688255972659</v>
      </c>
    </row>
    <row r="22" spans="1:15" x14ac:dyDescent="0.25">
      <c r="A22" s="8" t="s">
        <v>63</v>
      </c>
      <c r="B22" s="8">
        <f>C17*B17</f>
        <v>218931.50957447808</v>
      </c>
      <c r="C22" s="15">
        <v>24</v>
      </c>
      <c r="D22" s="8">
        <v>2</v>
      </c>
      <c r="E22" s="8">
        <v>3.8</v>
      </c>
      <c r="F22" s="8">
        <v>4</v>
      </c>
      <c r="G22" s="8">
        <f t="shared" si="3"/>
        <v>0.4</v>
      </c>
      <c r="H22" s="8">
        <f t="shared" si="4"/>
        <v>24.4</v>
      </c>
      <c r="I22" s="8">
        <f t="shared" si="5"/>
        <v>177.82212701345154</v>
      </c>
      <c r="J22" s="8">
        <v>2</v>
      </c>
      <c r="K22" s="8">
        <v>7.0000000000000007E-2</v>
      </c>
      <c r="L22" s="8">
        <v>7.0250000000000007E-2</v>
      </c>
      <c r="M22" s="8">
        <f t="shared" si="6"/>
        <v>6.5513415215482151</v>
      </c>
      <c r="N22" s="8">
        <f t="shared" si="7"/>
        <v>6.5747391698394591</v>
      </c>
    </row>
    <row r="23" spans="1:15" x14ac:dyDescent="0.25">
      <c r="I23" s="8">
        <f>SUM(I20:I22)</f>
        <v>295.33974849184011</v>
      </c>
    </row>
    <row r="30" spans="1:15" x14ac:dyDescent="0.25">
      <c r="G30" s="8" t="s">
        <v>70</v>
      </c>
    </row>
    <row r="31" spans="1:15" x14ac:dyDescent="0.25">
      <c r="G31" s="8">
        <f>Table38[[#Totals],[Total Rent cost per year]]+Table38[[#Totals],[Energy Cost per year in CU]]+Table38[[#Totals],[FM Cost]]+I23</f>
        <v>42613.270892859844</v>
      </c>
      <c r="L31" s="8" t="s">
        <v>98</v>
      </c>
      <c r="M31" s="8" t="s">
        <v>113</v>
      </c>
      <c r="N31" s="8" t="s">
        <v>114</v>
      </c>
      <c r="O31" s="8" t="s">
        <v>122</v>
      </c>
    </row>
    <row r="32" spans="1:15" x14ac:dyDescent="0.25">
      <c r="B32" s="9"/>
      <c r="C32" s="9"/>
      <c r="D32" s="9"/>
      <c r="L32" s="8" t="s">
        <v>93</v>
      </c>
      <c r="M32" s="8">
        <f>Table38[[#Totals],[Total Rent cost per year]]</f>
        <v>5936</v>
      </c>
      <c r="N32" s="8">
        <f>Table38[[#Totals],[Total Rent cost per year]]</f>
        <v>5936</v>
      </c>
      <c r="O32" s="8">
        <f>Table38[[#Totals],[Total Rent cost per year]]</f>
        <v>5936</v>
      </c>
    </row>
    <row r="33" spans="12:15" x14ac:dyDescent="0.25">
      <c r="L33" s="8" t="s">
        <v>94</v>
      </c>
      <c r="M33" s="8">
        <f>Table38[[#Totals],[Energy Cost per year in CU]]</f>
        <v>15946.915080960001</v>
      </c>
      <c r="N33" s="8">
        <f>Table38[[#Totals],[Energy Cost per year in CU]]</f>
        <v>15946.915080960001</v>
      </c>
      <c r="O33" s="8">
        <f>Table38[[#Totals],[Energy Cost per year in CU]]</f>
        <v>15946.915080960001</v>
      </c>
    </row>
    <row r="34" spans="12:15" x14ac:dyDescent="0.25">
      <c r="L34" s="8" t="s">
        <v>95</v>
      </c>
      <c r="M34" s="8">
        <f>Table38[[#Totals],[FM Cost]]+I23</f>
        <v>20730.355811899841</v>
      </c>
      <c r="N34" s="8">
        <f>Table38[[#Totals],[FM Cost]]+$I$23+M20+M21+M22+Table38[[#Totals],[FM Penalty Business]]</f>
        <v>21494.105762864569</v>
      </c>
      <c r="O34" s="8">
        <f>Table38[[#Totals],[FM Cost]]+$I$23+N20+N21+N22+Table38[[#Totals],[FM Penalty ITS]]</f>
        <v>21499.952470028449</v>
      </c>
    </row>
    <row r="35" spans="12:15" x14ac:dyDescent="0.25">
      <c r="L35" s="8" t="s">
        <v>96</v>
      </c>
      <c r="M35" s="8">
        <f>0.05*SUM(M32:M34)</f>
        <v>2130.6635446429923</v>
      </c>
      <c r="N35" s="8">
        <f>0.05*SUM(N32:N34)</f>
        <v>2168.8510421912288</v>
      </c>
      <c r="O35" s="8">
        <f>0.05*SUM(O32:O34)</f>
        <v>2169.1433775494224</v>
      </c>
    </row>
    <row r="36" spans="12:15" x14ac:dyDescent="0.25">
      <c r="L36" s="8" t="s">
        <v>97</v>
      </c>
      <c r="M36" s="8">
        <f>0.07*SUM(M32:M34)</f>
        <v>2982.9289625001893</v>
      </c>
      <c r="N36" s="8">
        <f>0.07*SUM(N32:N34)</f>
        <v>3036.3914590677205</v>
      </c>
      <c r="O36" s="8">
        <f>0.07*SUM(O32:O34)</f>
        <v>3036.8007285691915</v>
      </c>
    </row>
    <row r="37" spans="12:15" x14ac:dyDescent="0.25">
      <c r="M37" s="8">
        <f>SUM(Table1416[Residential])</f>
        <v>47726.863400003029</v>
      </c>
      <c r="N37" s="8">
        <f>SUBTOTAL(109,Table1416[Business])</f>
        <v>48582.263345083527</v>
      </c>
      <c r="O37" s="8">
        <f>SUBTOTAL(109,Table1416[Business ITS])</f>
        <v>48588.811657107064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D1" workbookViewId="0">
      <selection activeCell="M34" sqref="M34"/>
    </sheetView>
  </sheetViews>
  <sheetFormatPr defaultColWidth="8.85546875" defaultRowHeight="15" x14ac:dyDescent="0.25"/>
  <cols>
    <col min="1" max="1" width="23.5703125" style="8" customWidth="1"/>
    <col min="2" max="2" width="19.140625" style="8" customWidth="1"/>
    <col min="3" max="3" width="20.140625" style="8" customWidth="1"/>
    <col min="4" max="4" width="16.42578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0" width="15.140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36</v>
      </c>
      <c r="F1" s="8" t="s">
        <v>35</v>
      </c>
      <c r="G1" s="8" t="s">
        <v>37</v>
      </c>
      <c r="H1" s="8" t="s">
        <v>38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</row>
    <row r="2" spans="1:24" x14ac:dyDescent="0.25">
      <c r="A2" s="16" t="s">
        <v>3</v>
      </c>
      <c r="B2" s="17" t="s">
        <v>71</v>
      </c>
      <c r="C2" s="25">
        <v>16</v>
      </c>
      <c r="D2" s="25">
        <v>3</v>
      </c>
      <c r="E2" s="8">
        <v>0</v>
      </c>
      <c r="F2" s="8">
        <f>E2*D2</f>
        <v>0</v>
      </c>
      <c r="G2" s="8">
        <v>10.6</v>
      </c>
      <c r="H2" s="8">
        <f>G2*F2</f>
        <v>0</v>
      </c>
      <c r="I2" s="8">
        <v>0</v>
      </c>
      <c r="J2" s="8">
        <v>2</v>
      </c>
      <c r="K2" s="8">
        <v>256</v>
      </c>
      <c r="L2" s="8">
        <f>12*D2</f>
        <v>36</v>
      </c>
      <c r="M2" s="8">
        <f>Table19[[#This Row],[Energy consumption in W]]*24*365/1000</f>
        <v>315.36</v>
      </c>
      <c r="N2" s="8">
        <f>0.3048/50</f>
        <v>6.0960000000000007E-3</v>
      </c>
      <c r="O2" s="8">
        <f>Table19[[#This Row],[Yearly Energy Consumption in kWh]]*Table19[[#This Row],[CU/kWh]]</f>
        <v>1.9224345600000003</v>
      </c>
      <c r="P2" s="8">
        <v>0</v>
      </c>
      <c r="Q2" s="8">
        <v>20</v>
      </c>
      <c r="R2" s="8">
        <f>Table19[[#This Row],[Quantity]]*Table19[[#This Row],[FIT]]*24*365/1000000000</f>
        <v>6.7276799999999998E-3</v>
      </c>
      <c r="S2" s="8">
        <f>2*Table19[[#This Row],[Mean dist in km from CO]]/Table19[[#This Row],[Avg Travel Speed]]</f>
        <v>0</v>
      </c>
      <c r="T2" s="8">
        <f>Table19[[#This Row],[MTTR]]+Table19[[#This Row],[Twice Travel Time]]</f>
        <v>2</v>
      </c>
      <c r="U2" s="8">
        <v>1</v>
      </c>
      <c r="V2" s="8">
        <v>3.8</v>
      </c>
      <c r="W2" s="8">
        <f>Table19[[#This Row],[Cost per hour]]*Table19[[#This Row],[No. Of technicians]]*Table19[[#This Row],[Total Time to Repair(h)]]*Table19[[#This Row],[Failures per year]]</f>
        <v>5.1130367999999995E-2</v>
      </c>
    </row>
    <row r="3" spans="1:24" x14ac:dyDescent="0.25">
      <c r="A3" s="19" t="s">
        <v>3</v>
      </c>
      <c r="B3" s="20" t="s">
        <v>72</v>
      </c>
      <c r="C3" s="25">
        <v>17</v>
      </c>
      <c r="D3" s="25">
        <f>65*2</f>
        <v>130</v>
      </c>
      <c r="E3" s="8">
        <v>5</v>
      </c>
      <c r="F3" s="8">
        <f t="shared" ref="F3:F10" si="0">E3*D3</f>
        <v>650</v>
      </c>
      <c r="G3" s="8">
        <v>10.6</v>
      </c>
      <c r="H3" s="8">
        <f t="shared" ref="H3:H10" si="1">G3*F3</f>
        <v>6890</v>
      </c>
      <c r="I3" s="8">
        <f>0.5+(1/6*D3)</f>
        <v>22.166666666666664</v>
      </c>
      <c r="J3" s="8">
        <v>2</v>
      </c>
      <c r="K3" s="8">
        <v>50</v>
      </c>
      <c r="L3" s="8">
        <f>5*D3</f>
        <v>650</v>
      </c>
      <c r="M3" s="8">
        <f>Table19[[#This Row],[Energy consumption in W]]*24*365/1000</f>
        <v>5694</v>
      </c>
      <c r="N3" s="8">
        <f t="shared" ref="N3:N10" si="2">0.3048/50</f>
        <v>6.0960000000000007E-3</v>
      </c>
      <c r="O3" s="8">
        <f>Table19[[#This Row],[Yearly Energy Consumption in kWh]]*Table19[[#This Row],[CU/kWh]]</f>
        <v>34.710624000000003</v>
      </c>
      <c r="P3" s="8">
        <v>0</v>
      </c>
      <c r="Q3" s="8">
        <v>20</v>
      </c>
      <c r="R3" s="8">
        <f>Table19[[#This Row],[Quantity]]*Table19[[#This Row],[FIT]]*24*365/1000000000</f>
        <v>5.6939999999999998E-2</v>
      </c>
      <c r="S3" s="8">
        <f>2*Table19[[#This Row],[Mean dist in km from CO]]/Table19[[#This Row],[Avg Travel Speed]]</f>
        <v>0</v>
      </c>
      <c r="T3" s="8">
        <f>Table19[[#This Row],[MTTR]]+Table19[[#This Row],[Twice Travel Time]]</f>
        <v>2</v>
      </c>
      <c r="U3" s="8">
        <v>1</v>
      </c>
      <c r="V3" s="8">
        <v>3.8</v>
      </c>
      <c r="W3" s="8">
        <f>Table19[[#This Row],[Cost per hour]]*Table19[[#This Row],[No. Of technicians]]*Table19[[#This Row],[Total Time to Repair(h)]]*Table19[[#This Row],[Failures per year]]</f>
        <v>0.43274399999999996</v>
      </c>
    </row>
    <row r="4" spans="1:24" x14ac:dyDescent="0.25">
      <c r="A4" s="16" t="s">
        <v>3</v>
      </c>
      <c r="B4" s="17" t="s">
        <v>73</v>
      </c>
      <c r="C4" s="25">
        <v>63</v>
      </c>
      <c r="D4" s="25">
        <f t="shared" ref="D4:D5" si="3">65*2</f>
        <v>130</v>
      </c>
      <c r="E4" s="8">
        <v>0</v>
      </c>
      <c r="F4" s="8">
        <f t="shared" si="0"/>
        <v>0</v>
      </c>
      <c r="G4" s="8">
        <v>10.6</v>
      </c>
      <c r="H4" s="8">
        <f t="shared" si="1"/>
        <v>0</v>
      </c>
      <c r="I4" s="8">
        <v>0</v>
      </c>
      <c r="J4" s="8">
        <v>2</v>
      </c>
      <c r="K4" s="8">
        <v>50</v>
      </c>
      <c r="L4" s="8">
        <f>48*C4</f>
        <v>3024</v>
      </c>
      <c r="M4" s="8">
        <f>Table19[[#This Row],[Energy consumption in W]]*24*365/1000</f>
        <v>26490.240000000002</v>
      </c>
      <c r="N4" s="8">
        <f t="shared" si="2"/>
        <v>6.0960000000000007E-3</v>
      </c>
      <c r="O4" s="8">
        <f>Table19[[#This Row],[Yearly Energy Consumption in kWh]]*Table19[[#This Row],[CU/kWh]]</f>
        <v>161.48450304000002</v>
      </c>
      <c r="P4" s="8">
        <v>0</v>
      </c>
      <c r="Q4" s="8">
        <v>20</v>
      </c>
      <c r="R4" s="8">
        <f>Table19[[#This Row],[Quantity]]*Table19[[#This Row],[FIT]]*24*365/1000000000</f>
        <v>5.6939999999999998E-2</v>
      </c>
      <c r="S4" s="8">
        <f>2*Table19[[#This Row],[Mean dist in km from CO]]/Table19[[#This Row],[Avg Travel Speed]]</f>
        <v>0</v>
      </c>
      <c r="T4" s="8">
        <f>Table19[[#This Row],[MTTR]]+Table19[[#This Row],[Twice Travel Time]]</f>
        <v>2</v>
      </c>
      <c r="U4" s="8">
        <v>1</v>
      </c>
      <c r="V4" s="8">
        <v>3.8</v>
      </c>
      <c r="W4" s="8">
        <f>Table19[[#This Row],[Cost per hour]]*Table19[[#This Row],[No. Of technicians]]*Table19[[#This Row],[Total Time to Repair(h)]]*Table19[[#This Row],[Failures per year]]</f>
        <v>0.43274399999999996</v>
      </c>
    </row>
    <row r="5" spans="1:24" x14ac:dyDescent="0.25">
      <c r="A5" s="19" t="s">
        <v>3</v>
      </c>
      <c r="B5" s="20" t="s">
        <v>74</v>
      </c>
      <c r="C5" s="25">
        <v>2.2999999999999998</v>
      </c>
      <c r="D5" s="25">
        <f t="shared" si="3"/>
        <v>130</v>
      </c>
      <c r="E5" s="8">
        <v>0</v>
      </c>
      <c r="F5" s="8">
        <f t="shared" si="0"/>
        <v>0</v>
      </c>
      <c r="G5" s="8">
        <v>10.6</v>
      </c>
      <c r="H5" s="8">
        <f t="shared" si="1"/>
        <v>0</v>
      </c>
      <c r="I5" s="8">
        <v>0</v>
      </c>
      <c r="J5" s="8">
        <v>2</v>
      </c>
      <c r="K5" s="8">
        <v>50</v>
      </c>
      <c r="L5" s="8">
        <v>0</v>
      </c>
      <c r="M5" s="8">
        <f>Table19[[#This Row],[Energy consumption in W]]*24*365/1000</f>
        <v>0</v>
      </c>
      <c r="N5" s="8">
        <f t="shared" si="2"/>
        <v>6.0960000000000007E-3</v>
      </c>
      <c r="O5" s="8">
        <f>Table19[[#This Row],[Yearly Energy Consumption in kWh]]*Table19[[#This Row],[CU/kWh]]</f>
        <v>0</v>
      </c>
      <c r="P5" s="8">
        <v>0</v>
      </c>
      <c r="Q5" s="8">
        <v>20</v>
      </c>
      <c r="R5" s="8">
        <f>Table19[[#This Row],[Quantity]]*Table19[[#This Row],[FIT]]*24*365/1000000000</f>
        <v>5.6939999999999998E-2</v>
      </c>
      <c r="S5" s="8">
        <f>2*Table19[[#This Row],[Mean dist in km from CO]]/Table19[[#This Row],[Avg Travel Speed]]</f>
        <v>0</v>
      </c>
      <c r="T5" s="8">
        <f>Table19[[#This Row],[MTTR]]+Table19[[#This Row],[Twice Travel Time]]</f>
        <v>2</v>
      </c>
      <c r="U5" s="8">
        <v>1</v>
      </c>
      <c r="V5" s="8">
        <v>3.8</v>
      </c>
      <c r="W5" s="8">
        <f>Table19[[#This Row],[Cost per hour]]*Table19[[#This Row],[No. Of technicians]]*Table19[[#This Row],[Total Time to Repair(h)]]*Table19[[#This Row],[Failures per year]]</f>
        <v>0.43274399999999996</v>
      </c>
    </row>
    <row r="6" spans="1:24" x14ac:dyDescent="0.25">
      <c r="A6" s="16" t="s">
        <v>3</v>
      </c>
      <c r="B6" s="17" t="s">
        <v>75</v>
      </c>
      <c r="C6" s="25">
        <f>0.1/4.5</f>
        <v>2.2222222222222223E-2</v>
      </c>
      <c r="D6" s="25">
        <v>3120</v>
      </c>
      <c r="E6" s="8">
        <v>0</v>
      </c>
      <c r="F6" s="8">
        <f t="shared" si="0"/>
        <v>0</v>
      </c>
      <c r="G6" s="8">
        <v>10.6</v>
      </c>
      <c r="H6" s="8">
        <f t="shared" si="1"/>
        <v>0</v>
      </c>
      <c r="I6" s="8">
        <v>0</v>
      </c>
      <c r="J6" s="8">
        <v>0</v>
      </c>
      <c r="K6" s="8">
        <v>0</v>
      </c>
      <c r="L6" s="8">
        <f>1*D6</f>
        <v>3120</v>
      </c>
      <c r="M6" s="8">
        <f>Table19[[#This Row],[Energy consumption in W]]*24*365/1000</f>
        <v>27331.200000000001</v>
      </c>
      <c r="N6" s="8">
        <f t="shared" si="2"/>
        <v>6.0960000000000007E-3</v>
      </c>
      <c r="O6" s="8">
        <f>Table19[[#This Row],[Yearly Energy Consumption in kWh]]*Table19[[#This Row],[CU/kWh]]</f>
        <v>166.61099520000002</v>
      </c>
      <c r="P6" s="8">
        <v>0</v>
      </c>
      <c r="Q6" s="8">
        <v>20</v>
      </c>
      <c r="R6" s="8">
        <f>Table19[[#This Row],[Quantity]]*Table19[[#This Row],[FIT]]*24*365/1000000000</f>
        <v>0</v>
      </c>
      <c r="S6" s="8">
        <f>2*Table19[[#This Row],[Mean dist in km from CO]]/Table19[[#This Row],[Avg Travel Speed]]</f>
        <v>0</v>
      </c>
      <c r="T6" s="8">
        <f>Table19[[#This Row],[MTTR]]+Table19[[#This Row],[Twice Travel Time]]</f>
        <v>0</v>
      </c>
      <c r="U6" s="8">
        <v>1</v>
      </c>
      <c r="V6" s="8">
        <v>3.8</v>
      </c>
      <c r="W6" s="8">
        <f>Table19[[#This Row],[Cost per hour]]*Table19[[#This Row],[No. Of technicians]]*Table19[[#This Row],[Total Time to Repair(h)]]*Table19[[#This Row],[Failures per year]]</f>
        <v>0</v>
      </c>
    </row>
    <row r="7" spans="1:24" x14ac:dyDescent="0.25">
      <c r="A7" s="19" t="s">
        <v>3</v>
      </c>
      <c r="B7" s="20" t="s">
        <v>76</v>
      </c>
      <c r="C7" s="25">
        <v>400</v>
      </c>
      <c r="D7" s="25">
        <v>1</v>
      </c>
      <c r="E7" s="8">
        <v>40</v>
      </c>
      <c r="F7" s="8">
        <f t="shared" si="0"/>
        <v>40</v>
      </c>
      <c r="G7" s="8">
        <v>10.6</v>
      </c>
      <c r="H7" s="8">
        <f t="shared" si="1"/>
        <v>424</v>
      </c>
      <c r="I7" s="8">
        <v>24</v>
      </c>
      <c r="J7" s="8">
        <v>0</v>
      </c>
      <c r="K7" s="8">
        <v>0</v>
      </c>
      <c r="L7" s="8">
        <v>50</v>
      </c>
      <c r="M7" s="8">
        <f>Table19[[#This Row],[Energy consumption in W]]*24*365/1000</f>
        <v>438</v>
      </c>
      <c r="N7" s="8">
        <f t="shared" si="2"/>
        <v>6.0960000000000007E-3</v>
      </c>
      <c r="O7" s="8">
        <f>Table19[[#This Row],[Yearly Energy Consumption in kWh]]*Table19[[#This Row],[CU/kWh]]</f>
        <v>2.6700480000000004</v>
      </c>
      <c r="P7" s="8">
        <v>0</v>
      </c>
      <c r="Q7" s="8">
        <v>20</v>
      </c>
      <c r="R7" s="8">
        <f>Table19[[#This Row],[Quantity]]*Table19[[#This Row],[FIT]]*24*365/1000000000</f>
        <v>0</v>
      </c>
      <c r="S7" s="8">
        <f>2*Table19[[#This Row],[Mean dist in km from CO]]/Table19[[#This Row],[Avg Travel Speed]]</f>
        <v>0</v>
      </c>
      <c r="T7" s="8">
        <f>Table19[[#This Row],[MTTR]]+Table19[[#This Row],[Twice Travel Time]]</f>
        <v>0</v>
      </c>
      <c r="U7" s="8">
        <v>1</v>
      </c>
      <c r="V7" s="8">
        <v>3.8</v>
      </c>
      <c r="W7" s="8">
        <f>Table19[[#This Row],[Cost per hour]]*Table19[[#This Row],[No. Of technicians]]*Table19[[#This Row],[Total Time to Repair(h)]]*Table19[[#This Row],[Failures per year]]</f>
        <v>0</v>
      </c>
    </row>
    <row r="8" spans="1:24" x14ac:dyDescent="0.25">
      <c r="A8" s="16" t="s">
        <v>8</v>
      </c>
      <c r="B8" s="17" t="s">
        <v>77</v>
      </c>
      <c r="C8" s="25">
        <f>80*0.3</f>
        <v>24</v>
      </c>
      <c r="D8" s="25">
        <v>65</v>
      </c>
      <c r="E8" s="8">
        <v>0</v>
      </c>
      <c r="F8" s="8">
        <f t="shared" si="0"/>
        <v>0</v>
      </c>
      <c r="G8" s="8">
        <v>10.6</v>
      </c>
      <c r="H8" s="8">
        <f t="shared" si="1"/>
        <v>0</v>
      </c>
      <c r="I8" s="8">
        <f>1/6*D8</f>
        <v>10.833333333333332</v>
      </c>
      <c r="J8" s="8">
        <v>6</v>
      </c>
      <c r="K8" s="8">
        <v>200</v>
      </c>
      <c r="L8" s="8">
        <v>0</v>
      </c>
      <c r="M8" s="8">
        <f>Table19[[#This Row],[Energy consumption in W]]*24*365/1000</f>
        <v>0</v>
      </c>
      <c r="N8" s="8">
        <f t="shared" si="2"/>
        <v>6.0960000000000007E-3</v>
      </c>
      <c r="O8" s="8">
        <f>Table19[[#This Row],[Yearly Energy Consumption in kWh]]*Table19[[#This Row],[CU/kWh]]</f>
        <v>0</v>
      </c>
      <c r="P8" s="8">
        <v>1.5</v>
      </c>
      <c r="Q8" s="8">
        <v>20</v>
      </c>
      <c r="R8" s="8">
        <f>Table19[[#This Row],[Quantity]]*Table19[[#This Row],[FIT]]*24*365/1000000000</f>
        <v>0.11388</v>
      </c>
      <c r="S8" s="8">
        <f>2*Table19[[#This Row],[Mean dist in km from CO]]/Table19[[#This Row],[Avg Travel Speed]]</f>
        <v>0.15</v>
      </c>
      <c r="T8" s="8">
        <f>Table19[[#This Row],[MTTR]]+Table19[[#This Row],[Twice Travel Time]]</f>
        <v>6.15</v>
      </c>
      <c r="U8" s="8">
        <v>1</v>
      </c>
      <c r="V8" s="8">
        <v>3.8</v>
      </c>
      <c r="W8" s="8">
        <f>Table19[[#This Row],[Cost per hour]]*Table19[[#This Row],[No. Of technicians]]*Table19[[#This Row],[Total Time to Repair(h)]]*Table19[[#This Row],[Failures per year]]</f>
        <v>2.6613756</v>
      </c>
    </row>
    <row r="9" spans="1:24" x14ac:dyDescent="0.25">
      <c r="A9" s="19" t="s">
        <v>13</v>
      </c>
      <c r="B9" s="20" t="s">
        <v>61</v>
      </c>
      <c r="C9" s="25">
        <v>10</v>
      </c>
      <c r="D9" s="25">
        <v>5000</v>
      </c>
      <c r="E9" s="8">
        <v>0</v>
      </c>
      <c r="F9" s="8">
        <f t="shared" si="0"/>
        <v>0</v>
      </c>
      <c r="G9" s="8">
        <v>4</v>
      </c>
      <c r="H9" s="8">
        <f t="shared" si="1"/>
        <v>0</v>
      </c>
      <c r="I9" s="8">
        <f>D9*(0.5+(1/6*8))</f>
        <v>9166.6666666666661</v>
      </c>
      <c r="J9" s="8">
        <v>24</v>
      </c>
      <c r="K9" s="8">
        <v>5000</v>
      </c>
      <c r="L9" s="8">
        <f>50*D9</f>
        <v>250000</v>
      </c>
      <c r="M9" s="8">
        <f>Table19[[#This Row],[Energy consumption in W]]*24*365/1000</f>
        <v>2190000</v>
      </c>
      <c r="N9" s="8">
        <f t="shared" si="2"/>
        <v>6.0960000000000007E-3</v>
      </c>
      <c r="O9" s="8">
        <f>Table19[[#This Row],[Yearly Energy Consumption in kWh]]*Table19[[#This Row],[CU/kWh]]</f>
        <v>13350.240000000002</v>
      </c>
      <c r="P9" s="8">
        <v>2.25</v>
      </c>
      <c r="Q9" s="8">
        <v>20</v>
      </c>
      <c r="R9" s="8">
        <f>Table19[[#This Row],[Quantity]]*Table19[[#This Row],[FIT]]*24*365/1000000000</f>
        <v>219</v>
      </c>
      <c r="S9" s="8">
        <f>2*Table19[[#This Row],[Mean dist in km from CO]]/Table19[[#This Row],[Avg Travel Speed]]</f>
        <v>0.22500000000000001</v>
      </c>
      <c r="T9" s="8">
        <f>Table19[[#This Row],[MTTR]]+Table19[[#This Row],[Twice Travel Time]]</f>
        <v>24.225000000000001</v>
      </c>
      <c r="U9" s="8">
        <v>1</v>
      </c>
      <c r="V9" s="8">
        <v>3.8</v>
      </c>
      <c r="W9" s="8">
        <f>Table19[[#This Row],[Cost per hour]]*Table19[[#This Row],[No. Of technicians]]*Table19[[#This Row],[Total Time to Repair(h)]]*Table19[[#This Row],[Failures per year]]</f>
        <v>20160.045000000002</v>
      </c>
    </row>
    <row r="10" spans="1:24" x14ac:dyDescent="0.25">
      <c r="A10" s="16" t="s">
        <v>13</v>
      </c>
      <c r="B10" s="17" t="s">
        <v>78</v>
      </c>
      <c r="C10" s="25">
        <v>2.2999999999999998</v>
      </c>
      <c r="D10" s="25">
        <v>5000</v>
      </c>
      <c r="E10" s="8">
        <v>0</v>
      </c>
      <c r="F10" s="8">
        <f t="shared" si="0"/>
        <v>0</v>
      </c>
      <c r="G10" s="8">
        <v>4</v>
      </c>
      <c r="H10" s="8">
        <f t="shared" si="1"/>
        <v>0</v>
      </c>
      <c r="I10" s="8">
        <f>1*D10</f>
        <v>5000</v>
      </c>
      <c r="J10" s="8">
        <v>6</v>
      </c>
      <c r="K10" s="8">
        <v>256</v>
      </c>
      <c r="L10" s="8">
        <f>4.7*D10</f>
        <v>23500</v>
      </c>
      <c r="M10" s="8">
        <f>Table19[[#This Row],[Energy consumption in W]]*24*365/1000</f>
        <v>205860</v>
      </c>
      <c r="N10" s="8">
        <f t="shared" si="2"/>
        <v>6.0960000000000007E-3</v>
      </c>
      <c r="O10" s="8">
        <f>Table19[[#This Row],[Yearly Energy Consumption in kWh]]*Table19[[#This Row],[CU/kWh]]</f>
        <v>1254.9225600000002</v>
      </c>
      <c r="P10" s="8">
        <v>2.25</v>
      </c>
      <c r="Q10" s="8">
        <v>20</v>
      </c>
      <c r="R10" s="8">
        <f>Table19[[#This Row],[Quantity]]*Table19[[#This Row],[FIT]]*24*365/1000000000</f>
        <v>11.2128</v>
      </c>
      <c r="S10" s="8">
        <f>2*Table19[[#This Row],[Mean dist in km from CO]]/Table19[[#This Row],[Avg Travel Speed]]</f>
        <v>0.22500000000000001</v>
      </c>
      <c r="T10" s="8">
        <f>Table19[[#This Row],[MTTR]]+Table19[[#This Row],[Twice Travel Time]]</f>
        <v>6.2249999999999996</v>
      </c>
      <c r="U10" s="8">
        <v>1</v>
      </c>
      <c r="V10" s="8">
        <v>3.8</v>
      </c>
      <c r="W10" s="8">
        <f>Table19[[#This Row],[Cost per hour]]*Table19[[#This Row],[No. Of technicians]]*Table19[[#This Row],[Total Time to Repair(h)]]*Table19[[#This Row],[Failures per year]]</f>
        <v>265.23878399999995</v>
      </c>
    </row>
    <row r="11" spans="1:24" x14ac:dyDescent="0.25">
      <c r="B11" s="22"/>
      <c r="C11" s="23"/>
      <c r="D11" s="23"/>
      <c r="E11" s="24"/>
      <c r="F11" s="24"/>
      <c r="G11" s="24"/>
      <c r="H11" s="24">
        <f>SUBTOTAL(109,Table19[Total Rent cost per year])</f>
        <v>7314</v>
      </c>
      <c r="I11" s="24"/>
      <c r="J11" s="24"/>
      <c r="K11" s="24"/>
      <c r="L11" s="24"/>
      <c r="M11" s="24"/>
      <c r="N11" s="24"/>
      <c r="O11" s="24">
        <f>SUBTOTAL(109,Table19[Energy Cost per year in CU])</f>
        <v>14972.561164800003</v>
      </c>
      <c r="P11" s="24"/>
      <c r="Q11" s="24"/>
      <c r="R11" s="24"/>
      <c r="S11" s="24"/>
      <c r="T11" s="24"/>
      <c r="U11" s="24"/>
      <c r="V11" s="24"/>
      <c r="W11" s="24">
        <f>SUM(Table19[FM Cost])</f>
        <v>20429.294521968004</v>
      </c>
    </row>
    <row r="16" spans="1:24" x14ac:dyDescent="0.25">
      <c r="M16" s="8" t="s">
        <v>70</v>
      </c>
    </row>
    <row r="17" spans="1:13" x14ac:dyDescent="0.25">
      <c r="A17" s="8" t="s">
        <v>40</v>
      </c>
      <c r="B17" s="8" t="s">
        <v>64</v>
      </c>
      <c r="C17" s="8" t="s">
        <v>17</v>
      </c>
      <c r="D17" s="8" t="s">
        <v>16</v>
      </c>
      <c r="E17" s="8" t="s">
        <v>41</v>
      </c>
      <c r="F17" s="8" t="s">
        <v>30</v>
      </c>
      <c r="G17" s="8" t="s">
        <v>45</v>
      </c>
      <c r="H17" s="8" t="s">
        <v>48</v>
      </c>
      <c r="I17" s="8" t="s">
        <v>49</v>
      </c>
      <c r="J17" s="8" t="s">
        <v>51</v>
      </c>
      <c r="M17" s="8">
        <f>Table19[[#Totals],[Total Rent cost per year]]+Table19[[#Totals],[Energy Cost per year in CU]]+Table19[[#Totals],[FM Cost]]+J20</f>
        <v>43053.829615365721</v>
      </c>
    </row>
    <row r="18" spans="1:13" x14ac:dyDescent="0.25">
      <c r="A18" s="8" t="s">
        <v>42</v>
      </c>
      <c r="B18" s="9">
        <f>72320.0059456714/1000</f>
        <v>72.320005945671397</v>
      </c>
      <c r="C18" s="8">
        <f>570*B18</f>
        <v>41222.403389032697</v>
      </c>
      <c r="D18" s="8">
        <v>24</v>
      </c>
      <c r="E18" s="8">
        <v>1</v>
      </c>
      <c r="F18" s="8">
        <v>3.8</v>
      </c>
      <c r="G18" s="8">
        <v>2</v>
      </c>
      <c r="H18" s="8">
        <f>2*G18/20</f>
        <v>0.2</v>
      </c>
      <c r="I18" s="8">
        <f>D18+H18</f>
        <v>24.2</v>
      </c>
      <c r="J18" s="8">
        <f>C18*24*365*F18*E18*I18/1000000000</f>
        <v>33.207515009141716</v>
      </c>
    </row>
    <row r="19" spans="1:13" x14ac:dyDescent="0.25">
      <c r="A19" s="8" t="s">
        <v>63</v>
      </c>
      <c r="B19" s="9">
        <f>658286.152663246/1000</f>
        <v>658.28615266324607</v>
      </c>
      <c r="C19" s="8">
        <f>570*B19</f>
        <v>375223.10701805027</v>
      </c>
      <c r="D19" s="8">
        <v>24</v>
      </c>
      <c r="E19" s="8">
        <v>1</v>
      </c>
      <c r="F19" s="8">
        <v>3.8</v>
      </c>
      <c r="G19" s="8">
        <v>4</v>
      </c>
      <c r="H19" s="8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3" x14ac:dyDescent="0.25">
      <c r="J20" s="8">
        <f>SUM(J18:J19)</f>
        <v>337.97392859771304</v>
      </c>
      <c r="L20" s="8" t="s">
        <v>98</v>
      </c>
      <c r="M20" s="8" t="s">
        <v>67</v>
      </c>
    </row>
    <row r="21" spans="1:13" x14ac:dyDescent="0.25">
      <c r="L21" s="8" t="s">
        <v>93</v>
      </c>
      <c r="M21" s="8">
        <f>Table19[[#Totals],[Total Rent cost per year]]</f>
        <v>7314</v>
      </c>
    </row>
    <row r="22" spans="1:13" x14ac:dyDescent="0.25">
      <c r="L22" s="8" t="s">
        <v>94</v>
      </c>
      <c r="M22" s="8">
        <f>Table19[[#Totals],[Energy Cost per year in CU]]</f>
        <v>14972.561164800003</v>
      </c>
    </row>
    <row r="23" spans="1:13" x14ac:dyDescent="0.25">
      <c r="L23" s="8" t="s">
        <v>95</v>
      </c>
      <c r="M23" s="8">
        <f>Table19[[#Totals],[FM Cost]]+J20</f>
        <v>20767.268450565716</v>
      </c>
    </row>
    <row r="24" spans="1:13" x14ac:dyDescent="0.25">
      <c r="L24" s="8" t="s">
        <v>96</v>
      </c>
      <c r="M24" s="8">
        <f>0.05*SUM(M21:M23)</f>
        <v>2152.6914807682861</v>
      </c>
    </row>
    <row r="25" spans="1:13" x14ac:dyDescent="0.25">
      <c r="L25" s="8" t="s">
        <v>97</v>
      </c>
      <c r="M25" s="8">
        <f>0.07*SUM(M21:M23)</f>
        <v>3013.7680730756006</v>
      </c>
    </row>
    <row r="26" spans="1:13" x14ac:dyDescent="0.25">
      <c r="M26" s="8">
        <f>SUM(Table141617[Cost])</f>
        <v>48220.289169209609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FTTB_XGPON_100</vt:lpstr>
      <vt:lpstr>FTTB_DWDM_100</vt:lpstr>
      <vt:lpstr>FTTC_Hybridpon_25</vt:lpstr>
      <vt:lpstr>FTTB_Hybridpon_50</vt:lpstr>
      <vt:lpstr>FTTH_Hybridpon_100</vt:lpstr>
      <vt:lpstr>FTTC_Hybridpon_100</vt:lpstr>
      <vt:lpstr>FTTB_Hybridpon_100</vt:lpstr>
      <vt:lpstr>OPEX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2018-06-25T16:20:28Z</dcterms:created>
  <dcterms:modified xsi:type="dcterms:W3CDTF">2018-07-18T14:12:41Z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