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tables/table16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adzay\LRZ Sync+Share\PycharmProjects\mt_branch_new_code\tumlknexpectimax\tumlknexpectimax\excel_data\"/>
    </mc:Choice>
  </mc:AlternateContent>
  <bookViews>
    <workbookView xWindow="0" yWindow="240" windowWidth="19368" windowHeight="9408" tabRatio="961" firstSheet="11" activeTab="15"/>
  </bookViews>
  <sheets>
    <sheet name="Papers and Reports" sheetId="1" r:id="rId1"/>
    <sheet name="Results_Visual" sheetId="20" r:id="rId2"/>
    <sheet name="FTTCab GPON 26 Mbps" sheetId="2" r:id="rId3"/>
    <sheet name="FTTB XGPON 50 Mbps" sheetId="3" r:id="rId4"/>
    <sheet name="FTTB WR-WDMPON 50 Mbps" sheetId="4" r:id="rId5"/>
    <sheet name="FTTH WR-WDMPON 100 Mbps" sheetId="5" r:id="rId6"/>
    <sheet name="FTTH XGPON 100 Mbps" sheetId="6" r:id="rId7"/>
    <sheet name="FTTCab_GPON_100" sheetId="8" r:id="rId8"/>
    <sheet name="FTTB_XGPON_100" sheetId="9" r:id="rId9"/>
    <sheet name="FTTB_WRWDM_100" sheetId="10" r:id="rId10"/>
    <sheet name="FTTCab_Hybridpon_25" sheetId="11" r:id="rId11"/>
    <sheet name="FTTB_Hybridpon_50" sheetId="12" r:id="rId12"/>
    <sheet name="FTTH_Hybridpon_100" sheetId="13" r:id="rId13"/>
    <sheet name="FTTC_Hybridpon_100" sheetId="14" r:id="rId14"/>
    <sheet name="FTTB_Hybridpon_100" sheetId="15" r:id="rId15"/>
    <sheet name="CAPEX_Euros_OASE" sheetId="7" r:id="rId16"/>
    <sheet name="CAPEX_Euros_Rokkas" sheetId="16" r:id="rId17"/>
    <sheet name="CAPEX_Euros_BSG" sheetId="17" r:id="rId18"/>
    <sheet name="CAPEX_Euros_Phillipson" sheetId="19" r:id="rId19"/>
  </sheets>
  <externalReferences>
    <externalReference r:id="rId20"/>
  </externalReferences>
  <calcPr calcId="171027"/>
</workbook>
</file>

<file path=xl/calcChain.xml><?xml version="1.0" encoding="utf-8"?>
<calcChain xmlns="http://schemas.openxmlformats.org/spreadsheetml/2006/main">
  <c r="G9" i="14" l="1"/>
  <c r="G8" i="14"/>
  <c r="G9" i="11"/>
  <c r="G8" i="11"/>
  <c r="G10" i="8"/>
  <c r="G8" i="8"/>
  <c r="G8" i="2"/>
  <c r="G7" i="2"/>
  <c r="G6" i="2"/>
  <c r="G3" i="2"/>
  <c r="H85" i="16" l="1"/>
  <c r="H86" i="16"/>
  <c r="H87" i="16"/>
  <c r="H88" i="16"/>
  <c r="H89" i="16"/>
  <c r="H90" i="16"/>
  <c r="H91" i="16"/>
  <c r="H92" i="16"/>
  <c r="H93" i="16"/>
  <c r="H94" i="16"/>
  <c r="H95" i="16"/>
  <c r="H96" i="16"/>
  <c r="H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84" i="16"/>
  <c r="F69" i="16"/>
  <c r="F70" i="16"/>
  <c r="F71" i="16"/>
  <c r="F72" i="16"/>
  <c r="F73" i="16"/>
  <c r="F74" i="16"/>
  <c r="F75" i="16" l="1"/>
  <c r="F76" i="16"/>
  <c r="F77" i="16"/>
  <c r="F78" i="16"/>
  <c r="F79" i="16"/>
  <c r="F80" i="16"/>
  <c r="F81" i="16"/>
  <c r="F82" i="16"/>
  <c r="F83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E3" i="16"/>
  <c r="G57" i="16" s="1"/>
  <c r="E4" i="16"/>
  <c r="G58" i="16" s="1"/>
  <c r="E5" i="16"/>
  <c r="G59" i="16" s="1"/>
  <c r="E6" i="16"/>
  <c r="G60" i="16" s="1"/>
  <c r="E7" i="16"/>
  <c r="G61" i="16" s="1"/>
  <c r="E8" i="16"/>
  <c r="G62" i="16" s="1"/>
  <c r="E9" i="16"/>
  <c r="G63" i="16" s="1"/>
  <c r="E10" i="16"/>
  <c r="G64" i="16" s="1"/>
  <c r="E11" i="16"/>
  <c r="G65" i="16" s="1"/>
  <c r="E12" i="16"/>
  <c r="G66" i="16" s="1"/>
  <c r="E13" i="16"/>
  <c r="G67" i="16" s="1"/>
  <c r="E14" i="16"/>
  <c r="G68" i="16" s="1"/>
  <c r="E2" i="16"/>
  <c r="G56" i="16" s="1"/>
  <c r="C58" i="7" l="1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D57" i="7"/>
  <c r="C57" i="7"/>
  <c r="D3" i="10" l="1"/>
  <c r="D7" i="14"/>
  <c r="D7" i="11"/>
  <c r="D10" i="8"/>
  <c r="D9" i="2"/>
  <c r="E9" i="3"/>
  <c r="E9" i="2"/>
  <c r="F8" i="13"/>
  <c r="E8" i="13"/>
  <c r="D8" i="13"/>
  <c r="C8" i="13"/>
  <c r="E9" i="9"/>
  <c r="C9" i="9"/>
  <c r="C9" i="3"/>
  <c r="F10" i="6"/>
  <c r="E10" i="6"/>
  <c r="D10" i="6"/>
  <c r="C10" i="6"/>
  <c r="F10" i="5"/>
  <c r="E10" i="5"/>
  <c r="D10" i="5"/>
  <c r="C10" i="5"/>
  <c r="C9" i="2"/>
  <c r="H13" i="19" l="1"/>
  <c r="H10" i="19"/>
  <c r="H7" i="19"/>
  <c r="E3" i="19"/>
  <c r="E4" i="19"/>
  <c r="E5" i="19"/>
  <c r="E6" i="19"/>
  <c r="E7" i="19"/>
  <c r="E8" i="19"/>
  <c r="E9" i="19"/>
  <c r="E10" i="19"/>
  <c r="E11" i="19"/>
  <c r="E12" i="19"/>
  <c r="E13" i="19"/>
  <c r="E14" i="19"/>
  <c r="E2" i="19"/>
  <c r="D3" i="19"/>
  <c r="D4" i="19"/>
  <c r="D5" i="19"/>
  <c r="D6" i="19"/>
  <c r="D7" i="19"/>
  <c r="D8" i="19"/>
  <c r="D9" i="19"/>
  <c r="D10" i="19"/>
  <c r="D11" i="19"/>
  <c r="D12" i="19"/>
  <c r="D13" i="19"/>
  <c r="D14" i="19"/>
  <c r="D2" i="19"/>
  <c r="K3" i="15"/>
  <c r="K4" i="15"/>
  <c r="K5" i="15"/>
  <c r="K6" i="15"/>
  <c r="K7" i="15"/>
  <c r="K8" i="15"/>
  <c r="K9" i="15"/>
  <c r="K2" i="15"/>
  <c r="K3" i="14"/>
  <c r="K4" i="14"/>
  <c r="K5" i="14"/>
  <c r="K6" i="14"/>
  <c r="K7" i="14"/>
  <c r="K10" i="14"/>
  <c r="K2" i="14"/>
  <c r="K3" i="13"/>
  <c r="K4" i="13"/>
  <c r="K5" i="13"/>
  <c r="K6" i="13"/>
  <c r="K7" i="13"/>
  <c r="K8" i="13"/>
  <c r="K9" i="13"/>
  <c r="K2" i="13"/>
  <c r="K3" i="12"/>
  <c r="K4" i="12"/>
  <c r="K5" i="12"/>
  <c r="K6" i="12"/>
  <c r="K7" i="12"/>
  <c r="K8" i="12"/>
  <c r="K9" i="12"/>
  <c r="K2" i="12"/>
  <c r="K3" i="11"/>
  <c r="K4" i="11"/>
  <c r="K5" i="11"/>
  <c r="K6" i="11"/>
  <c r="K7" i="11"/>
  <c r="K10" i="11"/>
  <c r="K2" i="11"/>
  <c r="K4" i="10"/>
  <c r="K5" i="10"/>
  <c r="K6" i="10"/>
  <c r="K7" i="10"/>
  <c r="K8" i="10"/>
  <c r="C17" i="10" s="1"/>
  <c r="G9" i="19" s="1"/>
  <c r="K9" i="10"/>
  <c r="K10" i="10"/>
  <c r="K2" i="10"/>
  <c r="K4" i="9"/>
  <c r="K5" i="9"/>
  <c r="K8" i="9"/>
  <c r="K9" i="9"/>
  <c r="K10" i="9"/>
  <c r="K4" i="8"/>
  <c r="K5" i="8"/>
  <c r="K9" i="8"/>
  <c r="K11" i="8"/>
  <c r="K2" i="8"/>
  <c r="K4" i="6"/>
  <c r="K5" i="6"/>
  <c r="K9" i="6"/>
  <c r="K10" i="6"/>
  <c r="K3" i="5"/>
  <c r="K4" i="5"/>
  <c r="K5" i="5"/>
  <c r="K6" i="5"/>
  <c r="K7" i="5"/>
  <c r="K8" i="5"/>
  <c r="C18" i="5" s="1"/>
  <c r="G5" i="19" s="1"/>
  <c r="K9" i="5"/>
  <c r="K10" i="5"/>
  <c r="D18" i="5" s="1"/>
  <c r="H5" i="19" s="1"/>
  <c r="K2" i="5"/>
  <c r="K3" i="4"/>
  <c r="K4" i="4"/>
  <c r="K5" i="4"/>
  <c r="K6" i="4"/>
  <c r="K7" i="4"/>
  <c r="K8" i="4"/>
  <c r="C18" i="4" s="1"/>
  <c r="G4" i="19" s="1"/>
  <c r="K9" i="4"/>
  <c r="K10" i="4"/>
  <c r="K2" i="4"/>
  <c r="K4" i="3"/>
  <c r="K5" i="3"/>
  <c r="K7" i="3"/>
  <c r="K8" i="3"/>
  <c r="K9" i="3"/>
  <c r="K10" i="3"/>
  <c r="K2" i="3"/>
  <c r="K4" i="2"/>
  <c r="K5" i="2"/>
  <c r="K10" i="2"/>
  <c r="D21" i="2" s="1"/>
  <c r="H2" i="19" s="1"/>
  <c r="F9" i="2"/>
  <c r="K9" i="2" s="1"/>
  <c r="F8" i="2"/>
  <c r="F2" i="2"/>
  <c r="K2" i="2" s="1"/>
  <c r="E10" i="8"/>
  <c r="C10" i="8"/>
  <c r="H13" i="17"/>
  <c r="H10" i="17"/>
  <c r="H7" i="17"/>
  <c r="H13" i="16"/>
  <c r="H10" i="16"/>
  <c r="H7" i="16"/>
  <c r="B19" i="11" l="1"/>
  <c r="D20" i="3"/>
  <c r="H3" i="19" s="1"/>
  <c r="D20" i="6"/>
  <c r="H6" i="19" s="1"/>
  <c r="B18" i="12"/>
  <c r="F11" i="19" s="1"/>
  <c r="I11" i="19" s="1"/>
  <c r="J11" i="19" s="1"/>
  <c r="L11" i="19" s="1"/>
  <c r="C18" i="12"/>
  <c r="G11" i="19" s="1"/>
  <c r="B18" i="13"/>
  <c r="E18" i="13" s="1"/>
  <c r="C18" i="13"/>
  <c r="G12" i="19" s="1"/>
  <c r="B19" i="14"/>
  <c r="F13" i="19" s="1"/>
  <c r="D19" i="9"/>
  <c r="H8" i="19" s="1"/>
  <c r="B18" i="5"/>
  <c r="F5" i="19" s="1"/>
  <c r="B18" i="15"/>
  <c r="F14" i="19" s="1"/>
  <c r="C18" i="15"/>
  <c r="G14" i="19" s="1"/>
  <c r="D18" i="15"/>
  <c r="H14" i="19" s="1"/>
  <c r="D18" i="13"/>
  <c r="H12" i="19" s="1"/>
  <c r="D18" i="12"/>
  <c r="H11" i="19" s="1"/>
  <c r="D17" i="10"/>
  <c r="H9" i="19" s="1"/>
  <c r="D18" i="4"/>
  <c r="H4" i="19" s="1"/>
  <c r="B18" i="4"/>
  <c r="F4" i="19" s="1"/>
  <c r="E18" i="4"/>
  <c r="F10" i="19"/>
  <c r="F12" i="19"/>
  <c r="E18" i="5"/>
  <c r="I5" i="19"/>
  <c r="J5" i="19" s="1"/>
  <c r="L5" i="19" s="1"/>
  <c r="I12" i="19"/>
  <c r="J12" i="19" s="1"/>
  <c r="L12" i="19" s="1"/>
  <c r="D2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D3" i="17"/>
  <c r="D4" i="17"/>
  <c r="D5" i="17"/>
  <c r="D6" i="17"/>
  <c r="D7" i="17"/>
  <c r="D8" i="17"/>
  <c r="D9" i="17"/>
  <c r="D10" i="17"/>
  <c r="D11" i="17"/>
  <c r="D12" i="17"/>
  <c r="D13" i="17"/>
  <c r="D14" i="17"/>
  <c r="J3" i="14"/>
  <c r="J4" i="14"/>
  <c r="J5" i="14"/>
  <c r="J6" i="14"/>
  <c r="J7" i="14"/>
  <c r="J10" i="14"/>
  <c r="J2" i="14"/>
  <c r="J3" i="15"/>
  <c r="J4" i="15"/>
  <c r="J5" i="15"/>
  <c r="J6" i="15"/>
  <c r="J7" i="15"/>
  <c r="J9" i="15"/>
  <c r="J2" i="15"/>
  <c r="E8" i="15"/>
  <c r="J8" i="15" s="1"/>
  <c r="E8" i="14"/>
  <c r="J3" i="13"/>
  <c r="J4" i="13"/>
  <c r="J5" i="13"/>
  <c r="J6" i="13"/>
  <c r="J7" i="13"/>
  <c r="J8" i="13"/>
  <c r="J9" i="13"/>
  <c r="J2" i="13"/>
  <c r="J3" i="12"/>
  <c r="J4" i="12"/>
  <c r="J5" i="12"/>
  <c r="J6" i="12"/>
  <c r="J7" i="12"/>
  <c r="J9" i="12"/>
  <c r="J2" i="12"/>
  <c r="E8" i="12"/>
  <c r="J8" i="12" s="1"/>
  <c r="J3" i="11"/>
  <c r="J4" i="11"/>
  <c r="J5" i="11"/>
  <c r="J6" i="11"/>
  <c r="J7" i="11"/>
  <c r="J10" i="11"/>
  <c r="J2" i="11"/>
  <c r="E8" i="11"/>
  <c r="J4" i="10"/>
  <c r="J5" i="10"/>
  <c r="J6" i="10"/>
  <c r="J7" i="10"/>
  <c r="J8" i="10"/>
  <c r="C16" i="10" s="1"/>
  <c r="G9" i="17" s="1"/>
  <c r="J9" i="10"/>
  <c r="J2" i="10"/>
  <c r="E10" i="10"/>
  <c r="J10" i="10" s="1"/>
  <c r="J4" i="9"/>
  <c r="J5" i="9"/>
  <c r="J9" i="9"/>
  <c r="E10" i="9"/>
  <c r="J10" i="9" s="1"/>
  <c r="E8" i="9"/>
  <c r="J8" i="9" s="1"/>
  <c r="E6" i="9"/>
  <c r="E2" i="9"/>
  <c r="J4" i="8"/>
  <c r="J9" i="8"/>
  <c r="J11" i="8"/>
  <c r="E8" i="8"/>
  <c r="E6" i="8"/>
  <c r="E5" i="8"/>
  <c r="J5" i="8" s="1"/>
  <c r="E2" i="8"/>
  <c r="J2" i="8" s="1"/>
  <c r="J4" i="6"/>
  <c r="J5" i="6"/>
  <c r="J9" i="6"/>
  <c r="J10" i="6"/>
  <c r="J3" i="5"/>
  <c r="J4" i="5"/>
  <c r="J5" i="5"/>
  <c r="J6" i="5"/>
  <c r="J7" i="5"/>
  <c r="J8" i="5"/>
  <c r="C17" i="5" s="1"/>
  <c r="G5" i="17" s="1"/>
  <c r="J9" i="5"/>
  <c r="J10" i="5"/>
  <c r="J2" i="5"/>
  <c r="J3" i="4"/>
  <c r="J4" i="4"/>
  <c r="J5" i="4"/>
  <c r="J6" i="4"/>
  <c r="J7" i="4"/>
  <c r="J8" i="4"/>
  <c r="C17" i="4" s="1"/>
  <c r="G4" i="17" s="1"/>
  <c r="J9" i="4"/>
  <c r="J2" i="4"/>
  <c r="E10" i="4"/>
  <c r="J10" i="4" s="1"/>
  <c r="J4" i="3"/>
  <c r="J5" i="3"/>
  <c r="J7" i="3"/>
  <c r="J9" i="3"/>
  <c r="E10" i="3"/>
  <c r="J10" i="3" s="1"/>
  <c r="E8" i="3"/>
  <c r="J8" i="3" s="1"/>
  <c r="E6" i="3"/>
  <c r="E2" i="3"/>
  <c r="J2" i="3" s="1"/>
  <c r="J4" i="2"/>
  <c r="J9" i="2"/>
  <c r="J10" i="2"/>
  <c r="E5" i="2"/>
  <c r="J5" i="2" s="1"/>
  <c r="E8" i="2"/>
  <c r="E6" i="2"/>
  <c r="E2" i="2"/>
  <c r="J2" i="2" s="1"/>
  <c r="I4" i="19" l="1"/>
  <c r="J4" i="19" s="1"/>
  <c r="L4" i="19" s="1"/>
  <c r="E18" i="15"/>
  <c r="I14" i="19"/>
  <c r="J14" i="19" s="1"/>
  <c r="L14" i="19" s="1"/>
  <c r="E18" i="12"/>
  <c r="D17" i="4"/>
  <c r="H4" i="17" s="1"/>
  <c r="C17" i="12"/>
  <c r="G11" i="17" s="1"/>
  <c r="D17" i="15"/>
  <c r="H14" i="17" s="1"/>
  <c r="D19" i="6"/>
  <c r="H6" i="17" s="1"/>
  <c r="D20" i="2"/>
  <c r="H2" i="17" s="1"/>
  <c r="D16" i="10"/>
  <c r="H9" i="17" s="1"/>
  <c r="B18" i="14"/>
  <c r="F13" i="17" s="1"/>
  <c r="B17" i="15"/>
  <c r="F14" i="17" s="1"/>
  <c r="C17" i="15"/>
  <c r="G14" i="17" s="1"/>
  <c r="B17" i="13"/>
  <c r="F12" i="17" s="1"/>
  <c r="D17" i="13"/>
  <c r="H12" i="17" s="1"/>
  <c r="C17" i="13"/>
  <c r="G12" i="17" s="1"/>
  <c r="B17" i="12"/>
  <c r="F11" i="17" s="1"/>
  <c r="D17" i="12"/>
  <c r="H11" i="17" s="1"/>
  <c r="B18" i="11"/>
  <c r="F10" i="17" s="1"/>
  <c r="D18" i="9"/>
  <c r="H8" i="17" s="1"/>
  <c r="D17" i="5"/>
  <c r="H5" i="17" s="1"/>
  <c r="B17" i="5"/>
  <c r="B17" i="4"/>
  <c r="F4" i="17" s="1"/>
  <c r="D19" i="3"/>
  <c r="H3" i="17" s="1"/>
  <c r="D3" i="16"/>
  <c r="F57" i="16" s="1"/>
  <c r="D4" i="16"/>
  <c r="F58" i="16" s="1"/>
  <c r="D5" i="16"/>
  <c r="F59" i="16" s="1"/>
  <c r="D6" i="16"/>
  <c r="F60" i="16" s="1"/>
  <c r="D7" i="16"/>
  <c r="F61" i="16" s="1"/>
  <c r="D8" i="16"/>
  <c r="F62" i="16" s="1"/>
  <c r="D9" i="16"/>
  <c r="F63" i="16" s="1"/>
  <c r="D10" i="16"/>
  <c r="F64" i="16" s="1"/>
  <c r="D11" i="16"/>
  <c r="F65" i="16" s="1"/>
  <c r="D12" i="16"/>
  <c r="F66" i="16" s="1"/>
  <c r="D13" i="16"/>
  <c r="F67" i="16" s="1"/>
  <c r="D14" i="16"/>
  <c r="F68" i="16" s="1"/>
  <c r="D2" i="16"/>
  <c r="F56" i="16" s="1"/>
  <c r="I3" i="15"/>
  <c r="I4" i="15"/>
  <c r="I5" i="15"/>
  <c r="I6" i="15"/>
  <c r="I7" i="15"/>
  <c r="I9" i="15"/>
  <c r="D8" i="15"/>
  <c r="I8" i="15" s="1"/>
  <c r="I2" i="15"/>
  <c r="I4" i="14"/>
  <c r="I5" i="14"/>
  <c r="I6" i="14"/>
  <c r="I7" i="14"/>
  <c r="I10" i="14"/>
  <c r="I2" i="14"/>
  <c r="D8" i="14"/>
  <c r="D3" i="14"/>
  <c r="I3" i="14" s="1"/>
  <c r="I3" i="13"/>
  <c r="I4" i="13"/>
  <c r="I5" i="13"/>
  <c r="I6" i="13"/>
  <c r="I7" i="13"/>
  <c r="I8" i="13"/>
  <c r="I9" i="13"/>
  <c r="I2" i="13"/>
  <c r="I3" i="12"/>
  <c r="I4" i="12"/>
  <c r="I5" i="12"/>
  <c r="I6" i="12"/>
  <c r="I7" i="12"/>
  <c r="I9" i="12"/>
  <c r="D8" i="12"/>
  <c r="I8" i="12" s="1"/>
  <c r="I2" i="12"/>
  <c r="I4" i="11"/>
  <c r="I5" i="11"/>
  <c r="I6" i="11"/>
  <c r="I7" i="11"/>
  <c r="I10" i="11"/>
  <c r="I2" i="11"/>
  <c r="D8" i="11"/>
  <c r="D3" i="11"/>
  <c r="I3" i="11" s="1"/>
  <c r="I9" i="10"/>
  <c r="I4" i="10"/>
  <c r="I5" i="10"/>
  <c r="I6" i="10"/>
  <c r="I7" i="10"/>
  <c r="I2" i="10"/>
  <c r="D10" i="10"/>
  <c r="I10" i="10" s="1"/>
  <c r="D8" i="10"/>
  <c r="I8" i="10" s="1"/>
  <c r="C15" i="10" s="1"/>
  <c r="G9" i="16" s="1"/>
  <c r="I4" i="9"/>
  <c r="I5" i="9"/>
  <c r="I8" i="9"/>
  <c r="I9" i="9"/>
  <c r="I10" i="9"/>
  <c r="D2" i="9"/>
  <c r="I4" i="8"/>
  <c r="I9" i="8"/>
  <c r="I11" i="8"/>
  <c r="D8" i="8"/>
  <c r="D7" i="8"/>
  <c r="D6" i="8"/>
  <c r="D5" i="8"/>
  <c r="I5" i="8" s="1"/>
  <c r="D3" i="8"/>
  <c r="D2" i="8"/>
  <c r="I2" i="8" s="1"/>
  <c r="I4" i="6"/>
  <c r="I5" i="6"/>
  <c r="I9" i="6"/>
  <c r="I10" i="6"/>
  <c r="D2" i="6"/>
  <c r="I4" i="5"/>
  <c r="I5" i="5"/>
  <c r="I6" i="5"/>
  <c r="I7" i="5"/>
  <c r="I2" i="5"/>
  <c r="I10" i="5"/>
  <c r="I9" i="5"/>
  <c r="D8" i="5"/>
  <c r="I8" i="5" s="1"/>
  <c r="C16" i="5" s="1"/>
  <c r="G5" i="16" s="1"/>
  <c r="D3" i="5"/>
  <c r="I3" i="5" s="1"/>
  <c r="D10" i="4"/>
  <c r="I10" i="4" s="1"/>
  <c r="D8" i="4"/>
  <c r="I8" i="4" s="1"/>
  <c r="C16" i="4" s="1"/>
  <c r="G4" i="16" s="1"/>
  <c r="I4" i="4"/>
  <c r="I5" i="4"/>
  <c r="I6" i="4"/>
  <c r="I7" i="4"/>
  <c r="I9" i="4"/>
  <c r="I2" i="4"/>
  <c r="D3" i="4"/>
  <c r="I3" i="4" s="1"/>
  <c r="D2" i="3"/>
  <c r="I2" i="3" s="1"/>
  <c r="D2" i="2"/>
  <c r="I2" i="2" s="1"/>
  <c r="I4" i="3"/>
  <c r="I5" i="3"/>
  <c r="I7" i="3"/>
  <c r="I8" i="3"/>
  <c r="I9" i="3"/>
  <c r="I10" i="3"/>
  <c r="I4" i="2"/>
  <c r="I10" i="2"/>
  <c r="D19" i="2" s="1"/>
  <c r="H2" i="16" s="1"/>
  <c r="I9" i="2"/>
  <c r="D8" i="2"/>
  <c r="D7" i="2"/>
  <c r="D6" i="2"/>
  <c r="D5" i="2"/>
  <c r="I5" i="2" s="1"/>
  <c r="D3" i="2"/>
  <c r="F63" i="7"/>
  <c r="H9" i="15"/>
  <c r="H8" i="15"/>
  <c r="H7" i="15"/>
  <c r="C6" i="15"/>
  <c r="H6" i="15" s="1"/>
  <c r="H5" i="15"/>
  <c r="C4" i="15"/>
  <c r="H4" i="15" s="1"/>
  <c r="H3" i="15"/>
  <c r="H2" i="15"/>
  <c r="H3" i="14"/>
  <c r="H5" i="14"/>
  <c r="H7" i="14"/>
  <c r="H10" i="14"/>
  <c r="D16" i="14" s="1"/>
  <c r="F14" i="7" s="1"/>
  <c r="J8" i="14"/>
  <c r="C6" i="14"/>
  <c r="H6" i="14" s="1"/>
  <c r="C4" i="14"/>
  <c r="H4" i="14" s="1"/>
  <c r="H2" i="14"/>
  <c r="H9" i="13"/>
  <c r="H8" i="13"/>
  <c r="H7" i="13"/>
  <c r="C6" i="13"/>
  <c r="H6" i="13" s="1"/>
  <c r="H5" i="13"/>
  <c r="C4" i="13"/>
  <c r="H4" i="13" s="1"/>
  <c r="H3" i="13"/>
  <c r="H2" i="13"/>
  <c r="H9" i="12"/>
  <c r="H8" i="12"/>
  <c r="H7" i="12"/>
  <c r="C6" i="12"/>
  <c r="H6" i="12" s="1"/>
  <c r="H5" i="12"/>
  <c r="C4" i="12"/>
  <c r="H4" i="12" s="1"/>
  <c r="H3" i="12"/>
  <c r="H2" i="12"/>
  <c r="H5" i="6"/>
  <c r="H9" i="6"/>
  <c r="H10" i="6"/>
  <c r="H3" i="5"/>
  <c r="H4" i="5"/>
  <c r="H5" i="5"/>
  <c r="H7" i="5"/>
  <c r="H9" i="5"/>
  <c r="H10" i="5"/>
  <c r="H3" i="4"/>
  <c r="H4" i="4"/>
  <c r="H5" i="4"/>
  <c r="H7" i="4"/>
  <c r="H9" i="4"/>
  <c r="H10" i="4"/>
  <c r="H2" i="4"/>
  <c r="H5" i="2"/>
  <c r="H9" i="2"/>
  <c r="H10" i="2"/>
  <c r="D18" i="2" s="1"/>
  <c r="F3" i="7" s="1"/>
  <c r="C4" i="11"/>
  <c r="H4" i="11" s="1"/>
  <c r="H3" i="11"/>
  <c r="H5" i="11"/>
  <c r="H7" i="11"/>
  <c r="H10" i="11"/>
  <c r="D16" i="11" s="1"/>
  <c r="F11" i="7" s="1"/>
  <c r="H2" i="11"/>
  <c r="H9" i="11"/>
  <c r="J8" i="11"/>
  <c r="C6" i="11"/>
  <c r="H6" i="11" s="1"/>
  <c r="H2" i="10"/>
  <c r="H5" i="10"/>
  <c r="H10" i="10"/>
  <c r="H9" i="10"/>
  <c r="C8" i="10"/>
  <c r="H8" i="10" s="1"/>
  <c r="C14" i="10" s="1"/>
  <c r="E10" i="7" s="1"/>
  <c r="H7" i="10"/>
  <c r="C6" i="10"/>
  <c r="H6" i="10" s="1"/>
  <c r="H4" i="10"/>
  <c r="H3" i="10"/>
  <c r="J2" i="9"/>
  <c r="H10" i="9"/>
  <c r="H9" i="9"/>
  <c r="H8" i="9"/>
  <c r="H5" i="9"/>
  <c r="C4" i="9"/>
  <c r="H4" i="9" s="1"/>
  <c r="H11" i="8"/>
  <c r="D16" i="8" s="1"/>
  <c r="F8" i="7" s="1"/>
  <c r="H5" i="8"/>
  <c r="H9" i="8"/>
  <c r="H2" i="8"/>
  <c r="C4" i="8"/>
  <c r="H4" i="8" s="1"/>
  <c r="C4" i="6"/>
  <c r="H4" i="6" s="1"/>
  <c r="C8" i="5"/>
  <c r="H8" i="5" s="1"/>
  <c r="C6" i="5"/>
  <c r="H6" i="5" s="1"/>
  <c r="H2" i="5"/>
  <c r="C8" i="4"/>
  <c r="H8" i="4" s="1"/>
  <c r="C6" i="4"/>
  <c r="H6" i="4" s="1"/>
  <c r="H10" i="3"/>
  <c r="I3" i="3"/>
  <c r="H9" i="3"/>
  <c r="H8" i="3"/>
  <c r="H7" i="3"/>
  <c r="H5" i="3"/>
  <c r="C4" i="3"/>
  <c r="H4" i="3" s="1"/>
  <c r="H2" i="3"/>
  <c r="H2" i="2"/>
  <c r="J6" i="2"/>
  <c r="C4" i="2"/>
  <c r="H4" i="2" s="1"/>
  <c r="H4" i="1"/>
  <c r="E4" i="1"/>
  <c r="I4" i="17" l="1"/>
  <c r="J4" i="17" s="1"/>
  <c r="L4" i="17" s="1"/>
  <c r="I3" i="2"/>
  <c r="I8" i="2"/>
  <c r="C16" i="12"/>
  <c r="G11" i="16" s="1"/>
  <c r="I8" i="11"/>
  <c r="I2" i="9"/>
  <c r="D16" i="12"/>
  <c r="H11" i="16" s="1"/>
  <c r="D15" i="12"/>
  <c r="F12" i="7" s="1"/>
  <c r="I3" i="9"/>
  <c r="K3" i="9"/>
  <c r="J3" i="9"/>
  <c r="B18" i="9" s="1"/>
  <c r="F8" i="17" s="1"/>
  <c r="H6" i="6"/>
  <c r="K6" i="6"/>
  <c r="J6" i="6"/>
  <c r="H6" i="2"/>
  <c r="K6" i="2"/>
  <c r="H6" i="9"/>
  <c r="K6" i="9"/>
  <c r="C16" i="13"/>
  <c r="G12" i="16" s="1"/>
  <c r="I11" i="17"/>
  <c r="J11" i="17" s="1"/>
  <c r="L11" i="17" s="1"/>
  <c r="J6" i="9"/>
  <c r="H6" i="3"/>
  <c r="C17" i="3" s="1"/>
  <c r="E4" i="7" s="1"/>
  <c r="K6" i="3"/>
  <c r="C20" i="3" s="1"/>
  <c r="G3" i="19" s="1"/>
  <c r="H6" i="8"/>
  <c r="K6" i="8"/>
  <c r="H8" i="8"/>
  <c r="K8" i="8"/>
  <c r="J6" i="8"/>
  <c r="I3" i="6"/>
  <c r="K3" i="6"/>
  <c r="J3" i="6"/>
  <c r="I7" i="2"/>
  <c r="K7" i="2"/>
  <c r="J7" i="2"/>
  <c r="H3" i="8"/>
  <c r="K3" i="8"/>
  <c r="B19" i="8" s="1"/>
  <c r="J3" i="8"/>
  <c r="B18" i="8" s="1"/>
  <c r="F7" i="17" s="1"/>
  <c r="H7" i="9"/>
  <c r="K7" i="9"/>
  <c r="J7" i="9"/>
  <c r="K3" i="10"/>
  <c r="B17" i="10" s="1"/>
  <c r="J3" i="10"/>
  <c r="B16" i="10" s="1"/>
  <c r="H8" i="11"/>
  <c r="K8" i="11"/>
  <c r="H3" i="6"/>
  <c r="H8" i="14"/>
  <c r="K8" i="14"/>
  <c r="H8" i="6"/>
  <c r="K8" i="6"/>
  <c r="J8" i="6"/>
  <c r="H2" i="6"/>
  <c r="K2" i="6"/>
  <c r="J2" i="6"/>
  <c r="D16" i="15"/>
  <c r="H14" i="16" s="1"/>
  <c r="J8" i="8"/>
  <c r="H10" i="8"/>
  <c r="J10" i="8"/>
  <c r="K10" i="8"/>
  <c r="H7" i="8"/>
  <c r="K7" i="8"/>
  <c r="J7" i="8"/>
  <c r="H3" i="2"/>
  <c r="B18" i="2" s="1"/>
  <c r="D3" i="7" s="1"/>
  <c r="E57" i="7" s="1"/>
  <c r="K3" i="2"/>
  <c r="B21" i="2" s="1"/>
  <c r="J3" i="2"/>
  <c r="B20" i="2" s="1"/>
  <c r="H8" i="2"/>
  <c r="K8" i="2"/>
  <c r="H3" i="3"/>
  <c r="K3" i="3"/>
  <c r="B20" i="3" s="1"/>
  <c r="J3" i="3"/>
  <c r="B19" i="3" s="1"/>
  <c r="F3" i="17" s="1"/>
  <c r="H2" i="9"/>
  <c r="K2" i="9"/>
  <c r="I9" i="11"/>
  <c r="K9" i="11"/>
  <c r="J9" i="11"/>
  <c r="C18" i="11" s="1"/>
  <c r="I9" i="14"/>
  <c r="K9" i="14"/>
  <c r="J9" i="14"/>
  <c r="C18" i="14" s="1"/>
  <c r="I6" i="2"/>
  <c r="C19" i="2" s="1"/>
  <c r="G2" i="16" s="1"/>
  <c r="I56" i="16" s="1"/>
  <c r="H7" i="6"/>
  <c r="K7" i="6"/>
  <c r="J7" i="6"/>
  <c r="I14" i="17"/>
  <c r="J14" i="17" s="1"/>
  <c r="L14" i="17" s="1"/>
  <c r="J8" i="2"/>
  <c r="J6" i="3"/>
  <c r="C19" i="3" s="1"/>
  <c r="G3" i="17" s="1"/>
  <c r="E17" i="15"/>
  <c r="E17" i="13"/>
  <c r="I12" i="17"/>
  <c r="J12" i="17" s="1"/>
  <c r="L12" i="17" s="1"/>
  <c r="E17" i="12"/>
  <c r="D17" i="9"/>
  <c r="H8" i="16" s="1"/>
  <c r="D16" i="9"/>
  <c r="F5" i="17"/>
  <c r="I5" i="17" s="1"/>
  <c r="J5" i="17" s="1"/>
  <c r="L5" i="17" s="1"/>
  <c r="E17" i="5"/>
  <c r="D15" i="5"/>
  <c r="F6" i="7" s="1"/>
  <c r="E17" i="4"/>
  <c r="D18" i="3"/>
  <c r="H3" i="16" s="1"/>
  <c r="C16" i="15"/>
  <c r="G14" i="16" s="1"/>
  <c r="I68" i="16" s="1"/>
  <c r="B16" i="15"/>
  <c r="F14" i="16" s="1"/>
  <c r="H68" i="16" s="1"/>
  <c r="B17" i="14"/>
  <c r="F13" i="16" s="1"/>
  <c r="H67" i="16" s="1"/>
  <c r="I8" i="14"/>
  <c r="H9" i="14"/>
  <c r="D16" i="13"/>
  <c r="H12" i="16" s="1"/>
  <c r="B16" i="12"/>
  <c r="D15" i="10"/>
  <c r="H9" i="16" s="1"/>
  <c r="I63" i="16" s="1"/>
  <c r="I3" i="10"/>
  <c r="B15" i="10" s="1"/>
  <c r="I7" i="8"/>
  <c r="I3" i="8"/>
  <c r="B17" i="8" s="1"/>
  <c r="F7" i="16" s="1"/>
  <c r="H61" i="16" s="1"/>
  <c r="I8" i="8"/>
  <c r="I6" i="8"/>
  <c r="I2" i="6"/>
  <c r="I7" i="6"/>
  <c r="D18" i="6"/>
  <c r="H6" i="16" s="1"/>
  <c r="B16" i="4"/>
  <c r="D16" i="4"/>
  <c r="H4" i="16" s="1"/>
  <c r="I58" i="16" s="1"/>
  <c r="D17" i="3"/>
  <c r="F4" i="7" s="1"/>
  <c r="B16" i="5"/>
  <c r="F5" i="16" s="1"/>
  <c r="H59" i="16" s="1"/>
  <c r="C17" i="11"/>
  <c r="G10" i="16" s="1"/>
  <c r="I64" i="16" s="1"/>
  <c r="D16" i="5"/>
  <c r="H5" i="16" s="1"/>
  <c r="I59" i="16" s="1"/>
  <c r="B17" i="11"/>
  <c r="F10" i="16" s="1"/>
  <c r="H64" i="16" s="1"/>
  <c r="I6" i="3"/>
  <c r="C18" i="3" s="1"/>
  <c r="G3" i="16" s="1"/>
  <c r="I57" i="16" s="1"/>
  <c r="B18" i="3"/>
  <c r="F3" i="16" s="1"/>
  <c r="H57" i="16" s="1"/>
  <c r="I6" i="6"/>
  <c r="I10" i="8"/>
  <c r="I7" i="9"/>
  <c r="B16" i="13"/>
  <c r="H7" i="2"/>
  <c r="D17" i="6"/>
  <c r="F7" i="7" s="1"/>
  <c r="I6" i="9"/>
  <c r="B15" i="12"/>
  <c r="C15" i="12"/>
  <c r="E12" i="7" s="1"/>
  <c r="C15" i="13"/>
  <c r="E13" i="7" s="1"/>
  <c r="I8" i="6"/>
  <c r="C15" i="15"/>
  <c r="E15" i="7" s="1"/>
  <c r="D15" i="13"/>
  <c r="F13" i="7" s="1"/>
  <c r="H3" i="9"/>
  <c r="B16" i="8"/>
  <c r="B15" i="5"/>
  <c r="D6" i="7" s="1"/>
  <c r="E60" i="7" s="1"/>
  <c r="D15" i="4"/>
  <c r="F5" i="7" s="1"/>
  <c r="B19" i="2"/>
  <c r="F2" i="16" s="1"/>
  <c r="H56" i="16" s="1"/>
  <c r="D15" i="15"/>
  <c r="F15" i="7" s="1"/>
  <c r="B15" i="15"/>
  <c r="D15" i="7" s="1"/>
  <c r="E69" i="7" s="1"/>
  <c r="B16" i="14"/>
  <c r="D14" i="7" s="1"/>
  <c r="E68" i="7" s="1"/>
  <c r="B15" i="13"/>
  <c r="D13" i="7" s="1"/>
  <c r="E67" i="7" s="1"/>
  <c r="C15" i="5"/>
  <c r="E6" i="7" s="1"/>
  <c r="C15" i="4"/>
  <c r="E5" i="7" s="1"/>
  <c r="D14" i="10"/>
  <c r="F10" i="7" s="1"/>
  <c r="F64" i="7" s="1"/>
  <c r="B16" i="11"/>
  <c r="D11" i="7" s="1"/>
  <c r="E65" i="7" s="1"/>
  <c r="C16" i="11"/>
  <c r="E11" i="7" s="1"/>
  <c r="F65" i="7" s="1"/>
  <c r="B14" i="10"/>
  <c r="D10" i="7" s="1"/>
  <c r="B15" i="4"/>
  <c r="D5" i="7" s="1"/>
  <c r="E59" i="7" s="1"/>
  <c r="B17" i="3"/>
  <c r="D4" i="7" s="1"/>
  <c r="C17" i="6" l="1"/>
  <c r="E7" i="7" s="1"/>
  <c r="F66" i="7"/>
  <c r="B17" i="9"/>
  <c r="F8" i="16" s="1"/>
  <c r="H62" i="16" s="1"/>
  <c r="B19" i="6"/>
  <c r="F6" i="17" s="1"/>
  <c r="B17" i="6"/>
  <c r="D7" i="7" s="1"/>
  <c r="E61" i="7" s="1"/>
  <c r="C18" i="2"/>
  <c r="E3" i="7" s="1"/>
  <c r="F57" i="7" s="1"/>
  <c r="I66" i="16"/>
  <c r="I65" i="16"/>
  <c r="C16" i="8"/>
  <c r="E8" i="7" s="1"/>
  <c r="F62" i="7" s="1"/>
  <c r="C18" i="9"/>
  <c r="G8" i="17" s="1"/>
  <c r="I8" i="17" s="1"/>
  <c r="J8" i="17" s="1"/>
  <c r="L8" i="17" s="1"/>
  <c r="C16" i="9"/>
  <c r="G10" i="7"/>
  <c r="H10" i="7" s="1"/>
  <c r="J10" i="7" s="1"/>
  <c r="E64" i="7"/>
  <c r="C16" i="14"/>
  <c r="E14" i="7" s="1"/>
  <c r="F68" i="7" s="1"/>
  <c r="B20" i="6"/>
  <c r="F6" i="19" s="1"/>
  <c r="G4" i="7"/>
  <c r="H4" i="7" s="1"/>
  <c r="J4" i="7" s="1"/>
  <c r="E58" i="7"/>
  <c r="I2" i="16"/>
  <c r="J2" i="16" s="1"/>
  <c r="L2" i="16" s="1"/>
  <c r="B16" i="9"/>
  <c r="D9" i="7" s="1"/>
  <c r="C20" i="2"/>
  <c r="G2" i="17" s="1"/>
  <c r="B19" i="9"/>
  <c r="F8" i="19" s="1"/>
  <c r="C19" i="9"/>
  <c r="G8" i="19" s="1"/>
  <c r="I5" i="16"/>
  <c r="J5" i="16" s="1"/>
  <c r="L5" i="16" s="1"/>
  <c r="I14" i="16"/>
  <c r="J14" i="16" s="1"/>
  <c r="L14" i="16" s="1"/>
  <c r="C17" i="14"/>
  <c r="G13" i="16" s="1"/>
  <c r="I10" i="16"/>
  <c r="J10" i="16" s="1"/>
  <c r="L10" i="16" s="1"/>
  <c r="G10" i="17"/>
  <c r="I10" i="17" s="1"/>
  <c r="J10" i="17" s="1"/>
  <c r="L10" i="17" s="1"/>
  <c r="E18" i="11"/>
  <c r="E18" i="14"/>
  <c r="G13" i="17"/>
  <c r="I13" i="17" s="1"/>
  <c r="J13" i="17" s="1"/>
  <c r="L13" i="17" s="1"/>
  <c r="F2" i="17"/>
  <c r="E20" i="2"/>
  <c r="C19" i="8"/>
  <c r="G7" i="19" s="1"/>
  <c r="G6" i="7"/>
  <c r="H6" i="7" s="1"/>
  <c r="J6" i="7" s="1"/>
  <c r="F2" i="19"/>
  <c r="C19" i="11"/>
  <c r="F7" i="19"/>
  <c r="C18" i="8"/>
  <c r="G7" i="17" s="1"/>
  <c r="I7" i="17" s="1"/>
  <c r="J7" i="17" s="1"/>
  <c r="L7" i="17" s="1"/>
  <c r="C21" i="2"/>
  <c r="G2" i="19" s="1"/>
  <c r="E17" i="10"/>
  <c r="F9" i="19"/>
  <c r="I9" i="19" s="1"/>
  <c r="J9" i="19" s="1"/>
  <c r="L9" i="19" s="1"/>
  <c r="C20" i="6"/>
  <c r="G6" i="19" s="1"/>
  <c r="E19" i="3"/>
  <c r="E18" i="8"/>
  <c r="C19" i="14"/>
  <c r="F3" i="19"/>
  <c r="I3" i="19" s="1"/>
  <c r="J3" i="19" s="1"/>
  <c r="L3" i="19" s="1"/>
  <c r="E20" i="3"/>
  <c r="F60" i="7"/>
  <c r="B18" i="6"/>
  <c r="F6" i="16" s="1"/>
  <c r="H60" i="16" s="1"/>
  <c r="I3" i="17"/>
  <c r="J3" i="17" s="1"/>
  <c r="L3" i="17" s="1"/>
  <c r="E16" i="10"/>
  <c r="F9" i="17"/>
  <c r="I9" i="17" s="1"/>
  <c r="J9" i="17" s="1"/>
  <c r="L9" i="17" s="1"/>
  <c r="C19" i="6"/>
  <c r="E16" i="15"/>
  <c r="G15" i="7"/>
  <c r="H15" i="7" s="1"/>
  <c r="J15" i="7" s="1"/>
  <c r="F69" i="7"/>
  <c r="F67" i="7"/>
  <c r="G13" i="7"/>
  <c r="H13" i="7" s="1"/>
  <c r="J13" i="7" s="1"/>
  <c r="E16" i="13"/>
  <c r="F12" i="16"/>
  <c r="F11" i="16"/>
  <c r="E16" i="12"/>
  <c r="E15" i="12"/>
  <c r="D12" i="7"/>
  <c r="G11" i="7"/>
  <c r="H11" i="7" s="1"/>
  <c r="J11" i="7" s="1"/>
  <c r="E15" i="10"/>
  <c r="F9" i="16"/>
  <c r="E16" i="9"/>
  <c r="D8" i="7"/>
  <c r="F61" i="7"/>
  <c r="C18" i="6"/>
  <c r="G6" i="16" s="1"/>
  <c r="G5" i="7"/>
  <c r="H5" i="7" s="1"/>
  <c r="J5" i="7" s="1"/>
  <c r="F59" i="7"/>
  <c r="F4" i="16"/>
  <c r="E16" i="4"/>
  <c r="F58" i="7"/>
  <c r="I3" i="16"/>
  <c r="J3" i="16" s="1"/>
  <c r="L3" i="16" s="1"/>
  <c r="G3" i="7"/>
  <c r="H3" i="7" s="1"/>
  <c r="J3" i="7" s="1"/>
  <c r="E17" i="11"/>
  <c r="E15" i="15"/>
  <c r="E16" i="14"/>
  <c r="C17" i="9"/>
  <c r="G8" i="16" s="1"/>
  <c r="C17" i="8"/>
  <c r="E15" i="5"/>
  <c r="E18" i="3"/>
  <c r="E16" i="5"/>
  <c r="E15" i="13"/>
  <c r="E14" i="10"/>
  <c r="E19" i="2"/>
  <c r="E16" i="11"/>
  <c r="E15" i="4"/>
  <c r="E17" i="3"/>
  <c r="E18" i="2"/>
  <c r="E17" i="6" l="1"/>
  <c r="G7" i="7"/>
  <c r="H7" i="7" s="1"/>
  <c r="J7" i="7" s="1"/>
  <c r="E17" i="14"/>
  <c r="G14" i="7"/>
  <c r="H14" i="7" s="1"/>
  <c r="J14" i="7" s="1"/>
  <c r="E18" i="9"/>
  <c r="I8" i="19"/>
  <c r="J8" i="19" s="1"/>
  <c r="L8" i="19" s="1"/>
  <c r="E17" i="9"/>
  <c r="E16" i="8"/>
  <c r="E18" i="6"/>
  <c r="I4" i="16"/>
  <c r="J4" i="16" s="1"/>
  <c r="L4" i="16" s="1"/>
  <c r="H58" i="16"/>
  <c r="I6" i="16"/>
  <c r="J6" i="16" s="1"/>
  <c r="L6" i="16" s="1"/>
  <c r="I60" i="16"/>
  <c r="I11" i="16"/>
  <c r="J11" i="16" s="1"/>
  <c r="L11" i="16" s="1"/>
  <c r="H65" i="16"/>
  <c r="I12" i="16"/>
  <c r="J12" i="16" s="1"/>
  <c r="L12" i="16" s="1"/>
  <c r="H66" i="16"/>
  <c r="I13" i="16"/>
  <c r="J13" i="16" s="1"/>
  <c r="L13" i="16" s="1"/>
  <c r="I67" i="16"/>
  <c r="I9" i="16"/>
  <c r="J9" i="16" s="1"/>
  <c r="L9" i="16" s="1"/>
  <c r="H63" i="16"/>
  <c r="E19" i="9"/>
  <c r="I8" i="16"/>
  <c r="J8" i="16" s="1"/>
  <c r="L8" i="16" s="1"/>
  <c r="I62" i="16"/>
  <c r="G9" i="7"/>
  <c r="H9" i="7" s="1"/>
  <c r="J9" i="7" s="1"/>
  <c r="E63" i="7"/>
  <c r="G12" i="7"/>
  <c r="H12" i="7" s="1"/>
  <c r="J12" i="7" s="1"/>
  <c r="E66" i="7"/>
  <c r="E21" i="2"/>
  <c r="I2" i="17"/>
  <c r="J2" i="17" s="1"/>
  <c r="L2" i="17" s="1"/>
  <c r="G8" i="7"/>
  <c r="H8" i="7" s="1"/>
  <c r="J8" i="7" s="1"/>
  <c r="E62" i="7"/>
  <c r="I6" i="19"/>
  <c r="J6" i="19" s="1"/>
  <c r="L6" i="19" s="1"/>
  <c r="E20" i="6"/>
  <c r="E19" i="8"/>
  <c r="I7" i="19"/>
  <c r="J7" i="19" s="1"/>
  <c r="L7" i="19" s="1"/>
  <c r="G6" i="17"/>
  <c r="I6" i="17" s="1"/>
  <c r="J6" i="17" s="1"/>
  <c r="L6" i="17" s="1"/>
  <c r="E19" i="6"/>
  <c r="G13" i="19"/>
  <c r="I13" i="19" s="1"/>
  <c r="J13" i="19" s="1"/>
  <c r="L13" i="19" s="1"/>
  <c r="E19" i="14"/>
  <c r="G10" i="19"/>
  <c r="I10" i="19" s="1"/>
  <c r="J10" i="19" s="1"/>
  <c r="L10" i="19" s="1"/>
  <c r="E19" i="11"/>
  <c r="I2" i="19"/>
  <c r="J2" i="19" s="1"/>
  <c r="L2" i="19" s="1"/>
  <c r="E17" i="8"/>
  <c r="G7" i="16"/>
  <c r="I7" i="16" l="1"/>
  <c r="J7" i="16" s="1"/>
  <c r="L7" i="16" s="1"/>
  <c r="I61" i="16"/>
</calcChain>
</file>

<file path=xl/comments1.xml><?xml version="1.0" encoding="utf-8"?>
<comments xmlns="http://schemas.openxmlformats.org/spreadsheetml/2006/main">
  <authors>
    <author>Patri, Sai Kireet</author>
  </authors>
  <commentList>
    <comment ref="E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  <comment ref="H4" authorId="0" shapeId="0">
      <text>
        <r>
          <rPr>
            <b/>
            <sz val="9"/>
            <color indexed="81"/>
            <rFont val="Tahoma"/>
            <family val="2"/>
          </rPr>
          <t>Patri, Sai Kireet:</t>
        </r>
        <r>
          <rPr>
            <sz val="9"/>
            <color indexed="81"/>
            <rFont val="Tahoma"/>
            <family val="2"/>
          </rPr>
          <t xml:space="preserve">
15000 euros per 100 Gbps
</t>
        </r>
      </text>
    </comment>
  </commentList>
</comments>
</file>

<file path=xl/sharedStrings.xml><?xml version="1.0" encoding="utf-8"?>
<sst xmlns="http://schemas.openxmlformats.org/spreadsheetml/2006/main" count="637" uniqueCount="131">
  <si>
    <t>Paper</t>
  </si>
  <si>
    <t>Duct Cost</t>
  </si>
  <si>
    <t>Fiber Cost</t>
  </si>
  <si>
    <t>RN Cost</t>
  </si>
  <si>
    <t>Duct Cost /km</t>
  </si>
  <si>
    <t>Fiber Cost /km</t>
  </si>
  <si>
    <t>Phillipson 2013</t>
  </si>
  <si>
    <t>RN1 Cost/unit</t>
  </si>
  <si>
    <t>RN2 Cost/unit</t>
  </si>
  <si>
    <t>Technology deployed</t>
  </si>
  <si>
    <t>CO Cost /unit</t>
  </si>
  <si>
    <t>NA</t>
  </si>
  <si>
    <t>FTTCab</t>
  </si>
  <si>
    <t>G.fast</t>
  </si>
  <si>
    <t>ONT Cost/unit</t>
  </si>
  <si>
    <t>Phillipson 2014</t>
  </si>
  <si>
    <t>WDM</t>
  </si>
  <si>
    <t>Leiva 2012+ 
Huelsermann 2008</t>
  </si>
  <si>
    <t>Position of component</t>
  </si>
  <si>
    <t>Component Name</t>
  </si>
  <si>
    <t>Cost per Unit (OASE)</t>
  </si>
  <si>
    <t>Quantity</t>
  </si>
  <si>
    <t>Component Cost</t>
  </si>
  <si>
    <t>GPON OLT Card(8*2.5Gbps)</t>
  </si>
  <si>
    <t>Pluggable B+</t>
  </si>
  <si>
    <t>Switching Cost</t>
  </si>
  <si>
    <t>Additional</t>
  </si>
  <si>
    <t>Central Office</t>
  </si>
  <si>
    <t>RN1</t>
  </si>
  <si>
    <t>Power Splitter 1:8</t>
  </si>
  <si>
    <t>RN2</t>
  </si>
  <si>
    <t>GPON ONT</t>
  </si>
  <si>
    <t>Building</t>
  </si>
  <si>
    <t>1:8 Mini DSLAM</t>
  </si>
  <si>
    <t>Total Cost</t>
  </si>
  <si>
    <t>OLT Electronic Cost</t>
  </si>
  <si>
    <t>RN Electronics Cost</t>
  </si>
  <si>
    <t>Building Electronics Cost</t>
  </si>
  <si>
    <t>XGPON OLT Card(6*10Gbps)</t>
  </si>
  <si>
    <t>Pluggable Nom1</t>
  </si>
  <si>
    <t>XGPON ONT</t>
  </si>
  <si>
    <t>Multi Frequency Laser</t>
  </si>
  <si>
    <t>OLT Shelf Port Card (1 for 80 channels)</t>
  </si>
  <si>
    <t>80*1G Laser</t>
  </si>
  <si>
    <t>Diplexer+Circulator</t>
  </si>
  <si>
    <t>Switching Capacity</t>
  </si>
  <si>
    <t>Additional Cost</t>
  </si>
  <si>
    <t>1:80 AWG</t>
  </si>
  <si>
    <t>1:8 Power Splitter</t>
  </si>
  <si>
    <t>Technology</t>
  </si>
  <si>
    <t>FTTCab_GPON_25</t>
  </si>
  <si>
    <t>FTTB_XGPON_50</t>
  </si>
  <si>
    <t>FTTB_WRWDM_50</t>
  </si>
  <si>
    <t>FTTH_WRWDM_100</t>
  </si>
  <si>
    <t>FTTH_XGPON_100</t>
  </si>
  <si>
    <t>Total Cost in Cost Units</t>
  </si>
  <si>
    <t>Total Cost in Euros</t>
  </si>
  <si>
    <t>No. Of HH</t>
  </si>
  <si>
    <t>Pure Residential Scenario</t>
  </si>
  <si>
    <t>Data rate</t>
  </si>
  <si>
    <t>Remote Node E&amp;I Costs</t>
  </si>
  <si>
    <t>Building E&amp;I Costs</t>
  </si>
  <si>
    <t>Central Office E&amp;I Costs</t>
  </si>
  <si>
    <t>GPON OLT Card(6*10Gbps)</t>
  </si>
  <si>
    <t>1:4 Power Splitter</t>
  </si>
  <si>
    <t>1:6 Mini DSLAM</t>
  </si>
  <si>
    <t>NIL</t>
  </si>
  <si>
    <t>FTTCab_GPON_100</t>
  </si>
  <si>
    <t>FTTB_XGPON_100</t>
  </si>
  <si>
    <t>FTTB_WRWDM_100</t>
  </si>
  <si>
    <t>FTTC_Hybridpon_25</t>
  </si>
  <si>
    <t>FTTB_Hybridpon_50</t>
  </si>
  <si>
    <t>FTTH_Hybridpon_100</t>
  </si>
  <si>
    <t>FTTC_Hybridpon_100</t>
  </si>
  <si>
    <t>FTTB_Hybridpon_100</t>
  </si>
  <si>
    <t>HybridPON ONT</t>
  </si>
  <si>
    <t>1:16 DSLAM</t>
  </si>
  <si>
    <t>Buildings</t>
  </si>
  <si>
    <t>EDFA</t>
  </si>
  <si>
    <t>1:16 Power Splitter</t>
  </si>
  <si>
    <t>CO cost</t>
  </si>
  <si>
    <t>Component Cost(OASE)</t>
  </si>
  <si>
    <t>Cost per Unit (Rokkas)</t>
  </si>
  <si>
    <t>Component Cost(Rokkas)</t>
  </si>
  <si>
    <t>Reference</t>
  </si>
  <si>
    <t>OASE</t>
  </si>
  <si>
    <t>Rokkas 2015</t>
  </si>
  <si>
    <t>Cost per Unit(Rokkas)</t>
  </si>
  <si>
    <t>WDMPON ONT</t>
  </si>
  <si>
    <t>Rokkas (2015)</t>
  </si>
  <si>
    <t>Duct Length</t>
  </si>
  <si>
    <t>Fiber Length</t>
  </si>
  <si>
    <t>Cost per Home passed(Rokkas)</t>
  </si>
  <si>
    <t>Total Cost in Euros(Rokkas)</t>
  </si>
  <si>
    <t>Papers added</t>
  </si>
  <si>
    <t>Title</t>
  </si>
  <si>
    <t>Date of Publishing</t>
  </si>
  <si>
    <t>Authors</t>
  </si>
  <si>
    <t>URL</t>
  </si>
  <si>
    <t>https://ieeexplore.ieee.org/document/7347221/</t>
  </si>
  <si>
    <t>Techno-economic analysis of PON architectures for FTTH deployments: Comparison between GPON,XGPON and NG-PON2 for a Greenfield operator</t>
  </si>
  <si>
    <t> 2015 Conference of Telecommunication, Media and Internet Techno-Economics (CTTE)</t>
  </si>
  <si>
    <t>Journal/Conference</t>
  </si>
  <si>
    <t>Theodoros Rokkas</t>
  </si>
  <si>
    <t>BSG- The costs of deploying next generation fiber broadband</t>
  </si>
  <si>
    <t>http://www.broadbanduk.org/wp-content/uploads/2012/08/http___www-broadbanduk6.pdf</t>
  </si>
  <si>
    <t>Analysys Mason</t>
  </si>
  <si>
    <t>Broadband Stakeholders Group</t>
  </si>
  <si>
    <t>Cost per Unit (BSG)</t>
  </si>
  <si>
    <t>Component Cost(BSG)</t>
  </si>
  <si>
    <t>BSG 2008</t>
  </si>
  <si>
    <t>Cost per Unit(BSG)</t>
  </si>
  <si>
    <t>Total Cost in Euros(BSG)</t>
  </si>
  <si>
    <t>Cost per Home passed(BSG)</t>
  </si>
  <si>
    <t>1:6 Mini DSLAM+Cabinet</t>
  </si>
  <si>
    <t>1:4 Mini DSLAM+Cabinet</t>
  </si>
  <si>
    <t>Cost per Home passed(OASE)</t>
  </si>
  <si>
    <t>Fourth Generation Broadband Delivered by Hybrid FttH Solution—A Techno-Economic Study</t>
  </si>
  <si>
    <t>J. OPT. COMMUN. NETW./VOL. 5, NO. 11/NOVEMBER 2013</t>
  </si>
  <si>
    <t>Frank Phillipson, Charlotte Smit-Rietveld, and Pieter Verhagen</t>
  </si>
  <si>
    <t>https://www.researchgate.net/publication/260357529</t>
  </si>
  <si>
    <t>Cost per Unit(Philipson)</t>
  </si>
  <si>
    <t>Component Cost(Phillipson)</t>
  </si>
  <si>
    <t>Cost per Unit(Phillipson)</t>
  </si>
  <si>
    <t>Cost per Unit (Phillipson)</t>
  </si>
  <si>
    <t>Cost per uNit(Phillipson)</t>
  </si>
  <si>
    <t>Total Cost in Euros(Phillipson)</t>
  </si>
  <si>
    <t>1:32 DSLAM+Cabinet</t>
  </si>
  <si>
    <t>WR-WDMPON ONT+Install Cost</t>
  </si>
  <si>
    <t>Cost per Home passed(Phillipson)</t>
  </si>
  <si>
    <t>CO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</si>
</sst>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€-2]\ #,##0;[Red]\-[$€-2]\ #,##0"/>
    <numFmt numFmtId="165" formatCode="[$€-2]\ #,##0.00;[Red]\-[$€-2]\ #,##0.00"/>
  </numFmts>
  <fonts count="1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7.600000000000001"/>
      <color rgb="FF333333"/>
      <name val="Arial"/>
      <family val="2"/>
    </font>
    <font>
      <sz val="9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  <bgColor theme="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0" borderId="1" applyNumberFormat="0" applyFill="0" applyAlignment="0" applyProtection="0"/>
    <xf numFmtId="0" fontId="8" fillId="0" borderId="0"/>
    <xf numFmtId="0" fontId="11" fillId="0" borderId="0" applyNumberFormat="0" applyFill="0" applyBorder="0" applyAlignment="0" applyProtection="0"/>
    <xf numFmtId="0" fontId="14" fillId="6" borderId="6" applyNumberFormat="0" applyAlignment="0" applyProtection="0"/>
    <xf numFmtId="0" fontId="15" fillId="7" borderId="6" applyNumberFormat="0" applyAlignment="0" applyProtection="0"/>
  </cellStyleXfs>
  <cellXfs count="3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2" xfId="0" applyFont="1" applyBorder="1"/>
    <xf numFmtId="0" fontId="5" fillId="0" borderId="1" xfId="4"/>
    <xf numFmtId="0" fontId="5" fillId="0" borderId="2" xfId="0" applyFont="1" applyBorder="1"/>
    <xf numFmtId="0" fontId="4" fillId="4" borderId="0" xfId="0" applyFont="1" applyFill="1" applyBorder="1"/>
    <xf numFmtId="0" fontId="0" fillId="0" borderId="2" xfId="0" applyNumberFormat="1" applyFont="1" applyBorder="1"/>
    <xf numFmtId="0" fontId="2" fillId="2" borderId="0" xfId="2"/>
    <xf numFmtId="0" fontId="3" fillId="3" borderId="0" xfId="3"/>
    <xf numFmtId="0" fontId="0" fillId="0" borderId="2" xfId="4" applyNumberFormat="1" applyFont="1" applyBorder="1"/>
    <xf numFmtId="0" fontId="0" fillId="0" borderId="0" xfId="0" applyFont="1" applyBorder="1"/>
    <xf numFmtId="0" fontId="0" fillId="0" borderId="0" xfId="0"/>
    <xf numFmtId="0" fontId="2" fillId="2" borderId="0" xfId="2"/>
    <xf numFmtId="0" fontId="1" fillId="0" borderId="4" xfId="1" applyBorder="1"/>
    <xf numFmtId="0" fontId="1" fillId="0" borderId="0" xfId="1" applyBorder="1"/>
    <xf numFmtId="0" fontId="0" fillId="0" borderId="0" xfId="0" applyBorder="1"/>
    <xf numFmtId="0" fontId="1" fillId="0" borderId="3" xfId="1" applyBorder="1"/>
    <xf numFmtId="0" fontId="0" fillId="0" borderId="0" xfId="0"/>
    <xf numFmtId="0" fontId="2" fillId="2" borderId="0" xfId="2"/>
    <xf numFmtId="0" fontId="0" fillId="0" borderId="0" xfId="0"/>
    <xf numFmtId="0" fontId="1" fillId="0" borderId="3" xfId="1" applyBorder="1"/>
    <xf numFmtId="0" fontId="0" fillId="0" borderId="0" xfId="0"/>
    <xf numFmtId="0" fontId="0" fillId="0" borderId="0" xfId="0"/>
    <xf numFmtId="0" fontId="9" fillId="0" borderId="0" xfId="0" applyFont="1" applyAlignment="1">
      <alignment vertical="center" wrapText="1"/>
    </xf>
    <xf numFmtId="0" fontId="11" fillId="0" borderId="0" xfId="6"/>
    <xf numFmtId="14" fontId="0" fillId="0" borderId="0" xfId="0" applyNumberFormat="1"/>
    <xf numFmtId="0" fontId="0" fillId="5" borderId="5" xfId="0" applyFont="1" applyFill="1" applyBorder="1"/>
    <xf numFmtId="0" fontId="0" fillId="0" borderId="5" xfId="0" applyFont="1" applyBorder="1"/>
    <xf numFmtId="0" fontId="0" fillId="0" borderId="0" xfId="0" applyFont="1"/>
    <xf numFmtId="0" fontId="4" fillId="4" borderId="5" xfId="0" applyFont="1" applyFill="1" applyBorder="1"/>
    <xf numFmtId="14" fontId="10" fillId="0" borderId="0" xfId="0" applyNumberFormat="1" applyFont="1"/>
    <xf numFmtId="0" fontId="12" fillId="0" borderId="0" xfId="0" applyFont="1"/>
    <xf numFmtId="0" fontId="13" fillId="4" borderId="0" xfId="0" applyFont="1" applyFill="1" applyBorder="1"/>
    <xf numFmtId="0" fontId="12" fillId="0" borderId="0" xfId="0" applyFont="1" applyBorder="1"/>
    <xf numFmtId="0" fontId="0" fillId="0" borderId="0" xfId="0" applyNumberFormat="1" applyFont="1" applyBorder="1"/>
    <xf numFmtId="0" fontId="14" fillId="6" borderId="6" xfId="7"/>
    <xf numFmtId="0" fontId="15" fillId="7" borderId="6" xfId="8"/>
  </cellXfs>
  <cellStyles count="9">
    <cellStyle name="Bad" xfId="3" builtinId="27"/>
    <cellStyle name="Calculation" xfId="8" builtinId="22"/>
    <cellStyle name="Good" xfId="2" builtinId="26"/>
    <cellStyle name="Heading 4" xfId="1" builtinId="19"/>
    <cellStyle name="Hyperlink" xfId="6" builtinId="8"/>
    <cellStyle name="Input" xfId="7" builtinId="20"/>
    <cellStyle name="Normal" xfId="0" builtinId="0"/>
    <cellStyle name="Standard 2" xfId="5"/>
    <cellStyle name="Total" xfId="4" builtinId="25"/>
  </cellStyles>
  <dxfs count="18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11362408.306554345</c:v>
                </c:pt>
                <c:pt idx="3">
                  <c:v>20493708.306554344</c:v>
                </c:pt>
                <c:pt idx="4">
                  <c:v>23098307.414553653</c:v>
                </c:pt>
                <c:pt idx="5">
                  <c:v>16324647.414553652</c:v>
                </c:pt>
                <c:pt idx="6">
                  <c:v>12352662.414553652</c:v>
                </c:pt>
                <c:pt idx="7">
                  <c:v>16922908.306554344</c:v>
                </c:pt>
                <c:pt idx="8">
                  <c:v>12315016.533240713</c:v>
                </c:pt>
                <c:pt idx="9">
                  <c:v>12466198.863627804</c:v>
                </c:pt>
                <c:pt idx="10">
                  <c:v>26280628.863627806</c:v>
                </c:pt>
                <c:pt idx="11">
                  <c:v>22182388.863627806</c:v>
                </c:pt>
                <c:pt idx="12">
                  <c:v>19240628.863627806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15252337.618583923</c:v>
                </c:pt>
                <c:pt idx="1">
                  <c:v>10529953.044047277</c:v>
                </c:pt>
                <c:pt idx="2">
                  <c:v>9039373.149994798</c:v>
                </c:pt>
                <c:pt idx="3">
                  <c:v>25447373.149994794</c:v>
                </c:pt>
                <c:pt idx="4">
                  <c:v>27474553.044047277</c:v>
                </c:pt>
                <c:pt idx="5">
                  <c:v>7389337.6185839223</c:v>
                </c:pt>
                <c:pt idx="6">
                  <c:v>16942953.044047277</c:v>
                </c:pt>
                <c:pt idx="7">
                  <c:v>16879373.149994794</c:v>
                </c:pt>
                <c:pt idx="8">
                  <c:v>10278741.677680973</c:v>
                </c:pt>
                <c:pt idx="9">
                  <c:v>11390696.385353692</c:v>
                </c:pt>
                <c:pt idx="10">
                  <c:v>27373830.385353688</c:v>
                </c:pt>
                <c:pt idx="11">
                  <c:v>27231241.677680973</c:v>
                </c:pt>
                <c:pt idx="12">
                  <c:v>16780696.385353692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49-4DD5-A120-89BC345C596F}"/>
            </c:ext>
          </c:extLst>
        </c:ser>
        <c:ser>
          <c:idx val="0"/>
          <c:order val="2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22708573.699557699</c:v>
                </c:pt>
                <c:pt idx="6">
                  <c:v>20605973.699557699</c:v>
                </c:pt>
                <c:pt idx="7">
                  <c:v>19360221.811125845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2"/>
          <c:order val="3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34598097.007425137</c:v>
                </c:pt>
                <c:pt idx="1">
                  <c:v>28398257.803101256</c:v>
                </c:pt>
                <c:pt idx="2">
                  <c:v>25928918.969783098</c:v>
                </c:pt>
                <c:pt idx="3">
                  <c:v>31088918.969783094</c:v>
                </c:pt>
                <c:pt idx="4">
                  <c:v>47593137.803101256</c:v>
                </c:pt>
                <c:pt idx="5">
                  <c:v>38310477.007425137</c:v>
                </c:pt>
                <c:pt idx="6">
                  <c:v>39621177.803101249</c:v>
                </c:pt>
                <c:pt idx="7">
                  <c:v>37616918.969783098</c:v>
                </c:pt>
                <c:pt idx="8">
                  <c:v>25070690.48179378</c:v>
                </c:pt>
                <c:pt idx="9">
                  <c:v>27592803.137474932</c:v>
                </c:pt>
                <c:pt idx="10">
                  <c:v>40816278.937474929</c:v>
                </c:pt>
                <c:pt idx="11">
                  <c:v>49906100.481793776</c:v>
                </c:pt>
                <c:pt idx="12">
                  <c:v>40229553.137474932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00288"/>
        <c:axId val="42260672"/>
      </c:barChart>
      <c:catAx>
        <c:axId val="42700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260672"/>
        <c:crosses val="autoZero"/>
        <c:auto val="1"/>
        <c:lblAlgn val="ctr"/>
        <c:lblOffset val="100"/>
        <c:noMultiLvlLbl val="0"/>
      </c:catAx>
      <c:valAx>
        <c:axId val="42260672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00288"/>
        <c:crosses val="autoZero"/>
        <c:crossBetween val="between"/>
        <c:majorUnit val="10"/>
        <c:minorUnit val="10"/>
        <c:dispUnits>
          <c:builtInUnit val="millions"/>
          <c:dispUnitsLbl>
            <c:layout>
              <c:manualLayout>
                <c:xMode val="edge"/>
                <c:yMode val="edge"/>
                <c:x val="7.0901583662798209E-2"/>
                <c:y val="4.2969286060449023E-2"/>
              </c:manualLayout>
            </c:layout>
          </c:dispUnitsLbl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xVal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xVal>
          <c:y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179.8988015603918</c:v>
                </c:pt>
                <c:pt idx="3">
                  <c:v>324.47289909047407</c:v>
                </c:pt>
                <c:pt idx="4">
                  <c:v>365.71101036342071</c:v>
                </c:pt>
                <c:pt idx="5">
                  <c:v>258.464968564814</c:v>
                </c:pt>
                <c:pt idx="6">
                  <c:v>195.57730232035547</c:v>
                </c:pt>
                <c:pt idx="7">
                  <c:v>267.93711694987877</c:v>
                </c:pt>
                <c:pt idx="8">
                  <c:v>194.98126240089792</c:v>
                </c:pt>
                <c:pt idx="9">
                  <c:v>197.3749028440121</c:v>
                </c:pt>
                <c:pt idx="10">
                  <c:v>416.09608713786901</c:v>
                </c:pt>
                <c:pt idx="11">
                  <c:v>351.20945002577275</c:v>
                </c:pt>
                <c:pt idx="12">
                  <c:v>304.63313590291017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E4-40AC-8BD3-6DC3AD95A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4752"/>
        <c:axId val="43395328"/>
      </c:scatterChart>
      <c:valAx>
        <c:axId val="43394752"/>
        <c:scaling>
          <c:orientation val="minMax"/>
        </c:scaling>
        <c:delete val="0"/>
        <c:axPos val="b"/>
        <c:majorTickMark val="out"/>
        <c:minorTickMark val="none"/>
        <c:tickLblPos val="nextTo"/>
        <c:crossAx val="43395328"/>
        <c:crosses val="autoZero"/>
        <c:crossBetween val="midCat"/>
      </c:valAx>
      <c:valAx>
        <c:axId val="4339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94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134032.15311618152</c:v>
                </c:pt>
                <c:pt idx="1">
                  <c:v>134032.15311618152</c:v>
                </c:pt>
                <c:pt idx="2">
                  <c:v>104446.15236112358</c:v>
                </c:pt>
                <c:pt idx="3">
                  <c:v>104446.15236112358</c:v>
                </c:pt>
                <c:pt idx="4">
                  <c:v>134032.15311618152</c:v>
                </c:pt>
                <c:pt idx="5">
                  <c:v>134032.15311618152</c:v>
                </c:pt>
                <c:pt idx="6">
                  <c:v>134032.15311618152</c:v>
                </c:pt>
                <c:pt idx="7">
                  <c:v>104446.15236112358</c:v>
                </c:pt>
                <c:pt idx="8">
                  <c:v>129857.75993294036</c:v>
                </c:pt>
                <c:pt idx="9">
                  <c:v>120923.53906277897</c:v>
                </c:pt>
                <c:pt idx="10">
                  <c:v>120923.53906277897</c:v>
                </c:pt>
                <c:pt idx="11">
                  <c:v>120923.53906277897</c:v>
                </c:pt>
                <c:pt idx="12">
                  <c:v>120923.53906277897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10655.320874972513</c:v>
                </c:pt>
                <c:pt idx="1">
                  <c:v>10655.320874972513</c:v>
                </c:pt>
                <c:pt idx="2">
                  <c:v>7118.2838613933172</c:v>
                </c:pt>
                <c:pt idx="3">
                  <c:v>7118.2838613933172</c:v>
                </c:pt>
                <c:pt idx="4">
                  <c:v>10655.320874972513</c:v>
                </c:pt>
                <c:pt idx="5">
                  <c:v>10655.320874972513</c:v>
                </c:pt>
                <c:pt idx="6">
                  <c:v>10655.320874972513</c:v>
                </c:pt>
                <c:pt idx="7">
                  <c:v>7118.2838613933172</c:v>
                </c:pt>
                <c:pt idx="8">
                  <c:v>10155.456402750504</c:v>
                </c:pt>
                <c:pt idx="9">
                  <c:v>10155.456402750504</c:v>
                </c:pt>
                <c:pt idx="10">
                  <c:v>10155.456402750504</c:v>
                </c:pt>
                <c:pt idx="11">
                  <c:v>10155.456402750504</c:v>
                </c:pt>
                <c:pt idx="12">
                  <c:v>10155.456402750504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7492</c:v>
                </c:pt>
                <c:pt idx="1">
                  <c:v>12200</c:v>
                </c:pt>
                <c:pt idx="2">
                  <c:v>19000</c:v>
                </c:pt>
                <c:pt idx="3">
                  <c:v>19000</c:v>
                </c:pt>
                <c:pt idx="4">
                  <c:v>39800</c:v>
                </c:pt>
                <c:pt idx="5">
                  <c:v>8080</c:v>
                </c:pt>
                <c:pt idx="6">
                  <c:v>21400</c:v>
                </c:pt>
                <c:pt idx="7">
                  <c:v>35000</c:v>
                </c:pt>
                <c:pt idx="8">
                  <c:v>10040</c:v>
                </c:pt>
                <c:pt idx="9">
                  <c:v>27040</c:v>
                </c:pt>
                <c:pt idx="10">
                  <c:v>51080</c:v>
                </c:pt>
                <c:pt idx="11">
                  <c:v>31160</c:v>
                </c:pt>
                <c:pt idx="12">
                  <c:v>51080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285584</c:v>
                </c:pt>
                <c:pt idx="1">
                  <c:v>11016</c:v>
                </c:pt>
                <c:pt idx="2">
                  <c:v>320</c:v>
                </c:pt>
                <c:pt idx="3">
                  <c:v>320</c:v>
                </c:pt>
                <c:pt idx="4">
                  <c:v>12752</c:v>
                </c:pt>
                <c:pt idx="5">
                  <c:v>301404</c:v>
                </c:pt>
                <c:pt idx="6">
                  <c:v>22032</c:v>
                </c:pt>
                <c:pt idx="7">
                  <c:v>640</c:v>
                </c:pt>
                <c:pt idx="8">
                  <c:v>308874</c:v>
                </c:pt>
                <c:pt idx="9">
                  <c:v>5064</c:v>
                </c:pt>
                <c:pt idx="10">
                  <c:v>10128</c:v>
                </c:pt>
                <c:pt idx="11">
                  <c:v>614956</c:v>
                </c:pt>
                <c:pt idx="12">
                  <c:v>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112000</c:v>
                </c:pt>
                <c:pt idx="2">
                  <c:v>120000</c:v>
                </c:pt>
                <c:pt idx="3">
                  <c:v>480000</c:v>
                </c:pt>
                <c:pt idx="4">
                  <c:v>384000</c:v>
                </c:pt>
                <c:pt idx="5">
                  <c:v>0</c:v>
                </c:pt>
                <c:pt idx="6">
                  <c:v>224000</c:v>
                </c:pt>
                <c:pt idx="7">
                  <c:v>240000</c:v>
                </c:pt>
                <c:pt idx="8">
                  <c:v>0</c:v>
                </c:pt>
                <c:pt idx="9">
                  <c:v>120000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288576"/>
        <c:axId val="43397632"/>
        <c:axId val="0"/>
      </c:bar3DChart>
      <c:catAx>
        <c:axId val="4328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97632"/>
        <c:crosses val="autoZero"/>
        <c:auto val="1"/>
        <c:lblAlgn val="ctr"/>
        <c:lblOffset val="100"/>
        <c:noMultiLvlLbl val="0"/>
      </c:catAx>
      <c:valAx>
        <c:axId val="4339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8857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CAPEX</a:t>
            </a:r>
            <a:r>
              <a:rPr lang="de-DE" baseline="0"/>
              <a:t> in millions of Euros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22708573.699557699</c:v>
                </c:pt>
                <c:pt idx="6">
                  <c:v>20605973.699557699</c:v>
                </c:pt>
                <c:pt idx="7">
                  <c:v>19360221.811125845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30-48EB-B477-A25076BE2822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11362408.306554345</c:v>
                </c:pt>
                <c:pt idx="3">
                  <c:v>20493708.306554344</c:v>
                </c:pt>
                <c:pt idx="4">
                  <c:v>23098307.414553653</c:v>
                </c:pt>
                <c:pt idx="5">
                  <c:v>16324647.414553652</c:v>
                </c:pt>
                <c:pt idx="6">
                  <c:v>12352662.414553652</c:v>
                </c:pt>
                <c:pt idx="7">
                  <c:v>16922908.306554344</c:v>
                </c:pt>
                <c:pt idx="8">
                  <c:v>12315016.533240713</c:v>
                </c:pt>
                <c:pt idx="9">
                  <c:v>12466198.863627804</c:v>
                </c:pt>
                <c:pt idx="10">
                  <c:v>26280628.863627806</c:v>
                </c:pt>
                <c:pt idx="11">
                  <c:v>22182388.863627806</c:v>
                </c:pt>
                <c:pt idx="12">
                  <c:v>19240628.863627806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30-48EB-B477-A25076BE2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290112"/>
        <c:axId val="43399936"/>
      </c:barChart>
      <c:catAx>
        <c:axId val="43290112"/>
        <c:scaling>
          <c:orientation val="minMax"/>
        </c:scaling>
        <c:delete val="0"/>
        <c:axPos val="b"/>
        <c:title>
          <c:overlay val="0"/>
        </c:title>
        <c:numFmt formatCode="General" sourceLinked="0"/>
        <c:majorTickMark val="out"/>
        <c:minorTickMark val="none"/>
        <c:tickLblPos val="nextTo"/>
        <c:crossAx val="43399936"/>
        <c:crosses val="autoZero"/>
        <c:auto val="1"/>
        <c:lblAlgn val="ctr"/>
        <c:lblOffset val="100"/>
        <c:noMultiLvlLbl val="0"/>
      </c:catAx>
      <c:valAx>
        <c:axId val="43399936"/>
        <c:scaling>
          <c:logBase val="10"/>
          <c:orientation val="minMax"/>
          <c:min val="1000000"/>
        </c:scaling>
        <c:delete val="0"/>
        <c:axPos val="l"/>
        <c:majorGridlines/>
        <c:title>
          <c:overlay val="0"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3290112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 per premise passed in thousands of euros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776.04311733844918</c:v>
                </c:pt>
                <c:pt idx="6">
                  <c:v>704.18883533448502</c:v>
                </c:pt>
                <c:pt idx="7">
                  <c:v>661.61649275940965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3B-4392-AF6C-AC9EEE9F44F5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179.8988015603918</c:v>
                </c:pt>
                <c:pt idx="3">
                  <c:v>324.47289909047407</c:v>
                </c:pt>
                <c:pt idx="4">
                  <c:v>365.71101036342071</c:v>
                </c:pt>
                <c:pt idx="5">
                  <c:v>258.464968564814</c:v>
                </c:pt>
                <c:pt idx="6">
                  <c:v>195.57730232035547</c:v>
                </c:pt>
                <c:pt idx="7">
                  <c:v>267.93711694987877</c:v>
                </c:pt>
                <c:pt idx="8">
                  <c:v>194.98126240089792</c:v>
                </c:pt>
                <c:pt idx="9">
                  <c:v>197.3749028440121</c:v>
                </c:pt>
                <c:pt idx="10">
                  <c:v>416.09608713786901</c:v>
                </c:pt>
                <c:pt idx="11">
                  <c:v>351.20945002577275</c:v>
                </c:pt>
                <c:pt idx="12">
                  <c:v>304.63313590291017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3B-4392-AF6C-AC9EEE9F4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4680192"/>
        <c:axId val="164594816"/>
      </c:lineChart>
      <c:catAx>
        <c:axId val="164680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Technology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64594816"/>
        <c:crosses val="autoZero"/>
        <c:auto val="1"/>
        <c:lblAlgn val="ctr"/>
        <c:lblOffset val="100"/>
        <c:noMultiLvlLbl val="1"/>
      </c:catAx>
      <c:valAx>
        <c:axId val="164594816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Cost per premise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80192"/>
        <c:crosses val="autoZero"/>
        <c:crossBetween val="between"/>
        <c:dispUnits>
          <c:builtInUnit val="thousands"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22708573.699557699</c:v>
                </c:pt>
                <c:pt idx="6">
                  <c:v>20605973.699557699</c:v>
                </c:pt>
                <c:pt idx="7">
                  <c:v>19360221.811125845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ser>
          <c:idx val="1"/>
          <c:order val="1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11362408.306554345</c:v>
                </c:pt>
                <c:pt idx="3">
                  <c:v>20493708.306554344</c:v>
                </c:pt>
                <c:pt idx="4">
                  <c:v>23098307.414553653</c:v>
                </c:pt>
                <c:pt idx="5">
                  <c:v>16324647.414553652</c:v>
                </c:pt>
                <c:pt idx="6">
                  <c:v>12352662.414553652</c:v>
                </c:pt>
                <c:pt idx="7">
                  <c:v>16922908.306554344</c:v>
                </c:pt>
                <c:pt idx="8">
                  <c:v>12315016.533240713</c:v>
                </c:pt>
                <c:pt idx="9">
                  <c:v>12466198.863627804</c:v>
                </c:pt>
                <c:pt idx="10">
                  <c:v>26280628.863627806</c:v>
                </c:pt>
                <c:pt idx="11">
                  <c:v>22182388.863627806</c:v>
                </c:pt>
                <c:pt idx="12">
                  <c:v>19240628.863627806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34598097.007425137</c:v>
                </c:pt>
                <c:pt idx="1">
                  <c:v>28398257.803101256</c:v>
                </c:pt>
                <c:pt idx="2">
                  <c:v>25928918.969783098</c:v>
                </c:pt>
                <c:pt idx="3">
                  <c:v>31088918.969783094</c:v>
                </c:pt>
                <c:pt idx="4">
                  <c:v>47593137.803101256</c:v>
                </c:pt>
                <c:pt idx="5">
                  <c:v>38310477.007425137</c:v>
                </c:pt>
                <c:pt idx="6">
                  <c:v>39621177.803101249</c:v>
                </c:pt>
                <c:pt idx="7">
                  <c:v>37616918.969783098</c:v>
                </c:pt>
                <c:pt idx="8">
                  <c:v>25070690.48179378</c:v>
                </c:pt>
                <c:pt idx="9">
                  <c:v>27592803.137474932</c:v>
                </c:pt>
                <c:pt idx="10">
                  <c:v>40816278.937474929</c:v>
                </c:pt>
                <c:pt idx="11">
                  <c:v>49906100.481793776</c:v>
                </c:pt>
                <c:pt idx="12">
                  <c:v>40229553.137474932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682240"/>
        <c:axId val="164596544"/>
      </c:barChart>
      <c:catAx>
        <c:axId val="164682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596544"/>
        <c:crosses val="autoZero"/>
        <c:auto val="1"/>
        <c:lblAlgn val="ctr"/>
        <c:lblOffset val="100"/>
        <c:noMultiLvlLbl val="0"/>
      </c:catAx>
      <c:valAx>
        <c:axId val="164596544"/>
        <c:scaling>
          <c:logBase val="10"/>
          <c:orientation val="minMax"/>
          <c:min val="1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82240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14500</c:v>
                </c:pt>
                <c:pt idx="1">
                  <c:v>18100</c:v>
                </c:pt>
                <c:pt idx="2">
                  <c:v>28200</c:v>
                </c:pt>
                <c:pt idx="3">
                  <c:v>28200</c:v>
                </c:pt>
                <c:pt idx="4">
                  <c:v>240200</c:v>
                </c:pt>
                <c:pt idx="5">
                  <c:v>17380</c:v>
                </c:pt>
                <c:pt idx="6">
                  <c:v>36100</c:v>
                </c:pt>
                <c:pt idx="7">
                  <c:v>48200</c:v>
                </c:pt>
                <c:pt idx="8">
                  <c:v>14600</c:v>
                </c:pt>
                <c:pt idx="9">
                  <c:v>36000</c:v>
                </c:pt>
                <c:pt idx="10">
                  <c:v>72000</c:v>
                </c:pt>
                <c:pt idx="11">
                  <c:v>57800</c:v>
                </c:pt>
                <c:pt idx="12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276148.8</c:v>
                </c:pt>
                <c:pt idx="1">
                  <c:v>1658.4</c:v>
                </c:pt>
                <c:pt idx="2">
                  <c:v>160</c:v>
                </c:pt>
                <c:pt idx="3">
                  <c:v>160</c:v>
                </c:pt>
                <c:pt idx="4">
                  <c:v>51456</c:v>
                </c:pt>
                <c:pt idx="5">
                  <c:v>347516.4</c:v>
                </c:pt>
                <c:pt idx="6">
                  <c:v>3316.8</c:v>
                </c:pt>
                <c:pt idx="7">
                  <c:v>320</c:v>
                </c:pt>
                <c:pt idx="8">
                  <c:v>185293.4</c:v>
                </c:pt>
                <c:pt idx="9">
                  <c:v>734.99999999999989</c:v>
                </c:pt>
                <c:pt idx="10">
                  <c:v>1469.9999999999998</c:v>
                </c:pt>
                <c:pt idx="11">
                  <c:v>638801.6</c:v>
                </c:pt>
                <c:pt idx="12">
                  <c:v>1469.9999999999998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204800</c:v>
                </c:pt>
                <c:pt idx="2">
                  <c:v>213600</c:v>
                </c:pt>
                <c:pt idx="3">
                  <c:v>316800</c:v>
                </c:pt>
                <c:pt idx="4">
                  <c:v>316800</c:v>
                </c:pt>
                <c:pt idx="5">
                  <c:v>0</c:v>
                </c:pt>
                <c:pt idx="6">
                  <c:v>409600</c:v>
                </c:pt>
                <c:pt idx="7">
                  <c:v>427200</c:v>
                </c:pt>
                <c:pt idx="8">
                  <c:v>0</c:v>
                </c:pt>
                <c:pt idx="9">
                  <c:v>216000</c:v>
                </c:pt>
                <c:pt idx="10">
                  <c:v>320000</c:v>
                </c:pt>
                <c:pt idx="11">
                  <c:v>0</c:v>
                </c:pt>
                <c:pt idx="12">
                  <c:v>432000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683264"/>
        <c:axId val="164598848"/>
        <c:axId val="0"/>
      </c:bar3DChart>
      <c:catAx>
        <c:axId val="16468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598848"/>
        <c:crosses val="autoZero"/>
        <c:auto val="1"/>
        <c:lblAlgn val="ctr"/>
        <c:lblOffset val="100"/>
        <c:noMultiLvlLbl val="0"/>
      </c:catAx>
      <c:valAx>
        <c:axId val="164598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68326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776.04311733844918</c:v>
                </c:pt>
                <c:pt idx="6">
                  <c:v>704.18883533448502</c:v>
                </c:pt>
                <c:pt idx="7">
                  <c:v>661.61649275940965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179.8988015603918</c:v>
                </c:pt>
                <c:pt idx="3">
                  <c:v>324.47289909047407</c:v>
                </c:pt>
                <c:pt idx="4">
                  <c:v>365.71101036342071</c:v>
                </c:pt>
                <c:pt idx="5">
                  <c:v>258.464968564814</c:v>
                </c:pt>
                <c:pt idx="6">
                  <c:v>195.57730232035547</c:v>
                </c:pt>
                <c:pt idx="7">
                  <c:v>267.93711694987877</c:v>
                </c:pt>
                <c:pt idx="8">
                  <c:v>194.98126240089792</c:v>
                </c:pt>
                <c:pt idx="9">
                  <c:v>197.3749028440121</c:v>
                </c:pt>
                <c:pt idx="10">
                  <c:v>416.09608713786901</c:v>
                </c:pt>
                <c:pt idx="11">
                  <c:v>351.20945002577275</c:v>
                </c:pt>
                <c:pt idx="12">
                  <c:v>304.63313590291017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1182.3558542623587</c:v>
                </c:pt>
                <c:pt idx="1">
                  <c:v>970.48246200195672</c:v>
                </c:pt>
                <c:pt idx="2">
                  <c:v>886.09524194460721</c:v>
                </c:pt>
                <c:pt idx="3">
                  <c:v>1062.4331545958271</c:v>
                </c:pt>
                <c:pt idx="4">
                  <c:v>1626.4485613799895</c:v>
                </c:pt>
                <c:pt idx="5">
                  <c:v>1309.2227806515323</c:v>
                </c:pt>
                <c:pt idx="6">
                  <c:v>1354.0146880972336</c:v>
                </c:pt>
                <c:pt idx="7">
                  <c:v>1285.5211185080684</c:v>
                </c:pt>
                <c:pt idx="8">
                  <c:v>856.76612951246602</c:v>
                </c:pt>
                <c:pt idx="9">
                  <c:v>942.95684291828763</c:v>
                </c:pt>
                <c:pt idx="10">
                  <c:v>1394.8560910899778</c:v>
                </c:pt>
                <c:pt idx="11">
                  <c:v>1705.491780527434</c:v>
                </c:pt>
                <c:pt idx="12">
                  <c:v>1374.8053153398582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7749120"/>
        <c:axId val="164601152"/>
      </c:lineChart>
      <c:catAx>
        <c:axId val="16774912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4601152"/>
        <c:crosses val="autoZero"/>
        <c:auto val="1"/>
        <c:lblAlgn val="ctr"/>
        <c:lblOffset val="100"/>
        <c:noMultiLvlLbl val="0"/>
      </c:catAx>
      <c:valAx>
        <c:axId val="164601152"/>
        <c:scaling>
          <c:logBase val="10"/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749120"/>
        <c:crosses val="autoZero"/>
        <c:crossBetween val="between"/>
        <c:dispUnits>
          <c:builtInUnit val="thousan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CAPEX in millions</a:t>
            </a:r>
            <a:r>
              <a:rPr lang="de-DE" baseline="0"/>
              <a:t> of Euros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CAPEX_Euros_OASE!$H$2</c:f>
              <c:strCache>
                <c:ptCount val="1"/>
                <c:pt idx="0">
                  <c:v>Total Cost in Euros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CAPEX_Euros_OASE!$H$3:$H$15</c:f>
              <c:numCache>
                <c:formatCode>General</c:formatCode>
                <c:ptCount val="13"/>
                <c:pt idx="0">
                  <c:v>14589431.858998094</c:v>
                </c:pt>
                <c:pt idx="1">
                  <c:v>13891247.414553652</c:v>
                </c:pt>
                <c:pt idx="2">
                  <c:v>11362408.306554345</c:v>
                </c:pt>
                <c:pt idx="3">
                  <c:v>20493708.306554344</c:v>
                </c:pt>
                <c:pt idx="4">
                  <c:v>23098307.414553653</c:v>
                </c:pt>
                <c:pt idx="5">
                  <c:v>16324647.414553652</c:v>
                </c:pt>
                <c:pt idx="6">
                  <c:v>12352662.414553652</c:v>
                </c:pt>
                <c:pt idx="7">
                  <c:v>16922908.306554344</c:v>
                </c:pt>
                <c:pt idx="8">
                  <c:v>12315016.533240713</c:v>
                </c:pt>
                <c:pt idx="9">
                  <c:v>12466198.863627804</c:v>
                </c:pt>
                <c:pt idx="10">
                  <c:v>26280628.863627806</c:v>
                </c:pt>
                <c:pt idx="11">
                  <c:v>22182388.863627806</c:v>
                </c:pt>
                <c:pt idx="12">
                  <c:v>19240628.863627806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8-4602-901D-E5BA6EC24506}"/>
            </c:ext>
          </c:extLst>
        </c:ser>
        <c:ser>
          <c:idx val="3"/>
          <c:order val="1"/>
          <c:tx>
            <c:strRef>
              <c:f>CAPEX_Euros_Phillipson!$J$1</c:f>
              <c:strCache>
                <c:ptCount val="1"/>
                <c:pt idx="0">
                  <c:v>Total Cost in Euros(Phillipson)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CAPEX_Euros_Phillipson!$J$2:$J$14</c:f>
              <c:numCache>
                <c:formatCode>General</c:formatCode>
                <c:ptCount val="13"/>
                <c:pt idx="0">
                  <c:v>15252337.618583923</c:v>
                </c:pt>
                <c:pt idx="1">
                  <c:v>10529953.044047277</c:v>
                </c:pt>
                <c:pt idx="2">
                  <c:v>9039373.149994798</c:v>
                </c:pt>
                <c:pt idx="3">
                  <c:v>25447373.149994794</c:v>
                </c:pt>
                <c:pt idx="4">
                  <c:v>27474553.044047277</c:v>
                </c:pt>
                <c:pt idx="5">
                  <c:v>7389337.6185839223</c:v>
                </c:pt>
                <c:pt idx="6">
                  <c:v>16942953.044047277</c:v>
                </c:pt>
                <c:pt idx="7">
                  <c:v>16879373.149994794</c:v>
                </c:pt>
                <c:pt idx="8">
                  <c:v>10278741.677680973</c:v>
                </c:pt>
                <c:pt idx="9">
                  <c:v>11390696.385353692</c:v>
                </c:pt>
                <c:pt idx="10">
                  <c:v>27373830.385353688</c:v>
                </c:pt>
                <c:pt idx="11">
                  <c:v>27231241.677680973</c:v>
                </c:pt>
                <c:pt idx="12">
                  <c:v>16780696.385353692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A-40A5-B657-50F1A006A948}"/>
            </c:ext>
          </c:extLst>
        </c:ser>
        <c:ser>
          <c:idx val="2"/>
          <c:order val="2"/>
          <c:tx>
            <c:strRef>
              <c:f>CAPEX_Euros_BSG!$J$1</c:f>
              <c:strCache>
                <c:ptCount val="1"/>
                <c:pt idx="0">
                  <c:v>Total Cost in Euros(BSG)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CAPEX_Euros_BSG!$J$2:$J$14</c:f>
              <c:numCache>
                <c:formatCode>General</c:formatCode>
                <c:ptCount val="13"/>
                <c:pt idx="0">
                  <c:v>34598097.007425137</c:v>
                </c:pt>
                <c:pt idx="1">
                  <c:v>28398257.803101256</c:v>
                </c:pt>
                <c:pt idx="2">
                  <c:v>25928918.969783098</c:v>
                </c:pt>
                <c:pt idx="3">
                  <c:v>31088918.969783094</c:v>
                </c:pt>
                <c:pt idx="4">
                  <c:v>47593137.803101256</c:v>
                </c:pt>
                <c:pt idx="5">
                  <c:v>38310477.007425137</c:v>
                </c:pt>
                <c:pt idx="6">
                  <c:v>39621177.803101249</c:v>
                </c:pt>
                <c:pt idx="7">
                  <c:v>37616918.969783098</c:v>
                </c:pt>
                <c:pt idx="8">
                  <c:v>25070690.48179378</c:v>
                </c:pt>
                <c:pt idx="9">
                  <c:v>27592803.137474932</c:v>
                </c:pt>
                <c:pt idx="10">
                  <c:v>40816278.937474929</c:v>
                </c:pt>
                <c:pt idx="11">
                  <c:v>49906100.481793776</c:v>
                </c:pt>
                <c:pt idx="12">
                  <c:v>40229553.137474932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8-4602-901D-E5BA6EC24506}"/>
            </c:ext>
          </c:extLst>
        </c:ser>
        <c:ser>
          <c:idx val="0"/>
          <c:order val="3"/>
          <c:tx>
            <c:strRef>
              <c:f>CAPEX_Euros_Rokkas!$J$1</c:f>
              <c:strCache>
                <c:ptCount val="1"/>
                <c:pt idx="0">
                  <c:v>Total Cost in Euros(Rokkas)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CAPEX_Euros_Rokkas!$J$2:$J$14</c:f>
              <c:numCache>
                <c:formatCode>General</c:formatCode>
                <c:ptCount val="13"/>
                <c:pt idx="0">
                  <c:v>21888173.699557699</c:v>
                </c:pt>
                <c:pt idx="1">
                  <c:v>13995173.699557699</c:v>
                </c:pt>
                <c:pt idx="2">
                  <c:v>12544221.811125843</c:v>
                </c:pt>
                <c:pt idx="3">
                  <c:v>30544221.811125845</c:v>
                </c:pt>
                <c:pt idx="4">
                  <c:v>29061973.699557699</c:v>
                </c:pt>
                <c:pt idx="5">
                  <c:v>22708573.699557699</c:v>
                </c:pt>
                <c:pt idx="6">
                  <c:v>20605973.699557699</c:v>
                </c:pt>
                <c:pt idx="7">
                  <c:v>19360221.811125845</c:v>
                </c:pt>
                <c:pt idx="8">
                  <c:v>22946360.816784542</c:v>
                </c:pt>
                <c:pt idx="9">
                  <c:v>14159149.773276474</c:v>
                </c:pt>
                <c:pt idx="10">
                  <c:v>32014349.773276474</c:v>
                </c:pt>
                <c:pt idx="11">
                  <c:v>38859749.773276478</c:v>
                </c:pt>
                <c:pt idx="12">
                  <c:v>21614349.773276474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8-4602-901D-E5BA6EC24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7551488"/>
        <c:axId val="167356096"/>
      </c:barChart>
      <c:catAx>
        <c:axId val="1675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56096"/>
        <c:crosses val="autoZero"/>
        <c:auto val="1"/>
        <c:lblAlgn val="ctr"/>
        <c:lblOffset val="100"/>
        <c:noMultiLvlLbl val="0"/>
      </c:catAx>
      <c:valAx>
        <c:axId val="167356096"/>
        <c:scaling>
          <c:logBase val="10"/>
          <c:orientation val="minMax"/>
          <c:min val="1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de-DE" sz="1600"/>
                  <a:t>€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51488"/>
        <c:crosses val="autoZero"/>
        <c:crossBetween val="between"/>
        <c:majorUnit val="10"/>
        <c:minorUnit val="10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2500</c:v>
                </c:pt>
                <c:pt idx="1">
                  <c:v>3300</c:v>
                </c:pt>
                <c:pt idx="2">
                  <c:v>4800</c:v>
                </c:pt>
                <c:pt idx="3">
                  <c:v>4800</c:v>
                </c:pt>
                <c:pt idx="4">
                  <c:v>13200</c:v>
                </c:pt>
                <c:pt idx="5">
                  <c:v>3000</c:v>
                </c:pt>
                <c:pt idx="6">
                  <c:v>6600</c:v>
                </c:pt>
                <c:pt idx="7">
                  <c:v>38400</c:v>
                </c:pt>
                <c:pt idx="8">
                  <c:v>2500</c:v>
                </c:pt>
                <c:pt idx="9">
                  <c:v>6600</c:v>
                </c:pt>
                <c:pt idx="10">
                  <c:v>13200</c:v>
                </c:pt>
                <c:pt idx="11">
                  <c:v>10000</c:v>
                </c:pt>
                <c:pt idx="12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213440</c:v>
                </c:pt>
                <c:pt idx="1">
                  <c:v>0</c:v>
                </c:pt>
                <c:pt idx="2">
                  <c:v>0</c:v>
                </c:pt>
                <c:pt idx="3">
                  <c:v>160</c:v>
                </c:pt>
                <c:pt idx="4">
                  <c:v>992</c:v>
                </c:pt>
                <c:pt idx="5">
                  <c:v>55680</c:v>
                </c:pt>
                <c:pt idx="6">
                  <c:v>4960</c:v>
                </c:pt>
                <c:pt idx="7">
                  <c:v>3200</c:v>
                </c:pt>
                <c:pt idx="8">
                  <c:v>130910</c:v>
                </c:pt>
                <c:pt idx="9">
                  <c:v>108680</c:v>
                </c:pt>
                <c:pt idx="10">
                  <c:v>9880</c:v>
                </c:pt>
                <c:pt idx="11">
                  <c:v>462460</c:v>
                </c:pt>
                <c:pt idx="12">
                  <c:v>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120000</c:v>
                </c:pt>
                <c:pt idx="2">
                  <c:v>120000</c:v>
                </c:pt>
                <c:pt idx="3">
                  <c:v>448000</c:v>
                </c:pt>
                <c:pt idx="4">
                  <c:v>448000</c:v>
                </c:pt>
                <c:pt idx="5">
                  <c:v>0</c:v>
                </c:pt>
                <c:pt idx="6">
                  <c:v>240000</c:v>
                </c:pt>
                <c:pt idx="7">
                  <c:v>240000</c:v>
                </c:pt>
                <c:pt idx="8">
                  <c:v>0</c:v>
                </c:pt>
                <c:pt idx="9">
                  <c:v>40000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552512"/>
        <c:axId val="167358400"/>
      </c:barChart>
      <c:catAx>
        <c:axId val="16755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7358400"/>
        <c:crosses val="autoZero"/>
        <c:auto val="1"/>
        <c:lblAlgn val="ctr"/>
        <c:lblOffset val="100"/>
        <c:noMultiLvlLbl val="0"/>
      </c:catAx>
      <c:valAx>
        <c:axId val="167358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5251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776.04311733844918</c:v>
                </c:pt>
                <c:pt idx="6">
                  <c:v>704.18883533448502</c:v>
                </c:pt>
                <c:pt idx="7">
                  <c:v>661.61649275940965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179.8988015603918</c:v>
                </c:pt>
                <c:pt idx="3">
                  <c:v>324.47289909047407</c:v>
                </c:pt>
                <c:pt idx="4">
                  <c:v>365.71101036342071</c:v>
                </c:pt>
                <c:pt idx="5">
                  <c:v>258.464968564814</c:v>
                </c:pt>
                <c:pt idx="6">
                  <c:v>195.57730232035547</c:v>
                </c:pt>
                <c:pt idx="7">
                  <c:v>267.93711694987877</c:v>
                </c:pt>
                <c:pt idx="8">
                  <c:v>194.98126240089792</c:v>
                </c:pt>
                <c:pt idx="9">
                  <c:v>197.3749028440121</c:v>
                </c:pt>
                <c:pt idx="10">
                  <c:v>416.09608713786901</c:v>
                </c:pt>
                <c:pt idx="11">
                  <c:v>351.20945002577275</c:v>
                </c:pt>
                <c:pt idx="12">
                  <c:v>304.63313590291017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1182.3558542623587</c:v>
                </c:pt>
                <c:pt idx="1">
                  <c:v>970.48246200195672</c:v>
                </c:pt>
                <c:pt idx="2">
                  <c:v>886.09524194460721</c:v>
                </c:pt>
                <c:pt idx="3">
                  <c:v>1062.4331545958271</c:v>
                </c:pt>
                <c:pt idx="4">
                  <c:v>1626.4485613799895</c:v>
                </c:pt>
                <c:pt idx="5">
                  <c:v>1309.2227806515323</c:v>
                </c:pt>
                <c:pt idx="6">
                  <c:v>1354.0146880972336</c:v>
                </c:pt>
                <c:pt idx="7">
                  <c:v>1285.5211185080684</c:v>
                </c:pt>
                <c:pt idx="8">
                  <c:v>856.76612951246602</c:v>
                </c:pt>
                <c:pt idx="9">
                  <c:v>942.95684291828763</c:v>
                </c:pt>
                <c:pt idx="10">
                  <c:v>1394.8560910899778</c:v>
                </c:pt>
                <c:pt idx="11">
                  <c:v>1705.491780527434</c:v>
                </c:pt>
                <c:pt idx="12">
                  <c:v>1374.8053153398582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521.23360052573037</c:v>
                </c:pt>
                <c:pt idx="1">
                  <c:v>359.85076358578624</c:v>
                </c:pt>
                <c:pt idx="2">
                  <c:v>308.91166529952835</c:v>
                </c:pt>
                <c:pt idx="3">
                  <c:v>869.63888831914414</c:v>
                </c:pt>
                <c:pt idx="4">
                  <c:v>938.91576256056578</c:v>
                </c:pt>
                <c:pt idx="5">
                  <c:v>252.52332781709802</c:v>
                </c:pt>
                <c:pt idx="6">
                  <c:v>579.00871587886263</c:v>
                </c:pt>
                <c:pt idx="7">
                  <c:v>576.83593568432764</c:v>
                </c:pt>
                <c:pt idx="8">
                  <c:v>351.26586281460504</c:v>
                </c:pt>
                <c:pt idx="9">
                  <c:v>389.26581865059433</c:v>
                </c:pt>
                <c:pt idx="10">
                  <c:v>935.47366500422697</c:v>
                </c:pt>
                <c:pt idx="11">
                  <c:v>930.60083650061426</c:v>
                </c:pt>
                <c:pt idx="12">
                  <c:v>573.4637545401439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0-40DC-A7E6-49F3B48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66154240"/>
        <c:axId val="167361280"/>
      </c:lineChart>
      <c:catAx>
        <c:axId val="16615424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167361280"/>
        <c:crosses val="autoZero"/>
        <c:auto val="1"/>
        <c:lblAlgn val="ctr"/>
        <c:lblOffset val="100"/>
        <c:noMultiLvlLbl val="0"/>
      </c:catAx>
      <c:valAx>
        <c:axId val="167361280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6154240"/>
        <c:crosses val="autoZero"/>
        <c:crossBetween val="between"/>
        <c:dispUnits>
          <c:builtInUnit val="hundred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</a:t>
            </a:r>
            <a:r>
              <a:rPr lang="de-DE" baseline="0"/>
              <a:t> Phillipson 2013 applied to Munich in millions of Cost Units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927580068657701E-2"/>
          <c:y val="3.8067422423260923E-2"/>
          <c:w val="0.78789757515876335"/>
          <c:h val="0.774913348597382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CAPEX_Euros_Phillipson!$D$1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CAPEX_Euros_Phillipson!$D$2:$D$14</c:f>
              <c:numCache>
                <c:formatCode>General</c:formatCode>
                <c:ptCount val="13"/>
                <c:pt idx="0">
                  <c:v>83454.683914942696</c:v>
                </c:pt>
                <c:pt idx="1">
                  <c:v>83454.683914942696</c:v>
                </c:pt>
                <c:pt idx="2">
                  <c:v>51603.826048242438</c:v>
                </c:pt>
                <c:pt idx="3">
                  <c:v>51603.826048242438</c:v>
                </c:pt>
                <c:pt idx="4">
                  <c:v>83454.683914942696</c:v>
                </c:pt>
                <c:pt idx="5">
                  <c:v>83454.683914942696</c:v>
                </c:pt>
                <c:pt idx="6">
                  <c:v>83454.683914942696</c:v>
                </c:pt>
                <c:pt idx="7">
                  <c:v>51603.826048242438</c:v>
                </c:pt>
                <c:pt idx="8">
                  <c:v>68386.565042534159</c:v>
                </c:pt>
                <c:pt idx="9">
                  <c:v>68870.426616112716</c:v>
                </c:pt>
                <c:pt idx="10">
                  <c:v>68870.426616112716</c:v>
                </c:pt>
                <c:pt idx="11">
                  <c:v>68386.565042534159</c:v>
                </c:pt>
                <c:pt idx="12">
                  <c:v>68870.426616112716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CAPEX_Euros_Phillipson!$E$1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CAPEX_Euros_Phillipson!$E$2:$E$14</c:f>
              <c:numCache>
                <c:formatCode>General</c:formatCode>
                <c:ptCount val="13"/>
                <c:pt idx="0">
                  <c:v>5652.0684567357575</c:v>
                </c:pt>
                <c:pt idx="1">
                  <c:v>3844.3769660028456</c:v>
                </c:pt>
                <c:pt idx="2">
                  <c:v>4383.6369516535042</c:v>
                </c:pt>
                <c:pt idx="3">
                  <c:v>4383.6369516535042</c:v>
                </c:pt>
                <c:pt idx="4">
                  <c:v>3844.3769660028456</c:v>
                </c:pt>
                <c:pt idx="5">
                  <c:v>5652.0684567357575</c:v>
                </c:pt>
                <c:pt idx="6">
                  <c:v>3844.3769660028456</c:v>
                </c:pt>
                <c:pt idx="7">
                  <c:v>4383.6369516535042</c:v>
                </c:pt>
                <c:pt idx="8">
                  <c:v>3778.2685110852781</c:v>
                </c:pt>
                <c:pt idx="9">
                  <c:v>3663.5010909611156</c:v>
                </c:pt>
                <c:pt idx="10">
                  <c:v>7526.1810909611158</c:v>
                </c:pt>
                <c:pt idx="11">
                  <c:v>3778.2685110852781</c:v>
                </c:pt>
                <c:pt idx="12">
                  <c:v>3663.5010909611156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CAPEX_Euros_Phillipson!$F$1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CAPEX_Euros_Phillipson!$F$2:$F$14</c:f>
              <c:numCache>
                <c:formatCode>General</c:formatCode>
                <c:ptCount val="13"/>
                <c:pt idx="0">
                  <c:v>2500</c:v>
                </c:pt>
                <c:pt idx="1">
                  <c:v>3300</c:v>
                </c:pt>
                <c:pt idx="2">
                  <c:v>4800</c:v>
                </c:pt>
                <c:pt idx="3">
                  <c:v>4800</c:v>
                </c:pt>
                <c:pt idx="4">
                  <c:v>13200</c:v>
                </c:pt>
                <c:pt idx="5">
                  <c:v>3000</c:v>
                </c:pt>
                <c:pt idx="6">
                  <c:v>6600</c:v>
                </c:pt>
                <c:pt idx="7">
                  <c:v>38400</c:v>
                </c:pt>
                <c:pt idx="8">
                  <c:v>2500</c:v>
                </c:pt>
                <c:pt idx="9">
                  <c:v>6600</c:v>
                </c:pt>
                <c:pt idx="10">
                  <c:v>13200</c:v>
                </c:pt>
                <c:pt idx="11">
                  <c:v>10000</c:v>
                </c:pt>
                <c:pt idx="12">
                  <c:v>13200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CAPEX_Euros_Phillipson!$G$1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CAPEX_Euros_Phillipson!$G$2:$G$14</c:f>
              <c:numCache>
                <c:formatCode>General</c:formatCode>
                <c:ptCount val="13"/>
                <c:pt idx="0">
                  <c:v>213440</c:v>
                </c:pt>
                <c:pt idx="1">
                  <c:v>0</c:v>
                </c:pt>
                <c:pt idx="2">
                  <c:v>0</c:v>
                </c:pt>
                <c:pt idx="3">
                  <c:v>160</c:v>
                </c:pt>
                <c:pt idx="4">
                  <c:v>992</c:v>
                </c:pt>
                <c:pt idx="5">
                  <c:v>55680</c:v>
                </c:pt>
                <c:pt idx="6">
                  <c:v>4960</c:v>
                </c:pt>
                <c:pt idx="7">
                  <c:v>3200</c:v>
                </c:pt>
                <c:pt idx="8">
                  <c:v>130910</c:v>
                </c:pt>
                <c:pt idx="9">
                  <c:v>108680</c:v>
                </c:pt>
                <c:pt idx="10">
                  <c:v>9880</c:v>
                </c:pt>
                <c:pt idx="11">
                  <c:v>462460</c:v>
                </c:pt>
                <c:pt idx="12">
                  <c:v>9880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CAPEX_Euros_Phillipson!$H$1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CAPEX_Euros_Phillipson!$H$2:$H$14</c:f>
              <c:numCache>
                <c:formatCode>General</c:formatCode>
                <c:ptCount val="13"/>
                <c:pt idx="0">
                  <c:v>0</c:v>
                </c:pt>
                <c:pt idx="1">
                  <c:v>120000</c:v>
                </c:pt>
                <c:pt idx="2">
                  <c:v>120000</c:v>
                </c:pt>
                <c:pt idx="3">
                  <c:v>448000</c:v>
                </c:pt>
                <c:pt idx="4">
                  <c:v>448000</c:v>
                </c:pt>
                <c:pt idx="5">
                  <c:v>0</c:v>
                </c:pt>
                <c:pt idx="6">
                  <c:v>240000</c:v>
                </c:pt>
                <c:pt idx="7">
                  <c:v>240000</c:v>
                </c:pt>
                <c:pt idx="8">
                  <c:v>0</c:v>
                </c:pt>
                <c:pt idx="9">
                  <c:v>40000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12096"/>
        <c:axId val="42983424"/>
      </c:barChart>
      <c:catAx>
        <c:axId val="4301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3424"/>
        <c:crosses val="autoZero"/>
        <c:auto val="1"/>
        <c:lblAlgn val="ctr"/>
        <c:lblOffset val="100"/>
        <c:noMultiLvlLbl val="0"/>
      </c:catAx>
      <c:valAx>
        <c:axId val="42983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Cost Units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12096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Cost</a:t>
            </a:r>
            <a:r>
              <a:rPr lang="de-DE" baseline="0"/>
              <a:t> per HH passed in thousands of Euros</a:t>
            </a:r>
            <a:br>
              <a:rPr lang="de-DE" baseline="0"/>
            </a:br>
            <a:r>
              <a:rPr lang="de-DE" baseline="0"/>
              <a:t>Munich Residential</a:t>
            </a:r>
          </a:p>
          <a:p>
            <a:pPr>
              <a:defRPr/>
            </a:pPr>
            <a:endParaRPr lang="de-DE" baseline="0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CAPEX_Euros_Rokkas!$L$1</c:f>
              <c:strCache>
                <c:ptCount val="1"/>
                <c:pt idx="0">
                  <c:v>Cost per Home passed(Rokkas)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CAPEX_Euros_Rokkas!$L$2:$L$14</c:f>
              <c:numCache>
                <c:formatCode>General</c:formatCode>
                <c:ptCount val="13"/>
                <c:pt idx="0">
                  <c:v>748.00675618746834</c:v>
                </c:pt>
                <c:pt idx="1">
                  <c:v>478.27126305644521</c:v>
                </c:pt>
                <c:pt idx="2">
                  <c:v>428.68641279221663</c:v>
                </c:pt>
                <c:pt idx="3">
                  <c:v>1043.8186662267051</c:v>
                </c:pt>
                <c:pt idx="4">
                  <c:v>993.16429839237571</c:v>
                </c:pt>
                <c:pt idx="5">
                  <c:v>776.04311733844918</c:v>
                </c:pt>
                <c:pt idx="6">
                  <c:v>704.18883533448502</c:v>
                </c:pt>
                <c:pt idx="7">
                  <c:v>661.61649275940965</c:v>
                </c:pt>
                <c:pt idx="8">
                  <c:v>784.16925763052905</c:v>
                </c:pt>
                <c:pt idx="9">
                  <c:v>483.87498370844349</c:v>
                </c:pt>
                <c:pt idx="10">
                  <c:v>1094.0588399041924</c:v>
                </c:pt>
                <c:pt idx="11">
                  <c:v>1327.9936358853283</c:v>
                </c:pt>
                <c:pt idx="12">
                  <c:v>738.64909347537673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4D-4702-8FC1-2740B63097ED}"/>
            </c:ext>
          </c:extLst>
        </c:ser>
        <c:ser>
          <c:idx val="1"/>
          <c:order val="1"/>
          <c:tx>
            <c:strRef>
              <c:f>CAPEX_Euros_OASE!$J$2</c:f>
              <c:strCache>
                <c:ptCount val="1"/>
                <c:pt idx="0">
                  <c:v>Cost per Home passed(OASE)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CAPEX_Euros_OASE!$J$3:$J$15</c:f>
              <c:numCache>
                <c:formatCode>General</c:formatCode>
                <c:ptCount val="13"/>
                <c:pt idx="0">
                  <c:v>230.99163804620161</c:v>
                </c:pt>
                <c:pt idx="1">
                  <c:v>219.93741948311671</c:v>
                </c:pt>
                <c:pt idx="2">
                  <c:v>179.8988015603918</c:v>
                </c:pt>
                <c:pt idx="3">
                  <c:v>324.47289909047407</c:v>
                </c:pt>
                <c:pt idx="4">
                  <c:v>365.71101036342071</c:v>
                </c:pt>
                <c:pt idx="5">
                  <c:v>258.464968564814</c:v>
                </c:pt>
                <c:pt idx="6">
                  <c:v>195.57730232035547</c:v>
                </c:pt>
                <c:pt idx="7">
                  <c:v>267.93711694987877</c:v>
                </c:pt>
                <c:pt idx="8">
                  <c:v>194.98126240089792</c:v>
                </c:pt>
                <c:pt idx="9">
                  <c:v>197.3749028440121</c:v>
                </c:pt>
                <c:pt idx="10">
                  <c:v>416.09608713786901</c:v>
                </c:pt>
                <c:pt idx="11">
                  <c:v>351.20945002577275</c:v>
                </c:pt>
                <c:pt idx="12">
                  <c:v>304.63313590291017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4D-4702-8FC1-2740B63097ED}"/>
            </c:ext>
          </c:extLst>
        </c:ser>
        <c:ser>
          <c:idx val="2"/>
          <c:order val="2"/>
          <c:tx>
            <c:strRef>
              <c:f>CAPEX_Euros_BSG!$L$1</c:f>
              <c:strCache>
                <c:ptCount val="1"/>
                <c:pt idx="0">
                  <c:v>Cost per Home passed(BSG)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CAPEX_Euros_BSG!$L$2:$L$14</c:f>
              <c:numCache>
                <c:formatCode>General</c:formatCode>
                <c:ptCount val="13"/>
                <c:pt idx="0">
                  <c:v>1182.3558542623587</c:v>
                </c:pt>
                <c:pt idx="1">
                  <c:v>970.48246200195672</c:v>
                </c:pt>
                <c:pt idx="2">
                  <c:v>886.09524194460721</c:v>
                </c:pt>
                <c:pt idx="3">
                  <c:v>1062.4331545958271</c:v>
                </c:pt>
                <c:pt idx="4">
                  <c:v>1626.4485613799895</c:v>
                </c:pt>
                <c:pt idx="5">
                  <c:v>1309.2227806515323</c:v>
                </c:pt>
                <c:pt idx="6">
                  <c:v>1354.0146880972336</c:v>
                </c:pt>
                <c:pt idx="7">
                  <c:v>1285.5211185080684</c:v>
                </c:pt>
                <c:pt idx="8">
                  <c:v>856.76612951246602</c:v>
                </c:pt>
                <c:pt idx="9">
                  <c:v>942.95684291828763</c:v>
                </c:pt>
                <c:pt idx="10">
                  <c:v>1394.8560910899778</c:v>
                </c:pt>
                <c:pt idx="11">
                  <c:v>1705.491780527434</c:v>
                </c:pt>
                <c:pt idx="12">
                  <c:v>1374.8053153398582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D-4702-8FC1-2740B63097ED}"/>
            </c:ext>
          </c:extLst>
        </c:ser>
        <c:ser>
          <c:idx val="3"/>
          <c:order val="3"/>
          <c:tx>
            <c:strRef>
              <c:f>CAPEX_Euros_Phillipson!$L$1</c:f>
              <c:strCache>
                <c:ptCount val="1"/>
                <c:pt idx="0">
                  <c:v>Cost per Home passed(Phillipson)</c:v>
                </c:pt>
              </c:strCache>
            </c:strRef>
          </c:tx>
          <c:marker>
            <c:symbol val="none"/>
          </c:marker>
          <c:cat>
            <c:strRef>
              <c:f>CAPEX_Euros_Phillipson!$A$2:$A$14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CAPEX_Euros_Phillipson!$L$2:$L$14</c:f>
              <c:numCache>
                <c:formatCode>General</c:formatCode>
                <c:ptCount val="13"/>
                <c:pt idx="0">
                  <c:v>521.23360052573037</c:v>
                </c:pt>
                <c:pt idx="1">
                  <c:v>359.85076358578624</c:v>
                </c:pt>
                <c:pt idx="2">
                  <c:v>308.91166529952835</c:v>
                </c:pt>
                <c:pt idx="3">
                  <c:v>869.63888831914414</c:v>
                </c:pt>
                <c:pt idx="4">
                  <c:v>938.91576256056578</c:v>
                </c:pt>
                <c:pt idx="5">
                  <c:v>252.52332781709802</c:v>
                </c:pt>
                <c:pt idx="6">
                  <c:v>579.00871587886263</c:v>
                </c:pt>
                <c:pt idx="7">
                  <c:v>576.83593568432764</c:v>
                </c:pt>
                <c:pt idx="8">
                  <c:v>351.26586281460504</c:v>
                </c:pt>
                <c:pt idx="9">
                  <c:v>389.26581865059433</c:v>
                </c:pt>
                <c:pt idx="10">
                  <c:v>935.47366500422697</c:v>
                </c:pt>
                <c:pt idx="11">
                  <c:v>930.60083650061426</c:v>
                </c:pt>
                <c:pt idx="12">
                  <c:v>573.4637545401439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9D-43BE-841C-7F46FEAD7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43101184"/>
        <c:axId val="42986304"/>
      </c:lineChart>
      <c:catAx>
        <c:axId val="43101184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none"/>
        <c:minorTickMark val="none"/>
        <c:tickLblPos val="nextTo"/>
        <c:crossAx val="42986304"/>
        <c:crosses val="autoZero"/>
        <c:auto val="1"/>
        <c:lblAlgn val="ctr"/>
        <c:lblOffset val="100"/>
        <c:noMultiLvlLbl val="0"/>
      </c:catAx>
      <c:valAx>
        <c:axId val="42986304"/>
        <c:scaling>
          <c:orientation val="minMax"/>
          <c:min val="1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per HH passed in Euros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10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OASE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3381.6000000000004</c:v>
                </c:pt>
                <c:pt idx="2">
                  <c:v>1920</c:v>
                </c:pt>
                <c:pt idx="3">
                  <c:v>1920</c:v>
                </c:pt>
                <c:pt idx="4">
                  <c:v>5092.8</c:v>
                </c:pt>
                <c:pt idx="5">
                  <c:v>148579.6</c:v>
                </c:pt>
                <c:pt idx="6">
                  <c:v>2002.8</c:v>
                </c:pt>
                <c:pt idx="7">
                  <c:v>3840</c:v>
                </c:pt>
                <c:pt idx="8">
                  <c:v>78450.2</c:v>
                </c:pt>
                <c:pt idx="9">
                  <c:v>1188.5999999999999</c:v>
                </c:pt>
                <c:pt idx="10">
                  <c:v>2377.1999999999998</c:v>
                </c:pt>
                <c:pt idx="11">
                  <c:v>260532.4</c:v>
                </c:pt>
                <c:pt idx="12">
                  <c:v>2377.1999999999998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96800</c:v>
                </c:pt>
                <c:pt idx="2">
                  <c:v>94880</c:v>
                </c:pt>
                <c:pt idx="3">
                  <c:v>276800</c:v>
                </c:pt>
                <c:pt idx="4">
                  <c:v>257600</c:v>
                </c:pt>
                <c:pt idx="5">
                  <c:v>0</c:v>
                </c:pt>
                <c:pt idx="6">
                  <c:v>59987.1</c:v>
                </c:pt>
                <c:pt idx="7">
                  <c:v>196800</c:v>
                </c:pt>
                <c:pt idx="8">
                  <c:v>0</c:v>
                </c:pt>
                <c:pt idx="9">
                  <c:v>88800</c:v>
                </c:pt>
                <c:pt idx="10">
                  <c:v>353600</c:v>
                </c:pt>
                <c:pt idx="11">
                  <c:v>0</c:v>
                </c:pt>
                <c:pt idx="12">
                  <c:v>212800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14144"/>
        <c:axId val="42988032"/>
      </c:barChart>
      <c:catAx>
        <c:axId val="4301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88032"/>
        <c:crosses val="autoZero"/>
        <c:auto val="1"/>
        <c:lblAlgn val="ctr"/>
        <c:lblOffset val="100"/>
        <c:noMultiLvlLbl val="0"/>
      </c:catAx>
      <c:valAx>
        <c:axId val="4298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14144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 sz="1800" b="1" i="0" baseline="0">
                <a:effectLst/>
              </a:rPr>
              <a:t>Components Cost Rokkas applied to Munich in millions of Cost Units</a:t>
            </a:r>
            <a:endParaRPr lang="de-DE">
              <a:effectLst/>
            </a:endParaRPr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CAPEX_Euros_Rokkas!$D$1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CAPEX_Euros_Rokkas!$D$2:$D$14</c:f>
              <c:numCache>
                <c:formatCode>General</c:formatCode>
                <c:ptCount val="13"/>
                <c:pt idx="0">
                  <c:v>134032.15311618152</c:v>
                </c:pt>
                <c:pt idx="1">
                  <c:v>134032.15311618152</c:v>
                </c:pt>
                <c:pt idx="2">
                  <c:v>104446.15236112358</c:v>
                </c:pt>
                <c:pt idx="3">
                  <c:v>104446.15236112358</c:v>
                </c:pt>
                <c:pt idx="4">
                  <c:v>134032.15311618152</c:v>
                </c:pt>
                <c:pt idx="5">
                  <c:v>134032.15311618152</c:v>
                </c:pt>
                <c:pt idx="6">
                  <c:v>134032.15311618152</c:v>
                </c:pt>
                <c:pt idx="7">
                  <c:v>104446.15236112358</c:v>
                </c:pt>
                <c:pt idx="8">
                  <c:v>129857.75993294036</c:v>
                </c:pt>
                <c:pt idx="9">
                  <c:v>120923.53906277897</c:v>
                </c:pt>
                <c:pt idx="10">
                  <c:v>120923.53906277897</c:v>
                </c:pt>
                <c:pt idx="11">
                  <c:v>120923.53906277897</c:v>
                </c:pt>
                <c:pt idx="12">
                  <c:v>120923.53906277897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7-4F2C-B3FB-155963218EC0}"/>
            </c:ext>
          </c:extLst>
        </c:ser>
        <c:ser>
          <c:idx val="1"/>
          <c:order val="1"/>
          <c:tx>
            <c:strRef>
              <c:f>CAPEX_Euros_Rokkas!$E$1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CAPEX_Euros_Rokkas!$E$2:$E$14</c:f>
              <c:numCache>
                <c:formatCode>General</c:formatCode>
                <c:ptCount val="13"/>
                <c:pt idx="0">
                  <c:v>10655.320874972513</c:v>
                </c:pt>
                <c:pt idx="1">
                  <c:v>10655.320874972513</c:v>
                </c:pt>
                <c:pt idx="2">
                  <c:v>7118.2838613933172</c:v>
                </c:pt>
                <c:pt idx="3">
                  <c:v>7118.2838613933172</c:v>
                </c:pt>
                <c:pt idx="4">
                  <c:v>10655.320874972513</c:v>
                </c:pt>
                <c:pt idx="5">
                  <c:v>10655.320874972513</c:v>
                </c:pt>
                <c:pt idx="6">
                  <c:v>10655.320874972513</c:v>
                </c:pt>
                <c:pt idx="7">
                  <c:v>7118.2838613933172</c:v>
                </c:pt>
                <c:pt idx="8">
                  <c:v>10155.456402750504</c:v>
                </c:pt>
                <c:pt idx="9">
                  <c:v>10155.456402750504</c:v>
                </c:pt>
                <c:pt idx="10">
                  <c:v>10155.456402750504</c:v>
                </c:pt>
                <c:pt idx="11">
                  <c:v>10155.456402750504</c:v>
                </c:pt>
                <c:pt idx="12">
                  <c:v>10155.456402750504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7-4F2C-B3FB-155963218EC0}"/>
            </c:ext>
          </c:extLst>
        </c:ser>
        <c:ser>
          <c:idx val="2"/>
          <c:order val="2"/>
          <c:tx>
            <c:strRef>
              <c:f>CAPEX_Euros_Rokkas!$F$1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CAPEX_Euros_Rokkas!$F$2:$F$14</c:f>
              <c:numCache>
                <c:formatCode>General</c:formatCode>
                <c:ptCount val="13"/>
                <c:pt idx="0">
                  <c:v>7492</c:v>
                </c:pt>
                <c:pt idx="1">
                  <c:v>12200</c:v>
                </c:pt>
                <c:pt idx="2">
                  <c:v>19000</c:v>
                </c:pt>
                <c:pt idx="3">
                  <c:v>19000</c:v>
                </c:pt>
                <c:pt idx="4">
                  <c:v>39800</c:v>
                </c:pt>
                <c:pt idx="5">
                  <c:v>8080</c:v>
                </c:pt>
                <c:pt idx="6">
                  <c:v>21400</c:v>
                </c:pt>
                <c:pt idx="7">
                  <c:v>35000</c:v>
                </c:pt>
                <c:pt idx="8">
                  <c:v>10040</c:v>
                </c:pt>
                <c:pt idx="9">
                  <c:v>27040</c:v>
                </c:pt>
                <c:pt idx="10">
                  <c:v>51080</c:v>
                </c:pt>
                <c:pt idx="11">
                  <c:v>31160</c:v>
                </c:pt>
                <c:pt idx="12">
                  <c:v>51080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37-4F2C-B3FB-155963218EC0}"/>
            </c:ext>
          </c:extLst>
        </c:ser>
        <c:ser>
          <c:idx val="3"/>
          <c:order val="3"/>
          <c:tx>
            <c:strRef>
              <c:f>CAPEX_Euros_Rokkas!$G$1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CAPEX_Euros_Rokkas!$G$2:$G$14</c:f>
              <c:numCache>
                <c:formatCode>General</c:formatCode>
                <c:ptCount val="13"/>
                <c:pt idx="0">
                  <c:v>285584</c:v>
                </c:pt>
                <c:pt idx="1">
                  <c:v>11016</c:v>
                </c:pt>
                <c:pt idx="2">
                  <c:v>320</c:v>
                </c:pt>
                <c:pt idx="3">
                  <c:v>320</c:v>
                </c:pt>
                <c:pt idx="4">
                  <c:v>12752</c:v>
                </c:pt>
                <c:pt idx="5">
                  <c:v>301404</c:v>
                </c:pt>
                <c:pt idx="6">
                  <c:v>22032</c:v>
                </c:pt>
                <c:pt idx="7">
                  <c:v>640</c:v>
                </c:pt>
                <c:pt idx="8">
                  <c:v>308874</c:v>
                </c:pt>
                <c:pt idx="9">
                  <c:v>5064</c:v>
                </c:pt>
                <c:pt idx="10">
                  <c:v>10128</c:v>
                </c:pt>
                <c:pt idx="11">
                  <c:v>614956</c:v>
                </c:pt>
                <c:pt idx="12">
                  <c:v>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37-4F2C-B3FB-155963218EC0}"/>
            </c:ext>
          </c:extLst>
        </c:ser>
        <c:ser>
          <c:idx val="4"/>
          <c:order val="4"/>
          <c:tx>
            <c:strRef>
              <c:f>CAPEX_Euros_Rokkas!$H$1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CAPEX_Euros_Rokkas!$A$2:$A$14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CAPEX_Euros_Rokkas!$H$2:$H$14</c:f>
              <c:numCache>
                <c:formatCode>General</c:formatCode>
                <c:ptCount val="13"/>
                <c:pt idx="0">
                  <c:v>0</c:v>
                </c:pt>
                <c:pt idx="1">
                  <c:v>112000</c:v>
                </c:pt>
                <c:pt idx="2">
                  <c:v>120000</c:v>
                </c:pt>
                <c:pt idx="3">
                  <c:v>480000</c:v>
                </c:pt>
                <c:pt idx="4">
                  <c:v>384000</c:v>
                </c:pt>
                <c:pt idx="5">
                  <c:v>0</c:v>
                </c:pt>
                <c:pt idx="6">
                  <c:v>224000</c:v>
                </c:pt>
                <c:pt idx="7">
                  <c:v>240000</c:v>
                </c:pt>
                <c:pt idx="8">
                  <c:v>0</c:v>
                </c:pt>
                <c:pt idx="9">
                  <c:v>120000</c:v>
                </c:pt>
                <c:pt idx="10">
                  <c:v>448000</c:v>
                </c:pt>
                <c:pt idx="11">
                  <c:v>0</c:v>
                </c:pt>
                <c:pt idx="12">
                  <c:v>240000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37-4F2C-B3FB-155963218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15680"/>
        <c:axId val="42990336"/>
      </c:barChart>
      <c:catAx>
        <c:axId val="4301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990336"/>
        <c:crosses val="autoZero"/>
        <c:auto val="1"/>
        <c:lblAlgn val="ctr"/>
        <c:lblOffset val="100"/>
        <c:noMultiLvlLbl val="0"/>
      </c:catAx>
      <c:valAx>
        <c:axId val="42990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01568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Components Cost BSG applied</a:t>
            </a:r>
            <a:r>
              <a:rPr lang="de-DE" baseline="0"/>
              <a:t> to Munich in millions of Cost Units</a:t>
            </a:r>
            <a:endParaRPr lang="de-DE"/>
          </a:p>
        </c:rich>
      </c:tx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CAPEX_Euros_BSG!$D$1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CAPEX_Euros_BSG!$D$2:$D$14</c:f>
              <c:numCache>
                <c:formatCode>General</c:formatCode>
                <c:ptCount val="13"/>
                <c:pt idx="0">
                  <c:v>220258.5472510673</c:v>
                </c:pt>
                <c:pt idx="1">
                  <c:v>220258.5472510673</c:v>
                </c:pt>
                <c:pt idx="2">
                  <c:v>136195.87571102803</c:v>
                </c:pt>
                <c:pt idx="3">
                  <c:v>136195.87571102803</c:v>
                </c:pt>
                <c:pt idx="4">
                  <c:v>220258.5472510673</c:v>
                </c:pt>
                <c:pt idx="5">
                  <c:v>220258.5472510673</c:v>
                </c:pt>
                <c:pt idx="6">
                  <c:v>220258.5472510673</c:v>
                </c:pt>
                <c:pt idx="7">
                  <c:v>136195.87571102803</c:v>
                </c:pt>
                <c:pt idx="8">
                  <c:v>180489.8749974439</c:v>
                </c:pt>
                <c:pt idx="9">
                  <c:v>181766.91113571086</c:v>
                </c:pt>
                <c:pt idx="10">
                  <c:v>181766.91113571086</c:v>
                </c:pt>
                <c:pt idx="11">
                  <c:v>180489.8749974439</c:v>
                </c:pt>
                <c:pt idx="12">
                  <c:v>181766.91113571086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0B-427F-B18E-025EB10A1FBE}"/>
            </c:ext>
          </c:extLst>
        </c:ser>
        <c:ser>
          <c:idx val="1"/>
          <c:order val="1"/>
          <c:tx>
            <c:strRef>
              <c:f>CAPEX_Euros_BSG!$E$1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CAPEX_Euros_BSG!$E$2:$E$14</c:f>
              <c:numCache>
                <c:formatCode>General</c:formatCode>
                <c:ptCount val="13"/>
                <c:pt idx="0">
                  <c:v>181054.59289743542</c:v>
                </c:pt>
                <c:pt idx="1">
                  <c:v>123148.20881095782</c:v>
                </c:pt>
                <c:pt idx="2">
                  <c:v>140422.50368463391</c:v>
                </c:pt>
                <c:pt idx="3">
                  <c:v>140422.50368463391</c:v>
                </c:pt>
                <c:pt idx="4">
                  <c:v>123148.20881095782</c:v>
                </c:pt>
                <c:pt idx="5">
                  <c:v>181054.59289743542</c:v>
                </c:pt>
                <c:pt idx="6">
                  <c:v>123148.20881095782</c:v>
                </c:pt>
                <c:pt idx="7">
                  <c:v>140422.50368463391</c:v>
                </c:pt>
                <c:pt idx="8">
                  <c:v>121030.53463843174</c:v>
                </c:pt>
                <c:pt idx="9">
                  <c:v>117354.15161378775</c:v>
                </c:pt>
                <c:pt idx="10">
                  <c:v>241088.66761378772</c:v>
                </c:pt>
                <c:pt idx="11">
                  <c:v>121030.53463843174</c:v>
                </c:pt>
                <c:pt idx="12">
                  <c:v>117354.15161378775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0B-427F-B18E-025EB10A1FBE}"/>
            </c:ext>
          </c:extLst>
        </c:ser>
        <c:ser>
          <c:idx val="2"/>
          <c:order val="2"/>
          <c:tx>
            <c:strRef>
              <c:f>CAPEX_Euros_BSG!$F$1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CAPEX_Euros_BSG!$F$2:$F$14</c:f>
              <c:numCache>
                <c:formatCode>General</c:formatCode>
                <c:ptCount val="13"/>
                <c:pt idx="0">
                  <c:v>14500</c:v>
                </c:pt>
                <c:pt idx="1">
                  <c:v>18100</c:v>
                </c:pt>
                <c:pt idx="2">
                  <c:v>28200</c:v>
                </c:pt>
                <c:pt idx="3">
                  <c:v>28200</c:v>
                </c:pt>
                <c:pt idx="4">
                  <c:v>240200</c:v>
                </c:pt>
                <c:pt idx="5">
                  <c:v>17380</c:v>
                </c:pt>
                <c:pt idx="6">
                  <c:v>36100</c:v>
                </c:pt>
                <c:pt idx="7">
                  <c:v>48200</c:v>
                </c:pt>
                <c:pt idx="8">
                  <c:v>14600</c:v>
                </c:pt>
                <c:pt idx="9">
                  <c:v>36000</c:v>
                </c:pt>
                <c:pt idx="10">
                  <c:v>72000</c:v>
                </c:pt>
                <c:pt idx="11">
                  <c:v>57800</c:v>
                </c:pt>
                <c:pt idx="12">
                  <c:v>72000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0B-427F-B18E-025EB10A1FBE}"/>
            </c:ext>
          </c:extLst>
        </c:ser>
        <c:ser>
          <c:idx val="3"/>
          <c:order val="3"/>
          <c:tx>
            <c:strRef>
              <c:f>CAPEX_Euros_BSG!$G$1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CAPEX_Euros_BSG!$G$2:$G$14</c:f>
              <c:numCache>
                <c:formatCode>General</c:formatCode>
                <c:ptCount val="13"/>
                <c:pt idx="0">
                  <c:v>276148.8</c:v>
                </c:pt>
                <c:pt idx="1">
                  <c:v>1658.4</c:v>
                </c:pt>
                <c:pt idx="2">
                  <c:v>160</c:v>
                </c:pt>
                <c:pt idx="3">
                  <c:v>160</c:v>
                </c:pt>
                <c:pt idx="4">
                  <c:v>51456</c:v>
                </c:pt>
                <c:pt idx="5">
                  <c:v>347516.4</c:v>
                </c:pt>
                <c:pt idx="6">
                  <c:v>3316.8</c:v>
                </c:pt>
                <c:pt idx="7">
                  <c:v>320</c:v>
                </c:pt>
                <c:pt idx="8">
                  <c:v>185293.4</c:v>
                </c:pt>
                <c:pt idx="9">
                  <c:v>734.99999999999989</c:v>
                </c:pt>
                <c:pt idx="10">
                  <c:v>1469.9999999999998</c:v>
                </c:pt>
                <c:pt idx="11">
                  <c:v>638801.6</c:v>
                </c:pt>
                <c:pt idx="12">
                  <c:v>1469.9999999999998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0B-427F-B18E-025EB10A1FBE}"/>
            </c:ext>
          </c:extLst>
        </c:ser>
        <c:ser>
          <c:idx val="4"/>
          <c:order val="4"/>
          <c:tx>
            <c:strRef>
              <c:f>CAPEX_Euros_BSG!$H$1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CAPEX_Euros_BSG!$A$2:$A$14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CAPEX_Euros_BSG!$H$2:$H$14</c:f>
              <c:numCache>
                <c:formatCode>General</c:formatCode>
                <c:ptCount val="13"/>
                <c:pt idx="0">
                  <c:v>0</c:v>
                </c:pt>
                <c:pt idx="1">
                  <c:v>204800</c:v>
                </c:pt>
                <c:pt idx="2">
                  <c:v>213600</c:v>
                </c:pt>
                <c:pt idx="3">
                  <c:v>316800</c:v>
                </c:pt>
                <c:pt idx="4">
                  <c:v>316800</c:v>
                </c:pt>
                <c:pt idx="5">
                  <c:v>0</c:v>
                </c:pt>
                <c:pt idx="6">
                  <c:v>409600</c:v>
                </c:pt>
                <c:pt idx="7">
                  <c:v>427200</c:v>
                </c:pt>
                <c:pt idx="8">
                  <c:v>0</c:v>
                </c:pt>
                <c:pt idx="9">
                  <c:v>216000</c:v>
                </c:pt>
                <c:pt idx="10">
                  <c:v>320000</c:v>
                </c:pt>
                <c:pt idx="11">
                  <c:v>0</c:v>
                </c:pt>
                <c:pt idx="12">
                  <c:v>432000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0B-427F-B18E-025EB10A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695552"/>
        <c:axId val="132973696"/>
      </c:barChart>
      <c:catAx>
        <c:axId val="13269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2973696"/>
        <c:crosses val="autoZero"/>
        <c:auto val="1"/>
        <c:lblAlgn val="ctr"/>
        <c:lblOffset val="100"/>
        <c:noMultiLvlLbl val="0"/>
      </c:catAx>
      <c:valAx>
        <c:axId val="1329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2695552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697088"/>
        <c:axId val="132976000"/>
      </c:barChart>
      <c:catAx>
        <c:axId val="13269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6000"/>
        <c:crosses val="autoZero"/>
        <c:auto val="1"/>
        <c:lblAlgn val="ctr"/>
        <c:lblOffset val="100"/>
        <c:noMultiLvlLbl val="0"/>
      </c:catAx>
      <c:valAx>
        <c:axId val="1329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[1]OPEX!$D$28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[1]OPEX!$E$28:$Q$28</c:f>
              <c:numCache>
                <c:formatCode>General</c:formatCode>
                <c:ptCount val="13"/>
                <c:pt idx="0">
                  <c:v>7308</c:v>
                </c:pt>
                <c:pt idx="1">
                  <c:v>3074</c:v>
                </c:pt>
                <c:pt idx="2">
                  <c:v>3869</c:v>
                </c:pt>
                <c:pt idx="3">
                  <c:v>3869</c:v>
                </c:pt>
                <c:pt idx="4">
                  <c:v>5936</c:v>
                </c:pt>
                <c:pt idx="5">
                  <c:v>13074</c:v>
                </c:pt>
                <c:pt idx="6">
                  <c:v>5936</c:v>
                </c:pt>
                <c:pt idx="7">
                  <c:v>7314</c:v>
                </c:pt>
                <c:pt idx="8">
                  <c:v>16202.8</c:v>
                </c:pt>
                <c:pt idx="9">
                  <c:v>4240</c:v>
                </c:pt>
                <c:pt idx="10">
                  <c:v>8480</c:v>
                </c:pt>
                <c:pt idx="11">
                  <c:v>20377.2</c:v>
                </c:pt>
                <c:pt idx="12">
                  <c:v>8480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1-49F6-83ED-2665C470D7F5}"/>
            </c:ext>
          </c:extLst>
        </c:ser>
        <c:ser>
          <c:idx val="1"/>
          <c:order val="1"/>
          <c:tx>
            <c:strRef>
              <c:f>[1]OPEX!$D$29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[1]OPEX!$E$29:$Q$29</c:f>
              <c:numCache>
                <c:formatCode>General</c:formatCode>
                <c:ptCount val="13"/>
                <c:pt idx="0">
                  <c:v>3900.4488391680002</c:v>
                </c:pt>
                <c:pt idx="1">
                  <c:v>15518.532579840001</c:v>
                </c:pt>
                <c:pt idx="2">
                  <c:v>14871.900355200003</c:v>
                </c:pt>
                <c:pt idx="3">
                  <c:v>3279.3529536000001</c:v>
                </c:pt>
                <c:pt idx="4">
                  <c:v>2489.7663590400002</c:v>
                </c:pt>
                <c:pt idx="5">
                  <c:v>11115.468565056002</c:v>
                </c:pt>
                <c:pt idx="6">
                  <c:v>15946.915080960001</c:v>
                </c:pt>
                <c:pt idx="7">
                  <c:v>14972.561164800003</c:v>
                </c:pt>
                <c:pt idx="8">
                  <c:v>7232.9508432000002</c:v>
                </c:pt>
                <c:pt idx="9">
                  <c:v>15199.111584</c:v>
                </c:pt>
                <c:pt idx="10">
                  <c:v>378.22176000000002</c:v>
                </c:pt>
                <c:pt idx="11">
                  <c:v>9256.7074175999987</c:v>
                </c:pt>
                <c:pt idx="12">
                  <c:v>15372.01296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1-49F6-83ED-2665C470D7F5}"/>
            </c:ext>
          </c:extLst>
        </c:ser>
        <c:ser>
          <c:idx val="2"/>
          <c:order val="2"/>
          <c:tx>
            <c:strRef>
              <c:f>[1]OPEX!$D$30</c:f>
              <c:strCache>
                <c:ptCount val="1"/>
                <c:pt idx="0">
                  <c:v>Fault Maintenance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[1]OPEX!$E$30:$Q$30</c:f>
              <c:numCache>
                <c:formatCode>General</c:formatCode>
                <c:ptCount val="13"/>
                <c:pt idx="0">
                  <c:v>6008.5530527698265</c:v>
                </c:pt>
                <c:pt idx="1">
                  <c:v>20434.095716784002</c:v>
                </c:pt>
                <c:pt idx="2">
                  <c:v>20766.619334565716</c:v>
                </c:pt>
                <c:pt idx="3">
                  <c:v>2263.0546533337124</c:v>
                </c:pt>
                <c:pt idx="4">
                  <c:v>2233.9824704598395</c:v>
                </c:pt>
                <c:pt idx="5">
                  <c:v>21331.706543720222</c:v>
                </c:pt>
                <c:pt idx="6">
                  <c:v>20730.355811899841</c:v>
                </c:pt>
                <c:pt idx="7">
                  <c:v>20767.268450565716</c:v>
                </c:pt>
                <c:pt idx="8">
                  <c:v>10209.666758157182</c:v>
                </c:pt>
                <c:pt idx="9">
                  <c:v>20585.774219759998</c:v>
                </c:pt>
                <c:pt idx="10">
                  <c:v>1980.898713392548</c:v>
                </c:pt>
                <c:pt idx="11">
                  <c:v>12704.99861850918</c:v>
                </c:pt>
                <c:pt idx="12">
                  <c:v>20869.841433392543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F1-49F6-83ED-2665C470D7F5}"/>
            </c:ext>
          </c:extLst>
        </c:ser>
        <c:ser>
          <c:idx val="3"/>
          <c:order val="3"/>
          <c:tx>
            <c:strRef>
              <c:f>[1]OPEX!$D$31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[1]OPEX!$E$31:$Q$31</c:f>
              <c:numCache>
                <c:formatCode>General</c:formatCode>
                <c:ptCount val="13"/>
                <c:pt idx="0">
                  <c:v>860.85009459689138</c:v>
                </c:pt>
                <c:pt idx="1">
                  <c:v>1951.3314148312002</c:v>
                </c:pt>
                <c:pt idx="2">
                  <c:v>1975.3759844882859</c:v>
                </c:pt>
                <c:pt idx="3">
                  <c:v>470.57038034668568</c:v>
                </c:pt>
                <c:pt idx="4">
                  <c:v>532.98744147499201</c:v>
                </c:pt>
                <c:pt idx="5">
                  <c:v>2276.0587554388112</c:v>
                </c:pt>
                <c:pt idx="6">
                  <c:v>2130.6635446429923</c:v>
                </c:pt>
                <c:pt idx="7">
                  <c:v>2152.6914807682861</c:v>
                </c:pt>
                <c:pt idx="8">
                  <c:v>1682.2708800678593</c:v>
                </c:pt>
                <c:pt idx="9">
                  <c:v>2001.2442901880002</c:v>
                </c:pt>
                <c:pt idx="10">
                  <c:v>541.95602366962737</c:v>
                </c:pt>
                <c:pt idx="11">
                  <c:v>2116.9453018054592</c:v>
                </c:pt>
                <c:pt idx="12">
                  <c:v>2236.0927196696271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F1-49F6-83ED-2665C470D7F5}"/>
            </c:ext>
          </c:extLst>
        </c:ser>
        <c:ser>
          <c:idx val="4"/>
          <c:order val="4"/>
          <c:tx>
            <c:strRef>
              <c:f>[1]OPEX!$D$32</c:f>
              <c:strCache>
                <c:ptCount val="1"/>
                <c:pt idx="0">
                  <c:v>Operations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[1]OPEX!$E$27:$Q$27</c:f>
              <c:strCache>
                <c:ptCount val="13"/>
                <c:pt idx="0">
                  <c:v>FTTC_GPON_25</c:v>
                </c:pt>
                <c:pt idx="1">
                  <c:v>FTTB_XGPON_50</c:v>
                </c:pt>
                <c:pt idx="2">
                  <c:v>FTTB_DWDM_50</c:v>
                </c:pt>
                <c:pt idx="3">
                  <c:v>FTTH_DWDM_100</c:v>
                </c:pt>
                <c:pt idx="4">
                  <c:v>FTTH_XGPON_100</c:v>
                </c:pt>
                <c:pt idx="5">
                  <c:v>FTTC_GPON_100</c:v>
                </c:pt>
                <c:pt idx="6">
                  <c:v>FTTB_XGPON_100</c:v>
                </c:pt>
                <c:pt idx="7">
                  <c:v>FTTB_DWDM_100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[1]OPEX!$E$32:$Q$32</c:f>
              <c:numCache>
                <c:formatCode>General</c:formatCode>
                <c:ptCount val="13"/>
                <c:pt idx="0">
                  <c:v>1205.1901324356479</c:v>
                </c:pt>
                <c:pt idx="1">
                  <c:v>2731.8639807636805</c:v>
                </c:pt>
                <c:pt idx="2">
                  <c:v>2765.5263782836005</c:v>
                </c:pt>
                <c:pt idx="3">
                  <c:v>658.79853248536006</c:v>
                </c:pt>
                <c:pt idx="4">
                  <c:v>746.18241806498884</c:v>
                </c:pt>
                <c:pt idx="5">
                  <c:v>3186.482257614336</c:v>
                </c:pt>
                <c:pt idx="6">
                  <c:v>2982.9289625001893</c:v>
                </c:pt>
                <c:pt idx="7">
                  <c:v>3013.7680730756006</c:v>
                </c:pt>
                <c:pt idx="8">
                  <c:v>2355.179232095003</c:v>
                </c:pt>
                <c:pt idx="9">
                  <c:v>2801.7420062632004</c:v>
                </c:pt>
                <c:pt idx="10">
                  <c:v>758.73843313747841</c:v>
                </c:pt>
                <c:pt idx="11">
                  <c:v>2963.7234225276429</c:v>
                </c:pt>
                <c:pt idx="12">
                  <c:v>3130.5298075374781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1-49F6-83ED-2665C470D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32697600"/>
        <c:axId val="132977728"/>
      </c:barChart>
      <c:catAx>
        <c:axId val="132697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Technology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7728"/>
        <c:crosses val="autoZero"/>
        <c:auto val="1"/>
        <c:lblAlgn val="ctr"/>
        <c:lblOffset val="100"/>
        <c:noMultiLvlLbl val="0"/>
      </c:catAx>
      <c:valAx>
        <c:axId val="13297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9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714555145313016E-2"/>
          <c:y val="2.9581469038593596E-2"/>
          <c:w val="0.7366203386107667"/>
          <c:h val="0.767279818194695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CAPEX_Euros_OASE!$B$2</c:f>
              <c:strCache>
                <c:ptCount val="1"/>
                <c:pt idx="0">
                  <c:v>Duct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CAPEX_Euros_OASE!$B$3:$B$15</c:f>
              <c:numCache>
                <c:formatCode>General</c:formatCode>
                <c:ptCount val="13"/>
                <c:pt idx="0">
                  <c:v>170187.83055482313</c:v>
                </c:pt>
                <c:pt idx="1">
                  <c:v>170187.83055482313</c:v>
                </c:pt>
                <c:pt idx="2">
                  <c:v>123966.4385182156</c:v>
                </c:pt>
                <c:pt idx="3">
                  <c:v>123966.4385182156</c:v>
                </c:pt>
                <c:pt idx="4">
                  <c:v>170187.83055482313</c:v>
                </c:pt>
                <c:pt idx="5">
                  <c:v>170187.83055482313</c:v>
                </c:pt>
                <c:pt idx="6">
                  <c:v>170187.83055482313</c:v>
                </c:pt>
                <c:pt idx="7">
                  <c:v>123966.4385182156</c:v>
                </c:pt>
                <c:pt idx="8">
                  <c:v>162896.27914347179</c:v>
                </c:pt>
                <c:pt idx="9">
                  <c:v>148601.5257512136</c:v>
                </c:pt>
                <c:pt idx="10">
                  <c:v>148601.5257512136</c:v>
                </c:pt>
                <c:pt idx="11">
                  <c:v>148601.5257512136</c:v>
                </c:pt>
                <c:pt idx="12">
                  <c:v>148601.5257512136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7-40B4-A155-A243BB9F39F7}"/>
            </c:ext>
          </c:extLst>
        </c:ser>
        <c:ser>
          <c:idx val="1"/>
          <c:order val="1"/>
          <c:tx>
            <c:strRef>
              <c:f>CAPEX_Euros_OASE!$C$2</c:f>
              <c:strCache>
                <c:ptCount val="1"/>
                <c:pt idx="0">
                  <c:v>Fiber Cost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CAPEX_Euros_OASE!$C$3:$C$15</c:f>
              <c:numCache>
                <c:formatCode>General</c:formatCode>
                <c:ptCount val="13"/>
                <c:pt idx="0">
                  <c:v>35.517736249908381</c:v>
                </c:pt>
                <c:pt idx="1">
                  <c:v>35.517736249908381</c:v>
                </c:pt>
                <c:pt idx="2">
                  <c:v>23.727612871311063</c:v>
                </c:pt>
                <c:pt idx="3">
                  <c:v>23.727612871311063</c:v>
                </c:pt>
                <c:pt idx="4">
                  <c:v>35.517736249908381</c:v>
                </c:pt>
                <c:pt idx="5">
                  <c:v>35.517736249908381</c:v>
                </c:pt>
                <c:pt idx="6">
                  <c:v>35.517736249908381</c:v>
                </c:pt>
                <c:pt idx="7">
                  <c:v>23.727612871311063</c:v>
                </c:pt>
                <c:pt idx="8">
                  <c:v>33.851521342501684</c:v>
                </c:pt>
                <c:pt idx="9">
                  <c:v>33.851521342501684</c:v>
                </c:pt>
                <c:pt idx="10">
                  <c:v>33.851521342501684</c:v>
                </c:pt>
                <c:pt idx="11">
                  <c:v>33.851521342501684</c:v>
                </c:pt>
                <c:pt idx="12">
                  <c:v>33.851521342501684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7-40B4-A155-A243BB9F39F7}"/>
            </c:ext>
          </c:extLst>
        </c:ser>
        <c:ser>
          <c:idx val="2"/>
          <c:order val="2"/>
          <c:tx>
            <c:strRef>
              <c:f>CAPEX_Euros_OASE!$D$2</c:f>
              <c:strCache>
                <c:ptCount val="1"/>
                <c:pt idx="0">
                  <c:v>Central Office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CAPEX_Euros_OASE!$D$3:$D$15</c:f>
              <c:numCache>
                <c:formatCode>General</c:formatCode>
                <c:ptCount val="13"/>
                <c:pt idx="0">
                  <c:v>3198.8888888888887</c:v>
                </c:pt>
                <c:pt idx="1">
                  <c:v>7420</c:v>
                </c:pt>
                <c:pt idx="2">
                  <c:v>6458</c:v>
                </c:pt>
                <c:pt idx="3">
                  <c:v>7164</c:v>
                </c:pt>
                <c:pt idx="4">
                  <c:v>29050</c:v>
                </c:pt>
                <c:pt idx="5">
                  <c:v>7690</c:v>
                </c:pt>
                <c:pt idx="6">
                  <c:v>14840</c:v>
                </c:pt>
                <c:pt idx="7">
                  <c:v>13828</c:v>
                </c:pt>
                <c:pt idx="8">
                  <c:v>4920</c:v>
                </c:pt>
                <c:pt idx="9">
                  <c:v>10700</c:v>
                </c:pt>
                <c:pt idx="10">
                  <c:v>21000</c:v>
                </c:pt>
                <c:pt idx="11">
                  <c:v>34480</c:v>
                </c:pt>
                <c:pt idx="12">
                  <c:v>21000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97-40B4-A155-A243BB9F39F7}"/>
            </c:ext>
          </c:extLst>
        </c:ser>
        <c:ser>
          <c:idx val="3"/>
          <c:order val="3"/>
          <c:tx>
            <c:strRef>
              <c:f>CAPEX_Euros_OASE!$E$2</c:f>
              <c:strCache>
                <c:ptCount val="1"/>
                <c:pt idx="0">
                  <c:v>Remote Node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CAPEX_Euros_OASE!$E$3:$E$15</c:f>
              <c:numCache>
                <c:formatCode>General</c:formatCode>
                <c:ptCount val="13"/>
                <c:pt idx="0">
                  <c:v>118366.39999999999</c:v>
                </c:pt>
                <c:pt idx="1">
                  <c:v>3381.6000000000004</c:v>
                </c:pt>
                <c:pt idx="2">
                  <c:v>1920</c:v>
                </c:pt>
                <c:pt idx="3">
                  <c:v>1920</c:v>
                </c:pt>
                <c:pt idx="4">
                  <c:v>5092.8</c:v>
                </c:pt>
                <c:pt idx="5">
                  <c:v>148579.6</c:v>
                </c:pt>
                <c:pt idx="6">
                  <c:v>2002.8</c:v>
                </c:pt>
                <c:pt idx="7">
                  <c:v>3840</c:v>
                </c:pt>
                <c:pt idx="8">
                  <c:v>78450.2</c:v>
                </c:pt>
                <c:pt idx="9">
                  <c:v>1188.5999999999999</c:v>
                </c:pt>
                <c:pt idx="10">
                  <c:v>2377.1999999999998</c:v>
                </c:pt>
                <c:pt idx="11">
                  <c:v>260532.4</c:v>
                </c:pt>
                <c:pt idx="12">
                  <c:v>2377.1999999999998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97-40B4-A155-A243BB9F39F7}"/>
            </c:ext>
          </c:extLst>
        </c:ser>
        <c:ser>
          <c:idx val="4"/>
          <c:order val="4"/>
          <c:tx>
            <c:strRef>
              <c:f>CAPEX_Euros_OASE!$F$2</c:f>
              <c:strCache>
                <c:ptCount val="1"/>
                <c:pt idx="0">
                  <c:v>Building E&amp;I Costs</c:v>
                </c:pt>
              </c:strCache>
            </c:strRef>
          </c:tx>
          <c:invertIfNegative val="0"/>
          <c:cat>
            <c:strRef>
              <c:f>CAPEX_Euros_OASE!$A$3:$A$15</c:f>
              <c:strCache>
                <c:ptCount val="13"/>
                <c:pt idx="0">
                  <c:v>FTTCab_GPON_25</c:v>
                </c:pt>
                <c:pt idx="1">
                  <c:v>FTTB_XGPON_50</c:v>
                </c:pt>
                <c:pt idx="2">
                  <c:v>FTTB_WRWDM_50</c:v>
                </c:pt>
                <c:pt idx="3">
                  <c:v>FTTH_WRWDM_100</c:v>
                </c:pt>
                <c:pt idx="4">
                  <c:v>FTTH_XGPON_100</c:v>
                </c:pt>
                <c:pt idx="5">
                  <c:v>FTTCab_GPON_100</c:v>
                </c:pt>
                <c:pt idx="6">
                  <c:v>FTTB_XGPON_100</c:v>
                </c:pt>
                <c:pt idx="7">
                  <c:v>FTTB_WRWDM_100</c:v>
                </c:pt>
                <c:pt idx="8">
                  <c:v>FTTC_Hybridpon_25</c:v>
                </c:pt>
                <c:pt idx="9">
                  <c:v>FTTB_Hybridpon_50</c:v>
                </c:pt>
                <c:pt idx="10">
                  <c:v>FTTH_Hybridpon_100</c:v>
                </c:pt>
                <c:pt idx="11">
                  <c:v>FTTC_Hybridpon_100</c:v>
                </c:pt>
                <c:pt idx="12">
                  <c:v>FTTB_Hybridpon_100</c:v>
                </c:pt>
              </c:strCache>
            </c:strRef>
          </c:cat>
          <c:val>
            <c:numRef>
              <c:f>CAPEX_Euros_OASE!$F$3:$F$15</c:f>
              <c:numCache>
                <c:formatCode>General</c:formatCode>
                <c:ptCount val="13"/>
                <c:pt idx="0">
                  <c:v>0</c:v>
                </c:pt>
                <c:pt idx="1">
                  <c:v>96800</c:v>
                </c:pt>
                <c:pt idx="2">
                  <c:v>94880</c:v>
                </c:pt>
                <c:pt idx="3">
                  <c:v>276800</c:v>
                </c:pt>
                <c:pt idx="4">
                  <c:v>257600</c:v>
                </c:pt>
                <c:pt idx="5">
                  <c:v>0</c:v>
                </c:pt>
                <c:pt idx="6">
                  <c:v>59987.1</c:v>
                </c:pt>
                <c:pt idx="7">
                  <c:v>196800</c:v>
                </c:pt>
                <c:pt idx="8">
                  <c:v>0</c:v>
                </c:pt>
                <c:pt idx="9">
                  <c:v>88800</c:v>
                </c:pt>
                <c:pt idx="10">
                  <c:v>353600</c:v>
                </c:pt>
                <c:pt idx="11">
                  <c:v>0</c:v>
                </c:pt>
                <c:pt idx="12">
                  <c:v>212800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97-40B4-A155-A243BB9F3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52480"/>
        <c:axId val="43392320"/>
      </c:barChart>
      <c:catAx>
        <c:axId val="167252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392320"/>
        <c:crosses val="autoZero"/>
        <c:auto val="1"/>
        <c:lblAlgn val="ctr"/>
        <c:lblOffset val="100"/>
        <c:noMultiLvlLbl val="0"/>
      </c:catAx>
      <c:valAx>
        <c:axId val="4339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252480"/>
        <c:crosses val="autoZero"/>
        <c:crossBetween val="between"/>
        <c:dispUnits>
          <c:builtInUnit val="millions"/>
          <c:dispUnitsLbl/>
        </c:dispUnits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20</xdr:col>
      <xdr:colOff>142874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172</xdr:row>
      <xdr:rowOff>133350</xdr:rowOff>
    </xdr:from>
    <xdr:to>
      <xdr:col>20</xdr:col>
      <xdr:colOff>190500</xdr:colOff>
      <xdr:row>209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99060</xdr:rowOff>
    </xdr:from>
    <xdr:to>
      <xdr:col>20</xdr:col>
      <xdr:colOff>161924</xdr:colOff>
      <xdr:row>69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69</xdr:row>
      <xdr:rowOff>19049</xdr:rowOff>
    </xdr:from>
    <xdr:to>
      <xdr:col>20</xdr:col>
      <xdr:colOff>200024</xdr:colOff>
      <xdr:row>100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100</xdr:row>
      <xdr:rowOff>114299</xdr:rowOff>
    </xdr:from>
    <xdr:to>
      <xdr:col>20</xdr:col>
      <xdr:colOff>247650</xdr:colOff>
      <xdr:row>140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28574</xdr:rowOff>
    </xdr:from>
    <xdr:to>
      <xdr:col>20</xdr:col>
      <xdr:colOff>228600</xdr:colOff>
      <xdr:row>172</xdr:row>
      <xdr:rowOff>57149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32657</xdr:colOff>
      <xdr:row>53</xdr:row>
      <xdr:rowOff>76200</xdr:rowOff>
    </xdr:from>
    <xdr:to>
      <xdr:col>29</xdr:col>
      <xdr:colOff>337457</xdr:colOff>
      <xdr:row>68</xdr:row>
      <xdr:rowOff>43543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AA7E32-E03E-48BC-8AEC-B0697D1A0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218</xdr:row>
      <xdr:rowOff>0</xdr:rowOff>
    </xdr:from>
    <xdr:to>
      <xdr:col>17</xdr:col>
      <xdr:colOff>313781</xdr:colOff>
      <xdr:row>240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AF6944-48DA-45D6-93A4-52064D7B7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1278731</xdr:colOff>
      <xdr:row>21</xdr:row>
      <xdr:rowOff>1904</xdr:rowOff>
    </xdr:from>
    <xdr:to>
      <xdr:col>5</xdr:col>
      <xdr:colOff>266700</xdr:colOff>
      <xdr:row>51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1619250</xdr:colOff>
      <xdr:row>20</xdr:row>
      <xdr:rowOff>100011</xdr:rowOff>
    </xdr:from>
    <xdr:to>
      <xdr:col>12</xdr:col>
      <xdr:colOff>483392</xdr:colOff>
      <xdr:row>50</xdr:row>
      <xdr:rowOff>59531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3</xdr:col>
      <xdr:colOff>2933700</xdr:colOff>
      <xdr:row>53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257174</xdr:colOff>
      <xdr:row>17</xdr:row>
      <xdr:rowOff>95250</xdr:rowOff>
    </xdr:from>
    <xdr:to>
      <xdr:col>9</xdr:col>
      <xdr:colOff>1695449</xdr:colOff>
      <xdr:row>45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514350</xdr:colOff>
      <xdr:row>16</xdr:row>
      <xdr:rowOff>95250</xdr:rowOff>
    </xdr:from>
    <xdr:to>
      <xdr:col>18</xdr:col>
      <xdr:colOff>276224</xdr:colOff>
      <xdr:row>50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1165860</xdr:colOff>
      <xdr:row>15</xdr:row>
      <xdr:rowOff>76200</xdr:rowOff>
    </xdr:from>
    <xdr:to>
      <xdr:col>8</xdr:col>
      <xdr:colOff>266700</xdr:colOff>
      <xdr:row>37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594360</xdr:colOff>
      <xdr:row>15</xdr:row>
      <xdr:rowOff>76200</xdr:rowOff>
    </xdr:from>
    <xdr:to>
      <xdr:col>4</xdr:col>
      <xdr:colOff>1074420</xdr:colOff>
      <xdr:row>37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754380</xdr:colOff>
      <xdr:row>15</xdr:row>
      <xdr:rowOff>99061</xdr:rowOff>
    </xdr:from>
    <xdr:to>
      <xdr:col>19</xdr:col>
      <xdr:colOff>426720</xdr:colOff>
      <xdr:row>43</xdr:row>
      <xdr:rowOff>106681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385233</xdr:colOff>
      <xdr:row>20</xdr:row>
      <xdr:rowOff>9525</xdr:rowOff>
    </xdr:from>
    <xdr:to>
      <xdr:col>11</xdr:col>
      <xdr:colOff>445982</xdr:colOff>
      <xdr:row>41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9525</xdr:rowOff>
    </xdr:from>
    <xdr:to>
      <xdr:col>4</xdr:col>
      <xdr:colOff>293793</xdr:colOff>
      <xdr:row>42</xdr:row>
      <xdr:rowOff>40005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518160</xdr:colOff>
      <xdr:row>16</xdr:row>
      <xdr:rowOff>15240</xdr:rowOff>
    </xdr:from>
    <xdr:to>
      <xdr:col>26</xdr:col>
      <xdr:colOff>87418</xdr:colOff>
      <xdr:row>48</xdr:row>
      <xdr:rowOff>40006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x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TTC_GPON_25_PIVOT"/>
      <sheetName val="FTTC_GPON_25"/>
      <sheetName val="FTTB_XGPON_50"/>
      <sheetName val="FTTB_DWDM_50"/>
      <sheetName val="FTTH_DWDM_100"/>
      <sheetName val="FTTH_XGPON_100"/>
      <sheetName val="FTTC_GPON_100"/>
      <sheetName val="FTTB_XGPON_100"/>
      <sheetName val="FTTB_DWDM_100"/>
      <sheetName val="FTTC_Hybridpon_25"/>
      <sheetName val="FTTB_Hybridpon_50"/>
      <sheetName val="FTTH_Hybridpon_100"/>
      <sheetName val="FTTC_Hybridpon_100"/>
      <sheetName val="FTTB_Hybridpon_100"/>
      <sheetName val="OP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7">
          <cell r="E27" t="str">
            <v>FTTC_GPON_25</v>
          </cell>
          <cell r="F27" t="str">
            <v>FTTB_XGPON_50</v>
          </cell>
          <cell r="G27" t="str">
            <v>FTTB_DWDM_50</v>
          </cell>
          <cell r="H27" t="str">
            <v>FTTH_DWDM_100</v>
          </cell>
          <cell r="I27" t="str">
            <v>FTTH_XGPON_100</v>
          </cell>
          <cell r="J27" t="str">
            <v>FTTC_GPON_100</v>
          </cell>
          <cell r="K27" t="str">
            <v>FTTB_XGPON_100</v>
          </cell>
          <cell r="L27" t="str">
            <v>FTTB_DWDM_100</v>
          </cell>
          <cell r="M27" t="str">
            <v>FTTC_Hybridpon_25</v>
          </cell>
          <cell r="N27" t="str">
            <v>FTTB_Hybridpon_50</v>
          </cell>
          <cell r="O27" t="str">
            <v>FTTH_Hybridpon_100</v>
          </cell>
          <cell r="P27" t="str">
            <v>FTTC_Hybridpon_100</v>
          </cell>
          <cell r="Q27" t="str">
            <v>FTTB_Hybridpon_100</v>
          </cell>
        </row>
        <row r="28">
          <cell r="D28" t="str">
            <v>Rent</v>
          </cell>
          <cell r="E28">
            <v>7308</v>
          </cell>
          <cell r="F28">
            <v>3074</v>
          </cell>
          <cell r="G28">
            <v>3869</v>
          </cell>
          <cell r="H28">
            <v>3869</v>
          </cell>
          <cell r="I28">
            <v>5936</v>
          </cell>
          <cell r="J28">
            <v>13074</v>
          </cell>
          <cell r="K28">
            <v>5936</v>
          </cell>
          <cell r="L28">
            <v>7314</v>
          </cell>
          <cell r="M28">
            <v>16202.8</v>
          </cell>
          <cell r="N28">
            <v>4240</v>
          </cell>
          <cell r="O28">
            <v>8480</v>
          </cell>
          <cell r="P28">
            <v>20377.2</v>
          </cell>
          <cell r="Q28">
            <v>8480</v>
          </cell>
        </row>
        <row r="29">
          <cell r="D29" t="str">
            <v>Energy</v>
          </cell>
          <cell r="E29">
            <v>3900.4488391680002</v>
          </cell>
          <cell r="F29">
            <v>15518.532579840001</v>
          </cell>
          <cell r="G29">
            <v>14871.900355200003</v>
          </cell>
          <cell r="H29">
            <v>3279.3529536000001</v>
          </cell>
          <cell r="I29">
            <v>2489.7663590400002</v>
          </cell>
          <cell r="J29">
            <v>11115.468565056002</v>
          </cell>
          <cell r="K29">
            <v>15946.915080960001</v>
          </cell>
          <cell r="L29">
            <v>14972.561164800003</v>
          </cell>
          <cell r="M29">
            <v>7232.9508432000002</v>
          </cell>
          <cell r="N29">
            <v>15199.111584</v>
          </cell>
          <cell r="O29">
            <v>378.22176000000002</v>
          </cell>
          <cell r="P29">
            <v>9256.7074175999987</v>
          </cell>
          <cell r="Q29">
            <v>15372.01296</v>
          </cell>
        </row>
        <row r="30">
          <cell r="D30" t="str">
            <v>Fault Maintenance</v>
          </cell>
          <cell r="E30">
            <v>6008.5530527698265</v>
          </cell>
          <cell r="F30">
            <v>20434.095716784002</v>
          </cell>
          <cell r="G30">
            <v>20766.619334565716</v>
          </cell>
          <cell r="H30">
            <v>2263.0546533337124</v>
          </cell>
          <cell r="I30">
            <v>2233.9824704598395</v>
          </cell>
          <cell r="J30">
            <v>21331.706543720222</v>
          </cell>
          <cell r="K30">
            <v>20730.355811899841</v>
          </cell>
          <cell r="L30">
            <v>20767.268450565716</v>
          </cell>
          <cell r="M30">
            <v>10209.666758157182</v>
          </cell>
          <cell r="N30">
            <v>20585.774219759998</v>
          </cell>
          <cell r="O30">
            <v>1980.898713392548</v>
          </cell>
          <cell r="P30">
            <v>12704.99861850918</v>
          </cell>
          <cell r="Q30">
            <v>20869.841433392543</v>
          </cell>
        </row>
        <row r="31">
          <cell r="D31" t="str">
            <v>Marketing</v>
          </cell>
          <cell r="E31">
            <v>860.85009459689138</v>
          </cell>
          <cell r="F31">
            <v>1951.3314148312002</v>
          </cell>
          <cell r="G31">
            <v>1975.3759844882859</v>
          </cell>
          <cell r="H31">
            <v>470.57038034668568</v>
          </cell>
          <cell r="I31">
            <v>532.98744147499201</v>
          </cell>
          <cell r="J31">
            <v>2276.0587554388112</v>
          </cell>
          <cell r="K31">
            <v>2130.6635446429923</v>
          </cell>
          <cell r="L31">
            <v>2152.6914807682861</v>
          </cell>
          <cell r="M31">
            <v>1682.2708800678593</v>
          </cell>
          <cell r="N31">
            <v>2001.2442901880002</v>
          </cell>
          <cell r="O31">
            <v>541.95602366962737</v>
          </cell>
          <cell r="P31">
            <v>2116.9453018054592</v>
          </cell>
          <cell r="Q31">
            <v>2236.0927196696271</v>
          </cell>
        </row>
        <row r="32">
          <cell r="D32" t="str">
            <v>Operations</v>
          </cell>
          <cell r="E32">
            <v>1205.1901324356479</v>
          </cell>
          <cell r="F32">
            <v>2731.8639807636805</v>
          </cell>
          <cell r="G32">
            <v>2765.5263782836005</v>
          </cell>
          <cell r="H32">
            <v>658.79853248536006</v>
          </cell>
          <cell r="I32">
            <v>746.18241806498884</v>
          </cell>
          <cell r="J32">
            <v>3186.482257614336</v>
          </cell>
          <cell r="K32">
            <v>2982.9289625001893</v>
          </cell>
          <cell r="L32">
            <v>3013.7680730756006</v>
          </cell>
          <cell r="M32">
            <v>2355.179232095003</v>
          </cell>
          <cell r="N32">
            <v>2801.7420062632004</v>
          </cell>
          <cell r="O32">
            <v>758.73843313747841</v>
          </cell>
          <cell r="P32">
            <v>2963.7234225276429</v>
          </cell>
          <cell r="Q32">
            <v>3130.5298075374781</v>
          </cell>
        </row>
      </sheetData>
    </sheetDataSet>
  </externalBook>
</externalLink>
</file>

<file path=xl/tables/table1.xml><?xml version="1.0" encoding="utf-8"?>
<table xmlns="http://schemas.openxmlformats.org/spreadsheetml/2006/main" id="2" name="Table2" displayName="Table2" ref="A1:K10" totalsRowShown="0" headerRowDxfId="185" dataDxfId="184" tableBorderDxfId="183">
  <autoFilter ref="A1:K10"/>
  <tableColumns count="11">
    <tableColumn id="1" name="Position of component" dataDxfId="182"/>
    <tableColumn id="2" name="Component Name" dataDxfId="181"/>
    <tableColumn id="3" name="Cost per Unit (OASE)" dataDxfId="180"/>
    <tableColumn id="6" name="Cost per Unit (Rokkas)" dataDxfId="179">
      <calculatedColumnFormula>10000/50</calculatedColumnFormula>
    </tableColumn>
    <tableColumn id="8" name="Cost per Unit (BSG)" dataDxfId="178"/>
    <tableColumn id="10" name="Cost per Unit(Philipson)" dataDxfId="177"/>
    <tableColumn id="4" name="Quantity" dataDxfId="176"/>
    <tableColumn id="5" name="Component Cost(OASE)" dataDxfId="175">
      <calculatedColumnFormula>Table2[[#This Row],[Cost per Unit (OASE)]]*Table2[[#This Row],[Quantity]]</calculatedColumnFormula>
    </tableColumn>
    <tableColumn id="7" name="Component Cost(Rokkas)" dataDxfId="174">
      <calculatedColumnFormula>Table2[[#This Row],[Cost per Unit (Rokkas)]]*Table2[[#This Row],[Quantity]]</calculatedColumnFormula>
    </tableColumn>
    <tableColumn id="9" name="Component Cost(BSG)" dataDxfId="173">
      <calculatedColumnFormula>Table2[[#This Row],[Cost per Unit (BSG)]]*Table2[[#This Row],[Quantity]]</calculatedColumnFormula>
    </tableColumn>
    <tableColumn id="11" name="Component Cost(Phillipson)" dataDxfId="172">
      <calculatedColumnFormula>Table2[[#This Row],[Cost per Unit(Philipson)]]*Table2[[#This Row],[Quantity]]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21213" displayName="Table21213" ref="A1:K9" totalsRowShown="0" headerRowDxfId="59" dataDxfId="58" tableBorderDxfId="57">
  <autoFilter ref="A1:K9"/>
  <tableColumns count="11">
    <tableColumn id="1" name="Position of component" dataDxfId="56"/>
    <tableColumn id="2" name="Component Name" dataDxfId="55"/>
    <tableColumn id="3" name="Cost per Unit (OASE)" dataDxfId="54"/>
    <tableColumn id="6" name="Cost per Unit (Rokkas)" dataDxfId="53"/>
    <tableColumn id="8" name="Cost per Unit(BSG)" dataDxfId="52"/>
    <tableColumn id="11" name="Cost per uNit(Phillipson)" dataDxfId="51"/>
    <tableColumn id="4" name="Quantity" dataDxfId="50"/>
    <tableColumn id="5" name="Component Cost" dataDxfId="49">
      <calculatedColumnFormula>Table21213[[#This Row],[Cost per Unit (OASE)]]*Table21213[[#This Row],[Quantity]]</calculatedColumnFormula>
    </tableColumn>
    <tableColumn id="7" name="Component Cost(Rokkas)" dataDxfId="48">
      <calculatedColumnFormula>Table21213[[#This Row],[Cost per Unit (Rokkas)]]*Table21213[[#This Row],[Quantity]]</calculatedColumnFormula>
    </tableColumn>
    <tableColumn id="9" name="Component Cost(BSG)" dataDxfId="47">
      <calculatedColumnFormula>Table21213[[#This Row],[Cost per Unit(BSG)]]*Table21213[[#This Row],[Quantity]]</calculatedColumnFormula>
    </tableColumn>
    <tableColumn id="10" name="Component Cost(Phillipson)" dataDxfId="46">
      <calculatedColumnFormula>Table21213[[#This Row],[Cost per uNit(Phillipson)]]*Table21213[[#This Row],[Quantity]]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121314" displayName="Table2121314" ref="A1:K9" totalsRowShown="0" headerRowDxfId="45" dataDxfId="44" tableBorderDxfId="43">
  <autoFilter ref="A1:K9"/>
  <tableColumns count="11">
    <tableColumn id="1" name="Position of component" dataDxfId="42"/>
    <tableColumn id="2" name="Component Name" dataDxfId="41"/>
    <tableColumn id="3" name="Cost per Unit (OASE)" dataDxfId="40"/>
    <tableColumn id="6" name="Cost per Unit (Rokkas)" dataDxfId="39"/>
    <tableColumn id="8" name="Cost per Unit(BSG)" dataDxfId="38"/>
    <tableColumn id="10" name="Cost per Unit(Phillipson)" dataDxfId="37"/>
    <tableColumn id="4" name="Quantity" dataDxfId="36"/>
    <tableColumn id="5" name="Component Cost" dataDxfId="35">
      <calculatedColumnFormula>Table2121314[[#This Row],[Cost per Unit (OASE)]]*Table2121314[[#This Row],[Quantity]]</calculatedColumnFormula>
    </tableColumn>
    <tableColumn id="7" name="Component Cost(Rokkas)" dataDxfId="34">
      <calculatedColumnFormula>Table2121314[[#This Row],[Cost per Unit (Rokkas)]]*Table2121314[[#This Row],[Quantity]]</calculatedColumnFormula>
    </tableColumn>
    <tableColumn id="9" name="Component Cost(BSG)" dataDxfId="33">
      <calculatedColumnFormula>Table2121314[[#This Row],[Cost per Unit(BSG)]]*Table2121314[[#This Row],[Quantity]]</calculatedColumnFormula>
    </tableColumn>
    <tableColumn id="11" name="Component Cost(Phillipson)" dataDxfId="32">
      <calculatedColumnFormula>Table2121314[[#This Row],[Cost per Unit(Phillipson)]]*Table2121314[[#This Row],[Quantity]]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21215" displayName="Table21215" ref="A1:K10" totalsRowShown="0" headerRowDxfId="31" dataDxfId="30" tableBorderDxfId="29">
  <autoFilter ref="A1:K10"/>
  <tableColumns count="11">
    <tableColumn id="1" name="Position of component" dataDxfId="28"/>
    <tableColumn id="2" name="Component Name" dataDxfId="27"/>
    <tableColumn id="3" name="Cost per Unit (OASE)" dataDxfId="26"/>
    <tableColumn id="6" name="Cost per Unit (Rokkas)" dataDxfId="25"/>
    <tableColumn id="8" name="Cost per Unit (BSG)" dataDxfId="24"/>
    <tableColumn id="10" name="Cost per Unit(Phillipson)" dataDxfId="23"/>
    <tableColumn id="4" name="Quantity" dataDxfId="22"/>
    <tableColumn id="5" name="Component Cost" dataDxfId="21">
      <calculatedColumnFormula>Table21215[[#This Row],[Cost per Unit (OASE)]]*Table21215[[#This Row],[Quantity]]</calculatedColumnFormula>
    </tableColumn>
    <tableColumn id="7" name="Component Cost(Rokkas)" dataDxfId="20">
      <calculatedColumnFormula>Table21215[[#This Row],[Cost per Unit (Rokkas)]]*Table21215[[#This Row],[Quantity]]</calculatedColumnFormula>
    </tableColumn>
    <tableColumn id="9" name="Component Cost(BSG)" dataDxfId="19">
      <calculatedColumnFormula>Table21215[[#This Row],[Cost per Unit (BSG)]]*Table21215[[#This Row],[Quantity]]</calculatedColumnFormula>
    </tableColumn>
    <tableColumn id="11" name="Component Cost(Phillipson)" dataDxfId="18">
      <calculatedColumnFormula>Table21215[[#This Row],[Cost per Unit(Phillipson)]]*Table21215[[#This Row],[Quantity]]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5" name="Table2121316" displayName="Table2121316" ref="A1:K9" totalsRowShown="0" headerRowDxfId="17" dataDxfId="16" tableBorderDxfId="15">
  <autoFilter ref="A1:K9"/>
  <tableColumns count="11">
    <tableColumn id="1" name="Position of component" dataDxfId="14"/>
    <tableColumn id="2" name="Component Name" dataDxfId="13"/>
    <tableColumn id="3" name="Cost per Unit (OASE)" dataDxfId="12"/>
    <tableColumn id="6" name="Cost per Unit (Rokkas)" dataDxfId="11"/>
    <tableColumn id="8" name="Cost per Unit(BSG)" dataDxfId="10"/>
    <tableColumn id="10" name="Cost per Unit(Phillipson)" dataDxfId="9"/>
    <tableColumn id="4" name="Quantity" dataDxfId="8"/>
    <tableColumn id="5" name="Component Cost" dataDxfId="7">
      <calculatedColumnFormula>Table2121316[[#This Row],[Cost per Unit (OASE)]]*Table2121316[[#This Row],[Quantity]]</calculatedColumnFormula>
    </tableColumn>
    <tableColumn id="7" name="Component Cost(Rokkas)" dataDxfId="6">
      <calculatedColumnFormula>D2*G2</calculatedColumnFormula>
    </tableColumn>
    <tableColumn id="9" name="Component Cost(BSG)" dataDxfId="5">
      <calculatedColumnFormula>Table2121316[[#This Row],[Cost per Unit(BSG)]]*Table2121316[[#This Row],[Quantity]]</calculatedColumnFormula>
    </tableColumn>
    <tableColumn id="11" name="Component Cost(Phillipson)" dataDxfId="4">
      <calculatedColumnFormula>Table2121316[[#This Row],[Cost per Unit(Phillipson)]]*Table2121316[[#This Row],[Quantity]]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Table7" displayName="Table7" ref="A2:K15" totalsRowShown="0">
  <autoFilter ref="A2:K15"/>
  <tableColumns count="11">
    <tableColumn id="1" name="Technology"/>
    <tableColumn id="2" name="Duct Cost" dataCellStyle="Calculation"/>
    <tableColumn id="3" name="Fiber Cost" dataCellStyle="Calculation"/>
    <tableColumn id="4" name="Central Office E&amp;I Costs"/>
    <tableColumn id="5" name="Remote Node E&amp;I Costs"/>
    <tableColumn id="6" name="Building E&amp;I Costs"/>
    <tableColumn id="7" name="Total Cost in Cost Units">
      <calculatedColumnFormula>SUM(B3:F3)</calculatedColumnFormula>
    </tableColumn>
    <tableColumn id="8" name="Total Cost in Euros" dataDxfId="3">
      <calculatedColumnFormula>G3*50</calculatedColumnFormula>
    </tableColumn>
    <tableColumn id="9" name="No. Of HH">
      <calculatedColumnFormula>29262*1.4</calculatedColumnFormula>
    </tableColumn>
    <tableColumn id="10" name="Cost per Home passed(OASE)">
      <calculatedColumnFormula>H3/I3</calculatedColumnFormula>
    </tableColumn>
    <tableColumn id="11" name="Data rate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6" name="Table717" displayName="Table717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35*Table717[[#This Row],[Duct Length]]/50</calculatedColumnFormula>
    </tableColumn>
    <tableColumn id="3" name="Fiber Cost">
      <calculatedColumnFormula>Table717[[#This Row],[Fiber Length]]*0.3/50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SUM(Table717[[#This Row],[Duct Cost]:[Building E&amp;I Costs]])</calculatedColumnFormula>
    </tableColumn>
    <tableColumn id="8" name="Total Cost in Euros(Rokkas)" dataDxfId="2">
      <calculatedColumnFormula>I2*50</calculatedColumnFormula>
    </tableColumn>
    <tableColumn id="9" name="No. Of HH"/>
    <tableColumn id="10" name="Cost per Home passed(Rokkas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" name="Table7172" displayName="Table7172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71.26*Table7172[[#This Row],[Duct Length]]/50</calculatedColumnFormula>
    </tableColumn>
    <tableColumn id="3" name="Fiber Cost">
      <calculatedColumnFormula>9.61*Table7172[[#This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SUM(Table7172[[#This Row],[Duct Cost]:[Building E&amp;I Costs]])</calculatedColumnFormula>
    </tableColumn>
    <tableColumn id="8" name="Total Cost in Euros(BSG)" dataDxfId="1">
      <calculatedColumnFormula>I2*50</calculatedColumnFormula>
    </tableColumn>
    <tableColumn id="9" name="No. Of HH"/>
    <tableColumn id="10" name="Cost per Home passed(BSG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717218" displayName="Table717218" ref="A1:M14" totalsRowShown="0">
  <autoFilter ref="A1:M14"/>
  <tableColumns count="13">
    <tableColumn id="1" name="Technology"/>
    <tableColumn id="13" name="Duct Length" dataCellStyle="Heading 4"/>
    <tableColumn id="12" name="Fiber Length" dataCellStyle="Heading 4"/>
    <tableColumn id="2" name="Duct Cost">
      <calculatedColumnFormula>27*Table717218[[#This Row],[Duct Length]]/50</calculatedColumnFormula>
    </tableColumn>
    <tableColumn id="3" name="Fiber Cost">
      <calculatedColumnFormula>0.3*Table717218[[#This Row],[Fiber Length]]/50</calculatedColumnFormula>
    </tableColumn>
    <tableColumn id="4" name="Central Office E&amp;I Costs"/>
    <tableColumn id="5" name="Remote Node E&amp;I Costs"/>
    <tableColumn id="6" name="Building E&amp;I Costs"/>
    <tableColumn id="7" name="Total Cost in Cost Units">
      <calculatedColumnFormula>SUM(Table717218[[#This Row],[Duct Cost]:[Building E&amp;I Costs]])</calculatedColumnFormula>
    </tableColumn>
    <tableColumn id="8" name="Total Cost in Euros(Phillipson)" dataDxfId="0">
      <calculatedColumnFormula>I2*50</calculatedColumnFormula>
    </tableColumn>
    <tableColumn id="9" name="No. Of HH"/>
    <tableColumn id="10" name="Cost per Home passed(Phillipson)">
      <calculatedColumnFormula>J2/K2</calculatedColumnFormula>
    </tableColumn>
    <tableColumn id="11" name="Data 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A1:K10" totalsRowShown="0" headerRowDxfId="171" dataDxfId="170" tableBorderDxfId="169">
  <autoFilter ref="A1:K10"/>
  <tableColumns count="11">
    <tableColumn id="1" name="Position of component" dataDxfId="168"/>
    <tableColumn id="2" name="Component Name" dataDxfId="167"/>
    <tableColumn id="3" name="Cost per Unit (OASE)" dataDxfId="166"/>
    <tableColumn id="7" name="Cost per Unit (Rokkas)" dataDxfId="165"/>
    <tableColumn id="6" name="Cost per Unit(BSG)" dataDxfId="164"/>
    <tableColumn id="10" name="Cost per Unit(Phillipson)" dataDxfId="163"/>
    <tableColumn id="4" name="Quantity" dataDxfId="162"/>
    <tableColumn id="5" name="Component Cost" dataDxfId="161">
      <calculatedColumnFormula>Table24[[#This Row],[Cost per Unit (OASE)]]*Table24[[#This Row],[Quantity]]</calculatedColumnFormula>
    </tableColumn>
    <tableColumn id="8" name="Component Cost(Rokkas)" dataDxfId="160">
      <calculatedColumnFormula>Table24[[#This Row],[Cost per Unit (Rokkas)]]*Table24[[#This Row],[Quantity]]</calculatedColumnFormula>
    </tableColumn>
    <tableColumn id="9" name="Component Cost(BSG)" dataDxfId="159">
      <calculatedColumnFormula>Table24[[#This Row],[Cost per Unit(BSG)]]*Table24[[#This Row],[Quantity]]</calculatedColumnFormula>
    </tableColumn>
    <tableColumn id="11" name="Component Cost(Phillipson)" dataDxfId="158">
      <calculatedColumnFormula>Table24[[#This Row],[Cost per Unit(Phillipson)]]*Table24[[#This Row],[Quantity]]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245" displayName="Table245" ref="A1:K10" totalsRowShown="0" headerRowDxfId="157" dataDxfId="156" tableBorderDxfId="155">
  <autoFilter ref="A1:K10"/>
  <tableColumns count="11">
    <tableColumn id="1" name="Position of component" dataDxfId="154"/>
    <tableColumn id="2" name="Component Name" dataDxfId="153"/>
    <tableColumn id="3" name="Cost per Unit (OASE)" dataDxfId="152"/>
    <tableColumn id="6" name="Cost per Unit(Rokkas)" dataDxfId="151"/>
    <tableColumn id="8" name="Cost per Unit(BSG)" dataDxfId="150"/>
    <tableColumn id="10" name="Cost per Unit(Phillipson)" dataDxfId="149"/>
    <tableColumn id="4" name="Quantity" dataDxfId="148"/>
    <tableColumn id="5" name="Component Cost(OASE)" dataDxfId="147">
      <calculatedColumnFormula>Table245[[#This Row],[Cost per Unit (OASE)]]*Table245[[#This Row],[Quantity]]</calculatedColumnFormula>
    </tableColumn>
    <tableColumn id="7" name="Component Cost(Rokkas)" dataDxfId="146"/>
    <tableColumn id="9" name="Component Cost(BSG)" dataDxfId="145">
      <calculatedColumnFormula>Table245[[#This Row],[Cost per Unit(BSG)]]*Table245[[#This Row],[Quantity]]</calculatedColumnFormula>
    </tableColumn>
    <tableColumn id="11" name="Component Cost(Phillipson)" dataDxfId="144">
      <calculatedColumnFormula>Table245[[#This Row],[Cost per Unit(Phillipson)]]*Table245[[#This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2456" displayName="Table2456" ref="A1:K10" totalsRowShown="0" headerRowDxfId="143" dataDxfId="142" tableBorderDxfId="141">
  <autoFilter ref="A1:K10"/>
  <tableColumns count="11">
    <tableColumn id="1" name="Position of component" dataDxfId="140"/>
    <tableColumn id="2" name="Component Name" dataDxfId="139"/>
    <tableColumn id="3" name="Cost per Unit (OASE)" dataDxfId="138"/>
    <tableColumn id="6" name="Cost per Unit(Rokkas)" dataDxfId="137"/>
    <tableColumn id="8" name="Cost per Unit (BSG)" dataDxfId="136"/>
    <tableColumn id="10" name="Cost per Unit(Phillipson)" dataDxfId="135"/>
    <tableColumn id="4" name="Quantity" dataDxfId="134"/>
    <tableColumn id="5" name="Component Cost" dataDxfId="133">
      <calculatedColumnFormula>Table2456[[#This Row],[Cost per Unit (OASE)]]*Table2456[[#This Row],[Quantity]]</calculatedColumnFormula>
    </tableColumn>
    <tableColumn id="7" name="Component Cost(Rokkas)" dataDxfId="132">
      <calculatedColumnFormula>Table2456[[#This Row],[Cost per Unit(Rokkas)]]*Table2456[[#This Row],[Quantity]]</calculatedColumnFormula>
    </tableColumn>
    <tableColumn id="9" name="Component Cost(BSG)" dataDxfId="131">
      <calculatedColumnFormula>Table2456[[#This Row],[Cost per Unit (BSG)]]*Table2456[[#This Row],[Quantity]]</calculatedColumnFormula>
    </tableColumn>
    <tableColumn id="11" name="Component Cost(Phillipson)" dataDxfId="130">
      <calculatedColumnFormula>Table2456[[#This Row],[Cost per Unit(Phillipson)]]*Table2456[[#This Row],[Quantity]]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247" displayName="Table247" ref="A1:K10" totalsRowShown="0" headerRowDxfId="129" dataDxfId="128" tableBorderDxfId="127">
  <autoFilter ref="A1:K10"/>
  <tableColumns count="11">
    <tableColumn id="1" name="Position of component" dataDxfId="126"/>
    <tableColumn id="2" name="Component Name" dataDxfId="125"/>
    <tableColumn id="3" name="Cost per Unit (OASE)" dataDxfId="124"/>
    <tableColumn id="6" name="Cost per Unit (Rokkas)" dataDxfId="123"/>
    <tableColumn id="8" name="Cost per Unit (BSG)" dataDxfId="122"/>
    <tableColumn id="10" name="Cost per Unit(Phillipson)" dataDxfId="121"/>
    <tableColumn id="4" name="Quantity" dataDxfId="120"/>
    <tableColumn id="5" name="Component Cost" dataDxfId="119">
      <calculatedColumnFormula>Table247[[#This Row],[Cost per Unit (OASE)]]*Table247[[#This Row],[Quantity]]</calculatedColumnFormula>
    </tableColumn>
    <tableColumn id="7" name="Component Cost(Rokkas)" dataDxfId="118">
      <calculatedColumnFormula>Table247[[#This Row],[Cost per Unit (Rokkas)]]*Table247[[#This Row],[Quantity]]</calculatedColumnFormula>
    </tableColumn>
    <tableColumn id="9" name="Component Cost(BSG)" dataDxfId="117">
      <calculatedColumnFormula>Table247[[#This Row],[Cost per Unit (BSG)]]*Table247[[#This Row],[Quantity]]</calculatedColumnFormula>
    </tableColumn>
    <tableColumn id="11" name="Component Cost(Phillipson)" dataDxfId="116">
      <calculatedColumnFormula>Table247[[#This Row],[Cost per Unit(Phillipson)]]*Table247[[#This Row],[Quantity]]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29" displayName="Table29" ref="A1:K11" totalsRowShown="0" headerRowDxfId="115" dataDxfId="114" tableBorderDxfId="113">
  <autoFilter ref="A1:K11"/>
  <tableColumns count="11">
    <tableColumn id="1" name="Position of component" dataDxfId="112"/>
    <tableColumn id="2" name="Component Name" dataDxfId="111"/>
    <tableColumn id="3" name="Cost per Unit (OASE)" dataDxfId="110"/>
    <tableColumn id="6" name="Cost per Unit (Rokkas)" dataDxfId="109"/>
    <tableColumn id="8" name="Cost per Unit(BSG)" dataDxfId="108"/>
    <tableColumn id="10" name="Cost per Unit (Phillipson)" dataDxfId="107"/>
    <tableColumn id="4" name="Quantity" dataDxfId="106"/>
    <tableColumn id="5" name="Component Cost" dataDxfId="105">
      <calculatedColumnFormula>Table29[[#This Row],[Cost per Unit (OASE)]]*Table29[[#This Row],[Quantity]]</calculatedColumnFormula>
    </tableColumn>
    <tableColumn id="7" name="Component Cost(Rokkas)" dataDxfId="104">
      <calculatedColumnFormula>D2*G2</calculatedColumnFormula>
    </tableColumn>
    <tableColumn id="9" name="Component Cost(BSG)" dataDxfId="103">
      <calculatedColumnFormula>Table29[[#This Row],[Cost per Unit(BSG)]]*Table29[[#This Row],[Quantity]]</calculatedColumnFormula>
    </tableColumn>
    <tableColumn id="11" name="Component Cost(Phillipson)" dataDxfId="102">
      <calculatedColumnFormula>Table29[[#This Row],[Cost per Unit (Phillipson)]]*Table29[[#This Row],[Quantity]]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2410" displayName="Table2410" ref="A1:K10" totalsRowShown="0" headerRowDxfId="101" dataDxfId="100" tableBorderDxfId="99">
  <autoFilter ref="A1:K10"/>
  <tableColumns count="11">
    <tableColumn id="1" name="Position of component" dataDxfId="98"/>
    <tableColumn id="2" name="Component Name" dataDxfId="97"/>
    <tableColumn id="3" name="Cost per Unit (OASE)" dataDxfId="96"/>
    <tableColumn id="6" name="Cost per Unit (Rokkas)" dataDxfId="95"/>
    <tableColumn id="8" name="Cost per Unit(BSG)" dataDxfId="94"/>
    <tableColumn id="10" name="Cost per Unit(Phillipson)" dataDxfId="93"/>
    <tableColumn id="4" name="Quantity" dataDxfId="92"/>
    <tableColumn id="5" name="Component Cost" dataDxfId="91">
      <calculatedColumnFormula>Table2410[[#This Row],[Cost per Unit (OASE)]]*Table2410[[#This Row],[Quantity]]</calculatedColumnFormula>
    </tableColumn>
    <tableColumn id="7" name="Component Cost(Rokkas)" dataDxfId="90">
      <calculatedColumnFormula>Table2410[[#This Row],[Cost per Unit (Rokkas)]]*Table2410[[#This Row],[Quantity]]</calculatedColumnFormula>
    </tableColumn>
    <tableColumn id="9" name="Component Cost(BSG)" dataDxfId="89">
      <calculatedColumnFormula>Table2410[[#This Row],[Cost per Unit(BSG)]]*Table2410[[#This Row],[Quantity]]</calculatedColumnFormula>
    </tableColumn>
    <tableColumn id="11" name="Component Cost(Phillipson)" dataDxfId="88">
      <calculatedColumnFormula>Table2410[[#This Row],[Cost per Unit(Phillipson)]]*Table2410[[#This Row],[Quantity]]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24511" displayName="Table24511" ref="A1:K10" totalsRowShown="0" headerRowDxfId="87" dataDxfId="86" tableBorderDxfId="85">
  <autoFilter ref="A1:K10"/>
  <tableColumns count="11">
    <tableColumn id="1" name="Position of component" dataDxfId="84"/>
    <tableColumn id="2" name="Component Name" dataDxfId="83"/>
    <tableColumn id="3" name="Cost per Unit (OASE)" dataDxfId="82"/>
    <tableColumn id="6" name="Cost per Unit(Rokkas)" dataDxfId="81"/>
    <tableColumn id="8" name="Cost per Unit(BSG)" dataDxfId="80"/>
    <tableColumn id="10" name="Cost per Unit(Phillipson)" dataDxfId="79"/>
    <tableColumn id="4" name="Quantity" dataDxfId="78"/>
    <tableColumn id="5" name="Component Cost" dataDxfId="77">
      <calculatedColumnFormula>Table24511[[#This Row],[Cost per Unit (OASE)]]*Table24511[[#This Row],[Quantity]]</calculatedColumnFormula>
    </tableColumn>
    <tableColumn id="7" name="Component Cost(Rokkas)" dataDxfId="76">
      <calculatedColumnFormula>Table24511[[#This Row],[Cost per Unit(Rokkas)]]*Table24511[[#This Row],[Quantity]]</calculatedColumnFormula>
    </tableColumn>
    <tableColumn id="9" name="Component Cost(BSG)" dataDxfId="75">
      <calculatedColumnFormula>Table24511[[#This Row],[Cost per Unit(BSG)]]*Table24511[[#This Row],[Quantity]]</calculatedColumnFormula>
    </tableColumn>
    <tableColumn id="11" name="Component Cost(Phillipson)" dataDxfId="74">
      <calculatedColumnFormula>Table24511[[#This Row],[Cost per Unit(Phillipson)]]*Table24511[[#This Row],[Quantity]]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12" displayName="Table212" ref="A1:K10" totalsRowShown="0" headerRowDxfId="73" dataDxfId="72" tableBorderDxfId="71">
  <autoFilter ref="A1:K10"/>
  <tableColumns count="11">
    <tableColumn id="1" name="Position of component" dataDxfId="70"/>
    <tableColumn id="2" name="Component Name" dataDxfId="69"/>
    <tableColumn id="3" name="Cost per Unit (OASE)" dataDxfId="68"/>
    <tableColumn id="6" name="Cost per Unit (Rokkas)" dataDxfId="67"/>
    <tableColumn id="8" name="Cost per Unit (BSG)" dataDxfId="66"/>
    <tableColumn id="10" name="Cost per Unit(Phillipson)" dataDxfId="65"/>
    <tableColumn id="4" name="Quantity" dataDxfId="64"/>
    <tableColumn id="5" name="Component Cost" dataDxfId="63">
      <calculatedColumnFormula>Table212[[#This Row],[Cost per Unit (OASE)]]*Table212[[#This Row],[Quantity]]</calculatedColumnFormula>
    </tableColumn>
    <tableColumn id="7" name="Component Cost(Rokkas)" dataDxfId="62">
      <calculatedColumnFormula>Table212[[#This Row],[Cost per Unit (Rokkas)]]*Table212[[#This Row],[Quantity]]</calculatedColumnFormula>
    </tableColumn>
    <tableColumn id="9" name="Component Cost(BSG)" dataDxfId="61">
      <calculatedColumnFormula>Table212[[#This Row],[Cost per Unit (BSG)]]*Table212[[#This Row],[Quantity]]</calculatedColumnFormula>
    </tableColumn>
    <tableColumn id="11" name="Component Cost(Phillipson)" dataDxfId="60">
      <calculatedColumnFormula>Table212[[#This Row],[Cost per Unit(Phillipson)]]*Table212[[#This Row],[Quantity]]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eeexplore.ieee.org/xpl/mostRecentIssue.jsp?punumber=7347193" TargetMode="Externa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B20" sqref="B20"/>
    </sheetView>
  </sheetViews>
  <sheetFormatPr defaultRowHeight="14.4" x14ac:dyDescent="0.3"/>
  <cols>
    <col min="1" max="1" width="35.6640625" customWidth="1"/>
    <col min="2" max="2" width="79" customWidth="1"/>
    <col min="3" max="3" width="36.88671875" customWidth="1"/>
    <col min="4" max="4" width="36.109375" customWidth="1"/>
    <col min="5" max="5" width="40.88671875" customWidth="1"/>
    <col min="6" max="6" width="18" customWidth="1"/>
    <col min="7" max="7" width="19" customWidth="1"/>
    <col min="8" max="8" width="25.44140625" customWidth="1"/>
  </cols>
  <sheetData>
    <row r="1" spans="1:8" x14ac:dyDescent="0.3">
      <c r="A1" t="s">
        <v>0</v>
      </c>
      <c r="B1" t="s">
        <v>9</v>
      </c>
      <c r="C1" t="s">
        <v>4</v>
      </c>
      <c r="D1" t="s">
        <v>5</v>
      </c>
      <c r="E1" t="s">
        <v>10</v>
      </c>
      <c r="F1" t="s">
        <v>7</v>
      </c>
      <c r="G1" t="s">
        <v>8</v>
      </c>
      <c r="H1" t="s">
        <v>14</v>
      </c>
    </row>
    <row r="2" spans="1:8" x14ac:dyDescent="0.3">
      <c r="A2" t="s">
        <v>6</v>
      </c>
      <c r="B2" t="s">
        <v>12</v>
      </c>
      <c r="C2" s="1">
        <v>27</v>
      </c>
      <c r="D2" s="2">
        <v>0.3</v>
      </c>
      <c r="E2" t="s">
        <v>11</v>
      </c>
      <c r="F2">
        <v>11000</v>
      </c>
      <c r="G2">
        <v>2500</v>
      </c>
      <c r="H2">
        <v>250</v>
      </c>
    </row>
    <row r="3" spans="1:8" x14ac:dyDescent="0.3">
      <c r="A3" t="s">
        <v>15</v>
      </c>
      <c r="B3" t="s">
        <v>13</v>
      </c>
      <c r="C3" s="2">
        <v>19.5</v>
      </c>
      <c r="D3" s="2">
        <v>0.3</v>
      </c>
      <c r="E3" t="s">
        <v>11</v>
      </c>
      <c r="F3">
        <v>11000</v>
      </c>
      <c r="G3">
        <v>2500</v>
      </c>
      <c r="H3">
        <v>250</v>
      </c>
    </row>
    <row r="4" spans="1:8" ht="28.8" x14ac:dyDescent="0.3">
      <c r="A4" s="3" t="s">
        <v>17</v>
      </c>
      <c r="B4" t="s">
        <v>16</v>
      </c>
      <c r="C4" t="s">
        <v>11</v>
      </c>
      <c r="D4" t="s">
        <v>11</v>
      </c>
      <c r="E4">
        <f>(15)*1000</f>
        <v>15000</v>
      </c>
      <c r="F4">
        <v>250</v>
      </c>
      <c r="G4">
        <v>0</v>
      </c>
      <c r="H4">
        <f>(15)*1000</f>
        <v>15000</v>
      </c>
    </row>
    <row r="8" spans="1:8" x14ac:dyDescent="0.3">
      <c r="A8" t="s">
        <v>94</v>
      </c>
    </row>
    <row r="10" spans="1:8" x14ac:dyDescent="0.3">
      <c r="A10" t="s">
        <v>95</v>
      </c>
      <c r="B10" t="s">
        <v>98</v>
      </c>
      <c r="C10" t="s">
        <v>97</v>
      </c>
      <c r="D10" t="s">
        <v>96</v>
      </c>
      <c r="E10" t="s">
        <v>102</v>
      </c>
    </row>
    <row r="11" spans="1:8" ht="177.6" x14ac:dyDescent="0.3">
      <c r="A11" s="25" t="s">
        <v>100</v>
      </c>
      <c r="B11" t="s">
        <v>99</v>
      </c>
      <c r="C11" t="s">
        <v>103</v>
      </c>
      <c r="D11" s="32">
        <v>42348</v>
      </c>
      <c r="E11" s="26" t="s">
        <v>101</v>
      </c>
    </row>
    <row r="12" spans="1:8" ht="88.8" x14ac:dyDescent="0.3">
      <c r="A12" s="25" t="s">
        <v>104</v>
      </c>
      <c r="B12" t="s">
        <v>105</v>
      </c>
      <c r="C12" t="s">
        <v>106</v>
      </c>
      <c r="D12" s="27">
        <v>41161</v>
      </c>
      <c r="E12" t="s">
        <v>107</v>
      </c>
    </row>
    <row r="13" spans="1:8" ht="111" x14ac:dyDescent="0.3">
      <c r="A13" s="25" t="s">
        <v>117</v>
      </c>
      <c r="B13" t="s">
        <v>120</v>
      </c>
      <c r="C13" t="s">
        <v>119</v>
      </c>
      <c r="D13" s="27">
        <v>41589</v>
      </c>
      <c r="E13" t="s">
        <v>118</v>
      </c>
    </row>
  </sheetData>
  <hyperlinks>
    <hyperlink ref="E11" r:id="rId1" display="https://ieeexplore.ieee.org/xpl/mostRecentIssue.jsp?punumber=7347193"/>
  </hyperlinks>
  <pageMargins left="0.7" right="0.7" top="0.75" bottom="0.75" header="0.3" footer="0.3"/>
  <pageSetup paperSize="9" orientation="portrait" verticalDpi="0" r:id="rId2"/>
  <headerFooter>
    <oddFooter>&amp;LUnrestricted</oddFooter>
  </headerFooter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G11" sqref="G11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23.88671875" style="24" customWidth="1"/>
    <col min="7" max="7" width="16.5546875" style="13" customWidth="1"/>
    <col min="8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10</v>
      </c>
      <c r="H2" s="4">
        <f>Table24511[[#This Row],[Cost per Unit (OASE)]]*Table24511[[#This Row],[Quantity]]</f>
        <v>160</v>
      </c>
      <c r="I2" s="12">
        <f>Table24511[[#This Row],[Cost per Unit(Rokkas)]]*Table24511[[#This Row],[Quantity]]</f>
        <v>0</v>
      </c>
      <c r="J2" s="12">
        <f>Table24511[[#This Row],[Cost per Unit(BSG)]]*Table24511[[#This Row],[Quantity]]</f>
        <v>0</v>
      </c>
      <c r="K2" s="35">
        <f>Table24511[[#This Row],[Cost per Unit(Phillipson)]]*Table24511[[#This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300</v>
      </c>
      <c r="F3" s="4">
        <v>240</v>
      </c>
      <c r="G3" s="4">
        <v>160</v>
      </c>
      <c r="H3" s="4">
        <f>Table24511[[#This Row],[Cost per Unit (OASE)]]*Table24511[[#This Row],[Quantity]]</f>
        <v>2720</v>
      </c>
      <c r="I3" s="12">
        <f>Table24511[[#This Row],[Cost per Unit(Rokkas)]]*Table24511[[#This Row],[Quantity]]</f>
        <v>32000</v>
      </c>
      <c r="J3" s="12">
        <f>Table24511[[#This Row],[Cost per Unit(BSG)]]*Table24511[[#This Row],[Quantity]]</f>
        <v>48000</v>
      </c>
      <c r="K3" s="35">
        <f>Table24511[[#This Row],[Cost per Unit(Phillipson)]]*Table24511[[#This Row],[Quantity]]</f>
        <v>38400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160</v>
      </c>
      <c r="H4" s="4">
        <f>Table24511[[#This Row],[Cost per Unit (OASE)]]*Table24511[[#This Row],[Quantity]]</f>
        <v>10080</v>
      </c>
      <c r="I4" s="12">
        <f>Table24511[[#This Row],[Cost per Unit(Rokkas)]]*Table24511[[#This Row],[Quantity]]</f>
        <v>0</v>
      </c>
      <c r="J4" s="12">
        <f>Table24511[[#This Row],[Cost per Unit(BSG)]]*Table24511[[#This Row],[Quantity]]</f>
        <v>0</v>
      </c>
      <c r="K4" s="35">
        <f>Table24511[[#This Row],[Cost per Unit(Phillipson)]]*Table24511[[#This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160</v>
      </c>
      <c r="H5" s="4">
        <f>Table24511[[#This Row],[Cost per Unit (OASE)]]*Table24511[[#This Row],[Quantity]]</f>
        <v>368</v>
      </c>
      <c r="I5" s="12">
        <f>Table24511[[#This Row],[Cost per Unit(Rokkas)]]*Table24511[[#This Row],[Quantity]]</f>
        <v>0</v>
      </c>
      <c r="J5" s="12">
        <f>Table24511[[#This Row],[Cost per Unit(BSG)]]*Table24511[[#This Row],[Quantity]]</f>
        <v>0</v>
      </c>
      <c r="K5" s="35">
        <f>Table24511[[#This Row],[Cost per Unit(Phillipson)]]*Table24511[[#This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4500</v>
      </c>
      <c r="H6" s="4">
        <f>Table24511[[#This Row],[Cost per Unit (OASE)]]*Table24511[[#This Row],[Quantity]]</f>
        <v>100</v>
      </c>
      <c r="I6" s="12">
        <f>Table24511[[#This Row],[Cost per Unit(Rokkas)]]*Table24511[[#This Row],[Quantity]]</f>
        <v>0</v>
      </c>
      <c r="J6" s="12">
        <f>Table24511[[#This Row],[Cost per Unit(BSG)]]*Table24511[[#This Row],[Quantity]]</f>
        <v>0</v>
      </c>
      <c r="K6" s="35">
        <f>Table24511[[#This Row],[Cost per Unit(Phillipson)]]*Table24511[[#This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Table24511[[#This Row],[Cost per Unit (OASE)]]*Table24511[[#This Row],[Quantity]]</f>
        <v>400</v>
      </c>
      <c r="I7" s="12">
        <f>Table24511[[#This Row],[Cost per Unit(Rokkas)]]*Table24511[[#This Row],[Quantity]]</f>
        <v>3000</v>
      </c>
      <c r="J7" s="12">
        <f>Table24511[[#This Row],[Cost per Unit(BSG)]]*Table24511[[#This Row],[Quantity]]</f>
        <v>200</v>
      </c>
      <c r="K7" s="35">
        <f>Table24511[[#This Row],[Cost per Unit(Phillipson)]]*Table24511[[#This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20</v>
      </c>
      <c r="G8" s="4">
        <v>160</v>
      </c>
      <c r="H8" s="4">
        <f>Table24511[[#This Row],[Cost per Unit (OASE)]]*Table24511[[#This Row],[Quantity]]</f>
        <v>3840</v>
      </c>
      <c r="I8" s="12">
        <f>Table24511[[#This Row],[Cost per Unit(Rokkas)]]*Table24511[[#This Row],[Quantity]]</f>
        <v>640</v>
      </c>
      <c r="J8" s="12">
        <f>Table24511[[#This Row],[Cost per Unit(BSG)]]*Table24511[[#This Row],[Quantity]]</f>
        <v>320</v>
      </c>
      <c r="K8" s="35">
        <f>Table24511[[#This Row],[Cost per Unit(Phillipson)]]*Table24511[[#This Row],[Quantity]]</f>
        <v>3200</v>
      </c>
    </row>
    <row r="9" spans="1:11" x14ac:dyDescent="0.3">
      <c r="A9" s="6" t="s">
        <v>32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16000</v>
      </c>
      <c r="H9" s="4">
        <f>Table24511[[#This Row],[Cost per Unit (OASE)]]*Table24511[[#This Row],[Quantity]]</f>
        <v>160000</v>
      </c>
      <c r="I9" s="12">
        <f>Table24511[[#This Row],[Cost per Unit(Rokkas)]]*Table24511[[#This Row],[Quantity]]</f>
        <v>160000</v>
      </c>
      <c r="J9" s="12">
        <f>Table24511[[#This Row],[Cost per Unit(BSG)]]*Table24511[[#This Row],[Quantity]]</f>
        <v>384000</v>
      </c>
      <c r="K9" s="35">
        <f>Table24511[[#This Row],[Cost per Unit(Phillipson)]]*Table24511[[#This Row],[Quantity]]</f>
        <v>160000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f>250/50</f>
        <v>5</v>
      </c>
      <c r="E10" s="4">
        <f>135/50</f>
        <v>2.7</v>
      </c>
      <c r="F10" s="4">
        <v>5</v>
      </c>
      <c r="G10" s="4">
        <v>16000</v>
      </c>
      <c r="H10" s="4">
        <f>Table24511[[#This Row],[Cost per Unit (OASE)]]*Table24511[[#This Row],[Quantity]]</f>
        <v>36800</v>
      </c>
      <c r="I10" s="12">
        <f>Table24511[[#This Row],[Cost per Unit(Rokkas)]]*Table24511[[#This Row],[Quantity]]</f>
        <v>80000</v>
      </c>
      <c r="J10" s="12">
        <f>Table24511[[#This Row],[Cost per Unit(BSG)]]*Table24511[[#This Row],[Quantity]]</f>
        <v>43200</v>
      </c>
      <c r="K10" s="35">
        <f>Table24511[[#This Row],[Cost per Unit(Phillipson)]]*Table24511[[#This Row],[Quantity]]</f>
        <v>80000</v>
      </c>
    </row>
    <row r="13" spans="1:11" x14ac:dyDescent="0.3">
      <c r="A13" s="13" t="s">
        <v>84</v>
      </c>
      <c r="B13" s="13" t="s">
        <v>35</v>
      </c>
      <c r="C13" s="13" t="s">
        <v>36</v>
      </c>
      <c r="D13" s="13" t="s">
        <v>37</v>
      </c>
      <c r="E13" s="13" t="s">
        <v>34</v>
      </c>
    </row>
    <row r="14" spans="1:11" ht="15" thickBot="1" x14ac:dyDescent="0.35">
      <c r="A14" s="13" t="s">
        <v>85</v>
      </c>
      <c r="B14" s="14">
        <f>SUM(H2:H7)</f>
        <v>13828</v>
      </c>
      <c r="C14" s="14">
        <f>SUM(H8:H8)</f>
        <v>3840</v>
      </c>
      <c r="D14" s="10">
        <f>SUM(H9:H10)</f>
        <v>196800</v>
      </c>
      <c r="E14" s="5">
        <f>SUM(B14:D14)</f>
        <v>214468</v>
      </c>
      <c r="F14" s="5"/>
    </row>
    <row r="15" spans="1:11" ht="15.6" thickTop="1" thickBot="1" x14ac:dyDescent="0.35">
      <c r="A15" s="13" t="s">
        <v>86</v>
      </c>
      <c r="B15" s="13">
        <f>SUM(I2:I7)</f>
        <v>35000</v>
      </c>
      <c r="C15" s="13">
        <f>SUM(I8)</f>
        <v>640</v>
      </c>
      <c r="D15" s="13">
        <f>SUM(I9:I10)</f>
        <v>240000</v>
      </c>
      <c r="E15" s="5">
        <f>SUM(B15:D15)</f>
        <v>275640</v>
      </c>
      <c r="F15" s="5"/>
    </row>
    <row r="16" spans="1:11" ht="15.6" thickTop="1" thickBot="1" x14ac:dyDescent="0.35">
      <c r="A16" s="13" t="s">
        <v>110</v>
      </c>
      <c r="B16" s="13">
        <f>SUM(J2:J7)</f>
        <v>48200</v>
      </c>
      <c r="C16" s="13">
        <f>SUM(J8)</f>
        <v>320</v>
      </c>
      <c r="D16" s="13">
        <f>SUM(J9:J10)</f>
        <v>427200</v>
      </c>
      <c r="E16" s="5">
        <f>SUM(B16:D16)</f>
        <v>475720</v>
      </c>
      <c r="F16" s="5"/>
    </row>
    <row r="17" spans="1:5" ht="15.6" thickTop="1" thickBot="1" x14ac:dyDescent="0.35">
      <c r="A17" s="13" t="s">
        <v>6</v>
      </c>
      <c r="B17" s="24">
        <f>SUM(K2:K7)</f>
        <v>38400</v>
      </c>
      <c r="C17" s="24">
        <f>SUM(K8)</f>
        <v>3200</v>
      </c>
      <c r="D17" s="24">
        <f>SUM(K9:K10)</f>
        <v>240000</v>
      </c>
      <c r="E17" s="5">
        <f>SUM(B17:D17)</f>
        <v>281600</v>
      </c>
    </row>
    <row r="18" spans="1:5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" sqref="G2:G10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80</v>
      </c>
      <c r="D2" s="4">
        <v>140</v>
      </c>
      <c r="E2" s="4">
        <v>288</v>
      </c>
      <c r="F2" s="4">
        <v>50</v>
      </c>
      <c r="G2" s="4">
        <v>50</v>
      </c>
      <c r="H2" s="4">
        <f>Table212[[#This Row],[Cost per Unit (OASE)]]*Table212[[#This Row],[Quantity]]</f>
        <v>4000</v>
      </c>
      <c r="I2" s="12">
        <f>Table212[[#This Row],[Cost per Unit (Rokkas)]]*Table212[[#This Row],[Quantity]]</f>
        <v>7000</v>
      </c>
      <c r="J2" s="12">
        <f>Table212[[#This Row],[Cost per Unit (BSG)]]*Table212[[#This Row],[Quantity]]</f>
        <v>14400</v>
      </c>
      <c r="K2" s="35">
        <f>Table212[[#This Row],[Cost per Unit(Phillipson)]]*Table212[[#This Row],[Quantity]]</f>
        <v>2500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10</v>
      </c>
      <c r="H3" s="4">
        <f>Table212[[#This Row],[Cost per Unit (OASE)]]*Table212[[#This Row],[Quantity]]</f>
        <v>400</v>
      </c>
      <c r="I3" s="12">
        <f>Table212[[#This Row],[Cost per Unit (Rokkas)]]*Table212[[#This Row],[Quantity]]</f>
        <v>40</v>
      </c>
      <c r="J3" s="12">
        <f>Table212[[#This Row],[Cost per Unit (BSG)]]*Table212[[#This Row],[Quantity]]</f>
        <v>0</v>
      </c>
      <c r="K3" s="35">
        <f>Table212[[#This Row],[Cost per Unit(Phillipson)]]*Table212[[#This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1200</v>
      </c>
      <c r="H4" s="4">
        <f>Table212[[#This Row],[Cost per Unit (OASE)]]*Table212[[#This Row],[Quantity]]</f>
        <v>120</v>
      </c>
      <c r="I4" s="12">
        <f>Table212[[#This Row],[Cost per Unit (Rokkas)]]*Table212[[#This Row],[Quantity]]</f>
        <v>0</v>
      </c>
      <c r="J4" s="12">
        <f>Table212[[#This Row],[Cost per Unit (BSG)]]*Table212[[#This Row],[Quantity]]</f>
        <v>0</v>
      </c>
      <c r="K4" s="35">
        <f>Table212[[#This Row],[Cost per Unit(Phillipson)]]*Table212[[#This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Table212[[#This Row],[Cost per Unit (OASE)]]*Table212[[#This Row],[Quantity]]</f>
        <v>400</v>
      </c>
      <c r="I5" s="12">
        <f>Table212[[#This Row],[Cost per Unit (Rokkas)]]*Table212[[#This Row],[Quantity]]</f>
        <v>3000</v>
      </c>
      <c r="J5" s="12">
        <f>Table212[[#This Row],[Cost per Unit (BSG)]]*Table212[[#This Row],[Quantity]]</f>
        <v>200</v>
      </c>
      <c r="K5" s="35">
        <f>Table212[[#This Row],[Cost per Unit(Phillipson)]]*Table212[[#This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31</v>
      </c>
      <c r="H6" s="4">
        <f>Table212[[#This Row],[Cost per Unit (OASE)]]*Table212[[#This Row],[Quantity]]</f>
        <v>744</v>
      </c>
      <c r="I6" s="12">
        <f>Table212[[#This Row],[Cost per Unit (Rokkas)]]*Table212[[#This Row],[Quantity]]</f>
        <v>124</v>
      </c>
      <c r="J6" s="12">
        <f>Table212[[#This Row],[Cost per Unit (BSG)]]*Table212[[#This Row],[Quantity]]</f>
        <v>43.4</v>
      </c>
      <c r="K6" s="35">
        <f>Table212[[#This Row],[Cost per Unit(Phillipson)]]*Table212[[#This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10+15000/50</f>
        <v>310</v>
      </c>
      <c r="E7" s="24">
        <v>294</v>
      </c>
      <c r="F7" s="24">
        <v>220</v>
      </c>
      <c r="G7" s="4">
        <v>494</v>
      </c>
      <c r="H7" s="4">
        <f>Table212[[#This Row],[Cost per Unit (OASE)]]*Table212[[#This Row],[Quantity]]</f>
        <v>55328</v>
      </c>
      <c r="I7" s="12">
        <f>Table212[[#This Row],[Cost per Unit (Rokkas)]]*Table212[[#This Row],[Quantity]]</f>
        <v>153140</v>
      </c>
      <c r="J7" s="12">
        <f>Table212[[#This Row],[Cost per Unit (BSG)]]*Table212[[#This Row],[Quantity]]</f>
        <v>145236</v>
      </c>
      <c r="K7" s="35">
        <f>Table212[[#This Row],[Cost per Unit(Phillipson)]]*Table212[[#This Row],[Quantity]]</f>
        <v>108680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494*3</f>
        <v>1482</v>
      </c>
      <c r="H8" s="4">
        <f>Table212[[#This Row],[Cost per Unit (OASE)]]*Table212[[#This Row],[Quantity]]</f>
        <v>4594.2</v>
      </c>
      <c r="I8" s="12">
        <f>Table212[[#This Row],[Cost per Unit (Rokkas)]]*Table212[[#This Row],[Quantity]]</f>
        <v>7410</v>
      </c>
      <c r="J8" s="12">
        <f>Table212[[#This Row],[Cost per Unit (BSG)]]*Table212[[#This Row],[Quantity]]</f>
        <v>4446</v>
      </c>
      <c r="K8" s="35">
        <f>Table212[[#This Row],[Cost per Unit(Phillipson)]]*Table212[[#This Row],[Quantity]]</f>
        <v>7410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100</v>
      </c>
      <c r="E9" s="4">
        <v>24</v>
      </c>
      <c r="F9" s="4">
        <v>10</v>
      </c>
      <c r="G9" s="4">
        <f>494*3</f>
        <v>1482</v>
      </c>
      <c r="H9" s="4">
        <f>Table212[[#This Row],[Cost per Unit (OASE)]]*Table212[[#This Row],[Quantity]]</f>
        <v>17784</v>
      </c>
      <c r="I9" s="12">
        <f>Table212[[#This Row],[Cost per Unit (Rokkas)]]*Table212[[#This Row],[Quantity]]</f>
        <v>148200</v>
      </c>
      <c r="J9" s="12">
        <f>Table212[[#This Row],[Cost per Unit (BSG)]]*Table212[[#This Row],[Quantity]]</f>
        <v>35568</v>
      </c>
      <c r="K9" s="35">
        <f>Table212[[#This Row],[Cost per Unit(Phillipson)]]*Table212[[#This Row],[Quantity]]</f>
        <v>14820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Table212[[#This Row],[Cost per Unit (OASE)]]*Table212[[#This Row],[Quantity]]</f>
        <v>0</v>
      </c>
      <c r="I10" s="12">
        <f>Table212[[#This Row],[Cost per Unit (Rokkas)]]*Table212[[#This Row],[Quantity]]</f>
        <v>0</v>
      </c>
      <c r="J10" s="12">
        <f>Table212[[#This Row],[Cost per Unit (BSG)]]*Table212[[#This Row],[Quantity]]</f>
        <v>0</v>
      </c>
      <c r="K10" s="35">
        <f>Table212[[#This Row],[Cost per Unit(Phillipson)]]*Table212[[#This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  <c r="G15" s="21"/>
    </row>
    <row r="16" spans="1:11" ht="15" thickBot="1" x14ac:dyDescent="0.35">
      <c r="A16" s="19" t="s">
        <v>85</v>
      </c>
      <c r="B16" s="20">
        <f>SUM(H2:H5)</f>
        <v>4920</v>
      </c>
      <c r="C16" s="20">
        <f>SUM(H6:H9)</f>
        <v>78450.2</v>
      </c>
      <c r="D16" s="10">
        <f>SUM(H10)</f>
        <v>0</v>
      </c>
      <c r="E16" s="5">
        <f>SUM(B16:D16)</f>
        <v>83370.2</v>
      </c>
      <c r="F16" s="5"/>
      <c r="G16" s="10"/>
    </row>
    <row r="17" spans="1:6" ht="15.6" thickTop="1" thickBot="1" x14ac:dyDescent="0.35">
      <c r="A17" s="19" t="s">
        <v>86</v>
      </c>
      <c r="B17" s="19">
        <f>SUM(I2:I5)</f>
        <v>10040</v>
      </c>
      <c r="C17" s="19">
        <f>SUM(I6:I9)</f>
        <v>308874</v>
      </c>
      <c r="D17" s="21">
        <v>0</v>
      </c>
      <c r="E17" s="5">
        <f>SUM(B17:D17)</f>
        <v>318914</v>
      </c>
      <c r="F17" s="5"/>
    </row>
    <row r="18" spans="1:6" ht="15.6" thickTop="1" thickBot="1" x14ac:dyDescent="0.35">
      <c r="A18" s="19" t="s">
        <v>110</v>
      </c>
      <c r="B18" s="19">
        <f>SUM(J2:J5)</f>
        <v>14600</v>
      </c>
      <c r="C18" s="19">
        <f>SUM(J6:J9)</f>
        <v>185293.4</v>
      </c>
      <c r="D18" s="21">
        <v>0</v>
      </c>
      <c r="E18" s="5">
        <f>SUM(B18:D18)</f>
        <v>199893.4</v>
      </c>
      <c r="F18" s="5"/>
    </row>
    <row r="19" spans="1:6" ht="15.6" thickTop="1" thickBot="1" x14ac:dyDescent="0.35">
      <c r="A19" s="19" t="s">
        <v>6</v>
      </c>
      <c r="B19" s="24">
        <f>SUM(K2:K5)</f>
        <v>2500</v>
      </c>
      <c r="C19" s="24">
        <f>SUM(K6:K9)</f>
        <v>130910</v>
      </c>
      <c r="D19" s="24">
        <v>0</v>
      </c>
      <c r="E19" s="5">
        <f>SUM(B19:D19)</f>
        <v>133410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2" sqref="G2:G9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125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120</v>
      </c>
      <c r="H2" s="4">
        <f>Table21213[[#This Row],[Cost per Unit (OASE)]]*Table21213[[#This Row],[Quantity]]</f>
        <v>9600</v>
      </c>
      <c r="I2" s="12">
        <f>Table21213[[#This Row],[Cost per Unit (Rokkas)]]*Table21213[[#This Row],[Quantity]]</f>
        <v>24000</v>
      </c>
      <c r="J2" s="12">
        <f>Table21213[[#This Row],[Cost per Unit(BSG)]]*Table21213[[#This Row],[Quantity]]</f>
        <v>36000</v>
      </c>
      <c r="K2" s="35">
        <f>Table21213[[#This Row],[Cost per uNit(Phillipson)]]*Table21213[[#This Row],[Quantity]]</f>
        <v>6600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10</v>
      </c>
      <c r="H3" s="4">
        <f>Table21213[[#This Row],[Cost per Unit (OASE)]]*Table21213[[#This Row],[Quantity]]</f>
        <v>400</v>
      </c>
      <c r="I3" s="12">
        <f>Table21213[[#This Row],[Cost per Unit (Rokkas)]]*Table21213[[#This Row],[Quantity]]</f>
        <v>40</v>
      </c>
      <c r="J3" s="12">
        <f>Table21213[[#This Row],[Cost per Unit(BSG)]]*Table21213[[#This Row],[Quantity]]</f>
        <v>0</v>
      </c>
      <c r="K3" s="35">
        <f>Table21213[[#This Row],[Cost per uNit(Phillipson)]]*Table21213[[#This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3000</v>
      </c>
      <c r="H4" s="4">
        <f>Table21213[[#This Row],[Cost per Unit (OASE)]]*Table21213[[#This Row],[Quantity]]</f>
        <v>300</v>
      </c>
      <c r="I4" s="12">
        <f>Table21213[[#This Row],[Cost per Unit (Rokkas)]]*Table21213[[#This Row],[Quantity]]</f>
        <v>0</v>
      </c>
      <c r="J4" s="12">
        <f>Table21213[[#This Row],[Cost per Unit(BSG)]]*Table21213[[#This Row],[Quantity]]</f>
        <v>0</v>
      </c>
      <c r="K4" s="35">
        <f>Table21213[[#This Row],[Cost per uNit(Phillipson)]]*Table21213[[#This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Table21213[[#This Row],[Cost per Unit (OASE)]]*Table21213[[#This Row],[Quantity]]</f>
        <v>400</v>
      </c>
      <c r="I5" s="12">
        <f>Table21213[[#This Row],[Cost per Unit (Rokkas)]]*Table21213[[#This Row],[Quantity]]</f>
        <v>3000</v>
      </c>
      <c r="J5" s="12">
        <f>Table21213[[#This Row],[Cost per Unit(BSG)]]*Table21213[[#This Row],[Quantity]]</f>
        <v>0</v>
      </c>
      <c r="K5" s="35">
        <f>Table21213[[#This Row],[Cost per uNit(Phillipson)]]*Table21213[[#This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31</v>
      </c>
      <c r="H6" s="4">
        <f>Table21213[[#This Row],[Cost per Unit (OASE)]]*Table21213[[#This Row],[Quantity]]</f>
        <v>744</v>
      </c>
      <c r="I6" s="12">
        <f>Table21213[[#This Row],[Cost per Unit (Rokkas)]]*Table21213[[#This Row],[Quantity]]</f>
        <v>124</v>
      </c>
      <c r="J6" s="12">
        <f>Table21213[[#This Row],[Cost per Unit(BSG)]]*Table21213[[#This Row],[Quantity]]</f>
        <v>43.4</v>
      </c>
      <c r="K6" s="35">
        <f>Table21213[[#This Row],[Cost per uNit(Phillipson)]]*Table21213[[#This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220</v>
      </c>
      <c r="G7" s="4">
        <v>494</v>
      </c>
      <c r="H7" s="4">
        <f>Table21213[[#This Row],[Cost per Unit (OASE)]]*Table21213[[#This Row],[Quantity]]</f>
        <v>444.6</v>
      </c>
      <c r="I7" s="12">
        <f>Table21213[[#This Row],[Cost per Unit (Rokkas)]]*Table21213[[#This Row],[Quantity]]</f>
        <v>4940</v>
      </c>
      <c r="J7" s="12">
        <f>Table21213[[#This Row],[Cost per Unit(BSG)]]*Table21213[[#This Row],[Quantity]]</f>
        <v>691.59999999999991</v>
      </c>
      <c r="K7" s="35">
        <f>Table21213[[#This Row],[Cost per uNit(Phillipson)]]*Table21213[[#This Row],[Quantity]]</f>
        <v>108680</v>
      </c>
    </row>
    <row r="8" spans="1:11" x14ac:dyDescent="0.3">
      <c r="A8" s="6" t="s">
        <v>77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v>8000</v>
      </c>
      <c r="H8" s="4">
        <f>Table21213[[#This Row],[Cost per Unit (OASE)]]*Table21213[[#This Row],[Quantity]]</f>
        <v>24800</v>
      </c>
      <c r="I8" s="12">
        <f>Table21213[[#This Row],[Cost per Unit (Rokkas)]]*Table21213[[#This Row],[Quantity]]</f>
        <v>40000</v>
      </c>
      <c r="J8" s="12">
        <f>Table21213[[#This Row],[Cost per Unit(BSG)]]*Table21213[[#This Row],[Quantity]]</f>
        <v>24000</v>
      </c>
      <c r="K8" s="35">
        <f>Table21213[[#This Row],[Cost per uNit(Phillipson)]]*Table21213[[#This Row],[Quantity]]</f>
        <v>40000</v>
      </c>
    </row>
    <row r="9" spans="1:11" x14ac:dyDescent="0.3">
      <c r="A9" s="6" t="s">
        <v>77</v>
      </c>
      <c r="B9" s="6" t="s">
        <v>65</v>
      </c>
      <c r="C9" s="4">
        <v>8</v>
      </c>
      <c r="D9" s="4">
        <v>10</v>
      </c>
      <c r="E9" s="4">
        <v>24</v>
      </c>
      <c r="F9" s="4">
        <v>0</v>
      </c>
      <c r="G9" s="4">
        <v>8000</v>
      </c>
      <c r="H9" s="4">
        <f>Table21213[[#This Row],[Cost per Unit (OASE)]]*Table21213[[#This Row],[Quantity]]</f>
        <v>64000</v>
      </c>
      <c r="I9" s="12">
        <f>Table21213[[#This Row],[Cost per Unit (Rokkas)]]*Table21213[[#This Row],[Quantity]]</f>
        <v>80000</v>
      </c>
      <c r="J9" s="12">
        <f>Table21213[[#This Row],[Cost per Unit(BSG)]]*Table21213[[#This Row],[Quantity]]</f>
        <v>192000</v>
      </c>
      <c r="K9" s="35">
        <f>Table21213[[#This Row],[Cost per uNit(Phillipson)]]*Table21213[[#This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10700</v>
      </c>
      <c r="C15" s="20">
        <f>SUM(H6:H7)</f>
        <v>1188.5999999999999</v>
      </c>
      <c r="D15" s="10">
        <f>SUM(H8:H9)</f>
        <v>88800</v>
      </c>
      <c r="E15" s="5">
        <f>SUM(B15:D15)</f>
        <v>100688.6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27040</v>
      </c>
      <c r="C16" s="19">
        <f>SUM(I6:I7)</f>
        <v>5064</v>
      </c>
      <c r="D16" s="21">
        <f>SUM(I8:I9)</f>
        <v>120000</v>
      </c>
      <c r="E16" s="5">
        <f t="shared" ref="E16:E18" si="0">SUM(B16:D16)</f>
        <v>152104</v>
      </c>
      <c r="F16" s="5"/>
    </row>
    <row r="17" spans="1:6" ht="15.6" thickTop="1" thickBot="1" x14ac:dyDescent="0.35">
      <c r="A17" s="19" t="s">
        <v>110</v>
      </c>
      <c r="B17" s="19">
        <f>SUM(J2:J5)</f>
        <v>36000</v>
      </c>
      <c r="C17" s="19">
        <f>SUM(J6:J7)</f>
        <v>734.99999999999989</v>
      </c>
      <c r="D17" s="21">
        <f>SUM(J8:J9)</f>
        <v>216000</v>
      </c>
      <c r="E17" s="5">
        <f t="shared" si="0"/>
        <v>252735</v>
      </c>
      <c r="F17" s="5"/>
    </row>
    <row r="18" spans="1:6" ht="15.6" thickTop="1" thickBot="1" x14ac:dyDescent="0.35">
      <c r="A18" s="19" t="s">
        <v>6</v>
      </c>
      <c r="B18" s="24">
        <f>SUM(K2:K5)</f>
        <v>6600</v>
      </c>
      <c r="C18" s="24">
        <f>SUM(K6:K7)</f>
        <v>108680</v>
      </c>
      <c r="D18" s="24">
        <f>SUM(K8:K9)</f>
        <v>40000</v>
      </c>
      <c r="E18" s="5">
        <f t="shared" si="0"/>
        <v>155280</v>
      </c>
    </row>
    <row r="19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8" sqref="G8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21.33203125" style="21" customWidth="1"/>
    <col min="5" max="6" width="21.33203125" style="24" customWidth="1"/>
    <col min="7" max="7" width="18" style="19" customWidth="1"/>
    <col min="8" max="8" width="17.88671875" style="19" customWidth="1"/>
    <col min="9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240</v>
      </c>
      <c r="H2" s="4">
        <f>Table2121314[[#This Row],[Cost per Unit (OASE)]]*Table2121314[[#This Row],[Quantity]]</f>
        <v>19200</v>
      </c>
      <c r="I2" s="12">
        <f>Table2121314[[#This Row],[Cost per Unit (Rokkas)]]*Table2121314[[#This Row],[Quantity]]</f>
        <v>48000</v>
      </c>
      <c r="J2" s="12">
        <f>Table2121314[[#This Row],[Cost per Unit(BSG)]]*Table2121314[[#This Row],[Quantity]]</f>
        <v>72000</v>
      </c>
      <c r="K2" s="35">
        <f>Table2121314[[#This Row],[Cost per Unit(Phillipson)]]*Table2121314[[#This Row],[Quantity]]</f>
        <v>13200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20</v>
      </c>
      <c r="H3" s="4">
        <f>Table2121314[[#This Row],[Cost per Unit (OASE)]]*Table2121314[[#This Row],[Quantity]]</f>
        <v>800</v>
      </c>
      <c r="I3" s="12">
        <f>Table2121314[[#This Row],[Cost per Unit (Rokkas)]]*Table2121314[[#This Row],[Quantity]]</f>
        <v>80</v>
      </c>
      <c r="J3" s="12">
        <f>Table2121314[[#This Row],[Cost per Unit(BSG)]]*Table2121314[[#This Row],[Quantity]]</f>
        <v>0</v>
      </c>
      <c r="K3" s="35">
        <f>Table2121314[[#This Row],[Cost per Unit(Phillipson)]]*Table2121314[[#This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Table2121314[[#This Row],[Cost per Unit (OASE)]]*Table2121314[[#This Row],[Quantity]]</f>
        <v>600</v>
      </c>
      <c r="I4" s="12">
        <f>Table2121314[[#This Row],[Cost per Unit (Rokkas)]]*Table2121314[[#This Row],[Quantity]]</f>
        <v>0</v>
      </c>
      <c r="J4" s="12">
        <f>Table2121314[[#This Row],[Cost per Unit(BSG)]]*Table2121314[[#This Row],[Quantity]]</f>
        <v>0</v>
      </c>
      <c r="K4" s="35">
        <f>Table2121314[[#This Row],[Cost per Unit(Phillipson)]]*Table2121314[[#This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Table2121314[[#This Row],[Cost per Unit (OASE)]]*Table2121314[[#This Row],[Quantity]]</f>
        <v>400</v>
      </c>
      <c r="I5" s="12">
        <f>Table2121314[[#This Row],[Cost per Unit (Rokkas)]]*Table2121314[[#This Row],[Quantity]]</f>
        <v>3000</v>
      </c>
      <c r="J5" s="12">
        <f>Table2121314[[#This Row],[Cost per Unit(BSG)]]*Table2121314[[#This Row],[Quantity]]</f>
        <v>0</v>
      </c>
      <c r="K5" s="35">
        <f>Table2121314[[#This Row],[Cost per Unit(Phillipson)]]*Table2121314[[#This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62</v>
      </c>
      <c r="H6" s="4">
        <f>Table2121314[[#This Row],[Cost per Unit (OASE)]]*Table2121314[[#This Row],[Quantity]]</f>
        <v>1488</v>
      </c>
      <c r="I6" s="12">
        <f>Table2121314[[#This Row],[Cost per Unit (Rokkas)]]*Table2121314[[#This Row],[Quantity]]</f>
        <v>248</v>
      </c>
      <c r="J6" s="12">
        <f>Table2121314[[#This Row],[Cost per Unit(BSG)]]*Table2121314[[#This Row],[Quantity]]</f>
        <v>86.8</v>
      </c>
      <c r="K6" s="35">
        <f>Table2121314[[#This Row],[Cost per Unit(Phillipson)]]*Table2121314[[#This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988</v>
      </c>
      <c r="H7" s="4">
        <f>Table2121314[[#This Row],[Cost per Unit (OASE)]]*Table2121314[[#This Row],[Quantity]]</f>
        <v>889.2</v>
      </c>
      <c r="I7" s="12">
        <f>Table2121314[[#This Row],[Cost per Unit (Rokkas)]]*Table2121314[[#This Row],[Quantity]]</f>
        <v>9880</v>
      </c>
      <c r="J7" s="12">
        <f>Table2121314[[#This Row],[Cost per Unit(BSG)]]*Table2121314[[#This Row],[Quantity]]</f>
        <v>1383.1999999999998</v>
      </c>
      <c r="K7" s="35">
        <f>Table2121314[[#This Row],[Cost per Unit(Phillipson)]]*Table2121314[[#This Row],[Quantity]]</f>
        <v>9880</v>
      </c>
    </row>
    <row r="8" spans="1:11" x14ac:dyDescent="0.3">
      <c r="A8" s="6" t="s">
        <v>77</v>
      </c>
      <c r="B8" s="6" t="s">
        <v>75</v>
      </c>
      <c r="C8" s="4">
        <f>3.3+2</f>
        <v>5.3</v>
      </c>
      <c r="D8" s="4">
        <f>5+2</f>
        <v>7</v>
      </c>
      <c r="E8" s="4">
        <f>3+2</f>
        <v>5</v>
      </c>
      <c r="F8" s="4">
        <f>5+2</f>
        <v>7</v>
      </c>
      <c r="G8" s="4">
        <v>64000</v>
      </c>
      <c r="H8" s="4">
        <f>Table2121314[[#This Row],[Cost per Unit (OASE)]]*Table2121314[[#This Row],[Quantity]]</f>
        <v>339200</v>
      </c>
      <c r="I8" s="12">
        <f>Table2121314[[#This Row],[Cost per Unit (Rokkas)]]*Table2121314[[#This Row],[Quantity]]</f>
        <v>448000</v>
      </c>
      <c r="J8" s="12">
        <f>Table2121314[[#This Row],[Cost per Unit(BSG)]]*Table2121314[[#This Row],[Quantity]]</f>
        <v>320000</v>
      </c>
      <c r="K8" s="35">
        <f>Table2121314[[#This Row],[Cost per Unit(Phillipson)]]*Table2121314[[#This Row],[Quantity]]</f>
        <v>448000</v>
      </c>
    </row>
    <row r="9" spans="1:11" x14ac:dyDescent="0.3">
      <c r="A9" s="6" t="s">
        <v>77</v>
      </c>
      <c r="B9" s="6" t="s">
        <v>48</v>
      </c>
      <c r="C9" s="4">
        <v>1.8</v>
      </c>
      <c r="D9" s="4">
        <v>0</v>
      </c>
      <c r="E9" s="4">
        <v>0</v>
      </c>
      <c r="F9" s="4">
        <v>0</v>
      </c>
      <c r="G9" s="4">
        <v>8000</v>
      </c>
      <c r="H9" s="4">
        <f>Table2121314[[#This Row],[Cost per Unit (OASE)]]*Table2121314[[#This Row],[Quantity]]</f>
        <v>14400</v>
      </c>
      <c r="I9" s="12">
        <f>Table2121314[[#This Row],[Cost per Unit (Rokkas)]]*Table2121314[[#This Row],[Quantity]]</f>
        <v>0</v>
      </c>
      <c r="J9" s="12">
        <f>Table2121314[[#This Row],[Cost per Unit(BSG)]]*Table2121314[[#This Row],[Quantity]]</f>
        <v>0</v>
      </c>
      <c r="K9" s="35">
        <f>Table2121314[[#This Row],[Cost per Unit(Phillipson)]]*Table2121314[[#This Row],[Quantity]]</f>
        <v>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  <c r="G14" s="21"/>
    </row>
    <row r="15" spans="1:11" ht="15" thickBot="1" x14ac:dyDescent="0.35">
      <c r="A15" s="19" t="s">
        <v>85</v>
      </c>
      <c r="B15" s="20">
        <f>SUM(H2:H5)</f>
        <v>21000</v>
      </c>
      <c r="C15" s="20">
        <f>SUM(H6:H7)</f>
        <v>2377.1999999999998</v>
      </c>
      <c r="D15" s="10">
        <f>SUM(H8:H9)</f>
        <v>353600</v>
      </c>
      <c r="E15" s="5">
        <f>SUM(B15:D15)</f>
        <v>376977.2</v>
      </c>
      <c r="F15" s="5"/>
      <c r="G15" s="10"/>
    </row>
    <row r="16" spans="1:11" ht="15.6" thickTop="1" thickBot="1" x14ac:dyDescent="0.35">
      <c r="A16" s="19" t="s">
        <v>86</v>
      </c>
      <c r="B16" s="19">
        <f>SUM(I2:I5)</f>
        <v>51080</v>
      </c>
      <c r="C16" s="19">
        <f>SUM(I6:I7)</f>
        <v>10128</v>
      </c>
      <c r="D16" s="21">
        <f>SUM(I8:I9)</f>
        <v>448000</v>
      </c>
      <c r="E16" s="5">
        <f>SUM(B16:D16)</f>
        <v>509208</v>
      </c>
      <c r="F16" s="5"/>
    </row>
    <row r="17" spans="1:6" ht="15.6" thickTop="1" thickBot="1" x14ac:dyDescent="0.35">
      <c r="A17" s="19" t="s">
        <v>110</v>
      </c>
      <c r="B17" s="19">
        <f>SUM(J2:J5)</f>
        <v>72000</v>
      </c>
      <c r="C17" s="19">
        <f>SUM(J6:J7)</f>
        <v>1469.9999999999998</v>
      </c>
      <c r="D17" s="21">
        <f>SUM(J8:J9)</f>
        <v>320000</v>
      </c>
      <c r="E17" s="5">
        <f>SUM(B17:D17)</f>
        <v>393470</v>
      </c>
      <c r="F17" s="5"/>
    </row>
    <row r="18" spans="1:6" ht="15.6" thickTop="1" thickBot="1" x14ac:dyDescent="0.35">
      <c r="A18" s="19" t="s">
        <v>6</v>
      </c>
      <c r="B18" s="24">
        <f>SUM(K2:K5)</f>
        <v>13200</v>
      </c>
      <c r="C18" s="24">
        <f>SUM(K6:K7)</f>
        <v>9880</v>
      </c>
      <c r="D18" s="24">
        <f>SUM(K8:K9)</f>
        <v>448000</v>
      </c>
      <c r="E18" s="5">
        <f>SUM(B18:D18)</f>
        <v>471080</v>
      </c>
    </row>
    <row r="19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10" sqref="G10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9" width="9.109375" style="19"/>
    <col min="10" max="10" width="22.332031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160</v>
      </c>
      <c r="D2" s="4">
        <v>140</v>
      </c>
      <c r="E2" s="4">
        <v>288</v>
      </c>
      <c r="F2" s="4">
        <v>50</v>
      </c>
      <c r="G2" s="4">
        <v>200</v>
      </c>
      <c r="H2" s="4">
        <f>Table21215[[#This Row],[Cost per Unit (OASE)]]*Table21215[[#This Row],[Quantity]]</f>
        <v>32000</v>
      </c>
      <c r="I2" s="12">
        <f>Table21215[[#This Row],[Cost per Unit (Rokkas)]]*Table21215[[#This Row],[Quantity]]</f>
        <v>28000</v>
      </c>
      <c r="J2" s="12">
        <f>Table21215[[#This Row],[Cost per Unit (BSG)]]*Table21215[[#This Row],[Quantity]]</f>
        <v>57600</v>
      </c>
      <c r="K2" s="35">
        <f>Table21215[[#This Row],[Cost per Unit(Phillipson)]]*Table21215[[#This Row],[Quantity]]</f>
        <v>10000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f>200/50</f>
        <v>4</v>
      </c>
      <c r="E3" s="4">
        <v>0</v>
      </c>
      <c r="F3" s="4">
        <v>0</v>
      </c>
      <c r="G3" s="4">
        <v>40</v>
      </c>
      <c r="H3" s="4">
        <f>Table21215[[#This Row],[Cost per Unit (OASE)]]*Table21215[[#This Row],[Quantity]]</f>
        <v>1600</v>
      </c>
      <c r="I3" s="12">
        <f>Table21215[[#This Row],[Cost per Unit (Rokkas)]]*Table21215[[#This Row],[Quantity]]</f>
        <v>160</v>
      </c>
      <c r="J3" s="12">
        <f>Table21215[[#This Row],[Cost per Unit (BSG)]]*Table21215[[#This Row],[Quantity]]</f>
        <v>0</v>
      </c>
      <c r="K3" s="35">
        <f>Table21215[[#This Row],[Cost per Unit(Phillipson)]]*Table21215[[#This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4800</v>
      </c>
      <c r="H4" s="4">
        <f>Table21215[[#This Row],[Cost per Unit (OASE)]]*Table21215[[#This Row],[Quantity]]</f>
        <v>480</v>
      </c>
      <c r="I4" s="12">
        <f>Table21215[[#This Row],[Cost per Unit (Rokkas)]]*Table21215[[#This Row],[Quantity]]</f>
        <v>0</v>
      </c>
      <c r="J4" s="12">
        <f>Table21215[[#This Row],[Cost per Unit (BSG)]]*Table21215[[#This Row],[Quantity]]</f>
        <v>0</v>
      </c>
      <c r="K4" s="35">
        <f>Table21215[[#This Row],[Cost per Unit(Phillipson)]]*Table21215[[#This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200</v>
      </c>
      <c r="F5" s="4">
        <v>0</v>
      </c>
      <c r="G5" s="4">
        <v>1</v>
      </c>
      <c r="H5" s="4">
        <f>Table21215[[#This Row],[Cost per Unit (OASE)]]*Table21215[[#This Row],[Quantity]]</f>
        <v>400</v>
      </c>
      <c r="I5" s="12">
        <f>Table21215[[#This Row],[Cost per Unit (Rokkas)]]*Table21215[[#This Row],[Quantity]]</f>
        <v>3000</v>
      </c>
      <c r="J5" s="12">
        <f>Table21215[[#This Row],[Cost per Unit (BSG)]]*Table21215[[#This Row],[Quantity]]</f>
        <v>200</v>
      </c>
      <c r="K5" s="35">
        <f>Table21215[[#This Row],[Cost per Unit(Phillipson)]]*Table21215[[#This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124</v>
      </c>
      <c r="H6" s="4">
        <f>Table21215[[#This Row],[Cost per Unit (OASE)]]*Table21215[[#This Row],[Quantity]]</f>
        <v>2976</v>
      </c>
      <c r="I6" s="12">
        <f>Table21215[[#This Row],[Cost per Unit (Rokkas)]]*Table21215[[#This Row],[Quantity]]</f>
        <v>496</v>
      </c>
      <c r="J6" s="12">
        <f>Table21215[[#This Row],[Cost per Unit (BSG)]]*Table21215[[#This Row],[Quantity]]</f>
        <v>173.6</v>
      </c>
      <c r="K6" s="35">
        <f>Table21215[[#This Row],[Cost per Unit(Phillipson)]]*Table21215[[#This Row],[Quantity]]</f>
        <v>0</v>
      </c>
    </row>
    <row r="7" spans="1:11" x14ac:dyDescent="0.3">
      <c r="A7" s="6" t="s">
        <v>30</v>
      </c>
      <c r="B7" s="6" t="s">
        <v>115</v>
      </c>
      <c r="C7" s="24">
        <v>112</v>
      </c>
      <c r="D7" s="24">
        <f>15000/50</f>
        <v>300</v>
      </c>
      <c r="E7" s="24">
        <v>294</v>
      </c>
      <c r="F7" s="24">
        <v>220</v>
      </c>
      <c r="G7" s="4">
        <v>1900</v>
      </c>
      <c r="H7" s="4">
        <f>Table21215[[#This Row],[Cost per Unit (OASE)]]*Table21215[[#This Row],[Quantity]]</f>
        <v>212800</v>
      </c>
      <c r="I7" s="12">
        <f>Table21215[[#This Row],[Cost per Unit (Rokkas)]]*Table21215[[#This Row],[Quantity]]</f>
        <v>570000</v>
      </c>
      <c r="J7" s="12">
        <f>Table21215[[#This Row],[Cost per Unit (BSG)]]*Table21215[[#This Row],[Quantity]]</f>
        <v>558600</v>
      </c>
      <c r="K7" s="35">
        <f>Table21215[[#This Row],[Cost per Unit(Phillipson)]]*Table21215[[#This Row],[Quantity]]</f>
        <v>418000</v>
      </c>
    </row>
    <row r="8" spans="1:11" x14ac:dyDescent="0.3">
      <c r="A8" s="6" t="s">
        <v>30</v>
      </c>
      <c r="B8" s="6" t="s">
        <v>75</v>
      </c>
      <c r="C8" s="4">
        <v>3.1</v>
      </c>
      <c r="D8" s="4">
        <f>250/50</f>
        <v>5</v>
      </c>
      <c r="E8" s="4">
        <f>150/50</f>
        <v>3</v>
      </c>
      <c r="F8" s="4">
        <v>5</v>
      </c>
      <c r="G8" s="4">
        <f>494*3*2</f>
        <v>2964</v>
      </c>
      <c r="H8" s="4">
        <f>Table21215[[#This Row],[Cost per Unit (OASE)]]*Table21215[[#This Row],[Quantity]]</f>
        <v>9188.4</v>
      </c>
      <c r="I8" s="12">
        <f>Table21215[[#This Row],[Cost per Unit (Rokkas)]]*Table21215[[#This Row],[Quantity]]</f>
        <v>14820</v>
      </c>
      <c r="J8" s="12">
        <f>Table21215[[#This Row],[Cost per Unit (BSG)]]*Table21215[[#This Row],[Quantity]]</f>
        <v>8892</v>
      </c>
      <c r="K8" s="35">
        <f>Table21215[[#This Row],[Cost per Unit(Phillipson)]]*Table21215[[#This Row],[Quantity]]</f>
        <v>14820</v>
      </c>
    </row>
    <row r="9" spans="1:11" x14ac:dyDescent="0.3">
      <c r="A9" s="6" t="s">
        <v>30</v>
      </c>
      <c r="B9" s="6" t="s">
        <v>76</v>
      </c>
      <c r="C9" s="4">
        <v>12</v>
      </c>
      <c r="D9" s="4">
        <v>10</v>
      </c>
      <c r="E9" s="4">
        <v>24</v>
      </c>
      <c r="F9" s="4">
        <v>10</v>
      </c>
      <c r="G9" s="4">
        <f>494*2*3</f>
        <v>2964</v>
      </c>
      <c r="H9" s="4">
        <f>Table21215[[#This Row],[Cost per Unit (OASE)]]*Table21215[[#This Row],[Quantity]]</f>
        <v>35568</v>
      </c>
      <c r="I9" s="12">
        <f>Table21215[[#This Row],[Cost per Unit (Rokkas)]]*Table21215[[#This Row],[Quantity]]</f>
        <v>29640</v>
      </c>
      <c r="J9" s="12">
        <f>Table21215[[#This Row],[Cost per Unit (BSG)]]*Table21215[[#This Row],[Quantity]]</f>
        <v>71136</v>
      </c>
      <c r="K9" s="35">
        <f>Table21215[[#This Row],[Cost per Unit(Phillipson)]]*Table21215[[#This Row],[Quantity]]</f>
        <v>29640</v>
      </c>
    </row>
    <row r="10" spans="1:11" x14ac:dyDescent="0.3">
      <c r="A10" s="6" t="s">
        <v>77</v>
      </c>
      <c r="B10" s="6" t="s">
        <v>66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Table21215[[#This Row],[Cost per Unit (OASE)]]*Table21215[[#This Row],[Quantity]]</f>
        <v>0</v>
      </c>
      <c r="I10" s="12">
        <f>Table21215[[#This Row],[Cost per Unit (Rokkas)]]*Table21215[[#This Row],[Quantity]]</f>
        <v>0</v>
      </c>
      <c r="J10" s="12">
        <f>Table21215[[#This Row],[Cost per Unit (BSG)]]*Table21215[[#This Row],[Quantity]]</f>
        <v>0</v>
      </c>
      <c r="K10" s="35">
        <f>Table21215[[#This Row],[Cost per Unit(Phillipson)]]*Table21215[[#This Row],[Quantity]]</f>
        <v>0</v>
      </c>
    </row>
    <row r="15" spans="1:11" x14ac:dyDescent="0.3">
      <c r="A15" s="19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s="19" t="s">
        <v>85</v>
      </c>
      <c r="B16" s="20">
        <f>SUM(H2:H5)</f>
        <v>34480</v>
      </c>
      <c r="C16" s="20">
        <f>SUM(H6:H9)</f>
        <v>260532.4</v>
      </c>
      <c r="D16" s="10">
        <f>SUM(H10)</f>
        <v>0</v>
      </c>
      <c r="E16" s="5">
        <f>SUM(B16:D16)</f>
        <v>295012.40000000002</v>
      </c>
      <c r="F16" s="5"/>
    </row>
    <row r="17" spans="1:6" ht="15.6" thickTop="1" thickBot="1" x14ac:dyDescent="0.35">
      <c r="A17" s="19" t="s">
        <v>86</v>
      </c>
      <c r="B17" s="19">
        <f>SUM(I2:I5)</f>
        <v>31160</v>
      </c>
      <c r="C17" s="19">
        <f>SUM(I6:I9)</f>
        <v>614956</v>
      </c>
      <c r="D17" s="19">
        <v>0</v>
      </c>
      <c r="E17" s="5">
        <f>SUM(B17:D17)</f>
        <v>646116</v>
      </c>
      <c r="F17" s="5"/>
    </row>
    <row r="18" spans="1:6" ht="15.6" thickTop="1" thickBot="1" x14ac:dyDescent="0.35">
      <c r="A18" s="19" t="s">
        <v>110</v>
      </c>
      <c r="B18" s="19">
        <f>SUM(J2:J5)</f>
        <v>57800</v>
      </c>
      <c r="C18" s="19">
        <f>SUM(J6:J9)</f>
        <v>638801.6</v>
      </c>
      <c r="D18" s="19">
        <v>0</v>
      </c>
      <c r="E18" s="5">
        <f>SUM(B18:D18)</f>
        <v>696601.59999999998</v>
      </c>
      <c r="F18" s="5"/>
    </row>
    <row r="19" spans="1:6" ht="15.6" thickTop="1" thickBot="1" x14ac:dyDescent="0.35">
      <c r="A19" s="19" t="s">
        <v>6</v>
      </c>
      <c r="B19" s="24">
        <f>SUM(K2:K5)</f>
        <v>10000</v>
      </c>
      <c r="C19" s="24">
        <f>SUM(K6:K9)</f>
        <v>462460</v>
      </c>
      <c r="D19" s="24">
        <v>0</v>
      </c>
      <c r="E19" s="5">
        <f>SUM(B19:D19)</f>
        <v>472460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10" sqref="G10"/>
    </sheetView>
  </sheetViews>
  <sheetFormatPr defaultColWidth="9.109375" defaultRowHeight="14.4" x14ac:dyDescent="0.3"/>
  <cols>
    <col min="1" max="1" width="29.33203125" style="19" customWidth="1"/>
    <col min="2" max="2" width="38" style="19" customWidth="1"/>
    <col min="3" max="3" width="21.33203125" style="19" customWidth="1"/>
    <col min="4" max="4" width="18" style="19" customWidth="1"/>
    <col min="5" max="5" width="17.88671875" style="19" customWidth="1"/>
    <col min="6" max="6" width="17.88671875" style="24" customWidth="1"/>
    <col min="7" max="8" width="9.109375" style="19"/>
    <col min="9" max="9" width="20.109375" style="19" customWidth="1"/>
    <col min="10" max="10" width="29.6640625" style="19" customWidth="1"/>
    <col min="11" max="16384" width="9.109375" style="19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v>200</v>
      </c>
      <c r="E2" s="4">
        <v>300</v>
      </c>
      <c r="F2" s="4">
        <v>55</v>
      </c>
      <c r="G2" s="4">
        <v>240</v>
      </c>
      <c r="H2" s="4">
        <f>Table2121316[[#This Row],[Cost per Unit (OASE)]]*Table2121316[[#This Row],[Quantity]]</f>
        <v>19200</v>
      </c>
      <c r="I2" s="12">
        <f t="shared" ref="I2:I9" si="0">D2*G2</f>
        <v>48000</v>
      </c>
      <c r="J2" s="12">
        <f>Table2121316[[#This Row],[Cost per Unit(BSG)]]*Table2121316[[#This Row],[Quantity]]</f>
        <v>72000</v>
      </c>
      <c r="K2" s="35">
        <f>Table2121316[[#This Row],[Cost per Unit(Phillipson)]]*Table2121316[[#This Row],[Quantity]]</f>
        <v>13200</v>
      </c>
    </row>
    <row r="3" spans="1:11" x14ac:dyDescent="0.3">
      <c r="A3" s="6" t="s">
        <v>27</v>
      </c>
      <c r="B3" s="6" t="s">
        <v>78</v>
      </c>
      <c r="C3" s="4">
        <v>40</v>
      </c>
      <c r="D3" s="4">
        <v>4</v>
      </c>
      <c r="E3" s="4">
        <v>0</v>
      </c>
      <c r="F3" s="4">
        <v>0</v>
      </c>
      <c r="G3" s="4">
        <v>20</v>
      </c>
      <c r="H3" s="4">
        <f>Table2121316[[#This Row],[Cost per Unit (OASE)]]*Table2121316[[#This Row],[Quantity]]</f>
        <v>800</v>
      </c>
      <c r="I3" s="12">
        <f t="shared" si="0"/>
        <v>80</v>
      </c>
      <c r="J3" s="12">
        <f>Table2121316[[#This Row],[Cost per Unit(BSG)]]*Table2121316[[#This Row],[Quantity]]</f>
        <v>0</v>
      </c>
      <c r="K3" s="35">
        <f>Table2121316[[#This Row],[Cost per Unit(Phillipson)]]*Table2121316[[#This Row],[Quantity]]</f>
        <v>0</v>
      </c>
    </row>
    <row r="4" spans="1:11" x14ac:dyDescent="0.3">
      <c r="A4" s="6" t="s">
        <v>27</v>
      </c>
      <c r="B4" s="6" t="s">
        <v>25</v>
      </c>
      <c r="C4" s="4">
        <f>0.1</f>
        <v>0.1</v>
      </c>
      <c r="D4" s="4">
        <v>0</v>
      </c>
      <c r="E4" s="4">
        <v>0</v>
      </c>
      <c r="F4" s="4">
        <v>0</v>
      </c>
      <c r="G4" s="4">
        <v>6000</v>
      </c>
      <c r="H4" s="4">
        <f>Table2121316[[#This Row],[Cost per Unit (OASE)]]*Table2121316[[#This Row],[Quantity]]</f>
        <v>600</v>
      </c>
      <c r="I4" s="12">
        <f t="shared" si="0"/>
        <v>0</v>
      </c>
      <c r="J4" s="12">
        <f>Table2121316[[#This Row],[Cost per Unit(BSG)]]*Table2121316[[#This Row],[Quantity]]</f>
        <v>0</v>
      </c>
      <c r="K4" s="35">
        <f>Table2121316[[#This Row],[Cost per Unit(Phillipson)]]*Table2121316[[#This Row],[Quantity]]</f>
        <v>0</v>
      </c>
    </row>
    <row r="5" spans="1:11" x14ac:dyDescent="0.3">
      <c r="A5" s="6" t="s">
        <v>27</v>
      </c>
      <c r="B5" s="6" t="s">
        <v>46</v>
      </c>
      <c r="C5" s="4">
        <v>400</v>
      </c>
      <c r="D5" s="4">
        <v>3000</v>
      </c>
      <c r="E5" s="4">
        <v>0</v>
      </c>
      <c r="F5" s="4">
        <v>0</v>
      </c>
      <c r="G5" s="4">
        <v>1</v>
      </c>
      <c r="H5" s="4">
        <f>Table2121316[[#This Row],[Cost per Unit (OASE)]]*Table2121316[[#This Row],[Quantity]]</f>
        <v>400</v>
      </c>
      <c r="I5" s="12">
        <f t="shared" si="0"/>
        <v>3000</v>
      </c>
      <c r="J5" s="12">
        <f>Table2121316[[#This Row],[Cost per Unit(BSG)]]*Table2121316[[#This Row],[Quantity]]</f>
        <v>0</v>
      </c>
      <c r="K5" s="35">
        <f>Table2121316[[#This Row],[Cost per Unit(Phillipson)]]*Table2121316[[#This Row],[Quantity]]</f>
        <v>0</v>
      </c>
    </row>
    <row r="6" spans="1:11" x14ac:dyDescent="0.3">
      <c r="A6" s="6" t="s">
        <v>28</v>
      </c>
      <c r="B6" s="6" t="s">
        <v>47</v>
      </c>
      <c r="C6" s="4">
        <f>80*0.3</f>
        <v>24</v>
      </c>
      <c r="D6" s="4">
        <v>4</v>
      </c>
      <c r="E6" s="4">
        <v>1.4</v>
      </c>
      <c r="F6" s="4">
        <v>0</v>
      </c>
      <c r="G6" s="4">
        <v>62</v>
      </c>
      <c r="H6" s="4">
        <f>Table2121316[[#This Row],[Cost per Unit (OASE)]]*Table2121316[[#This Row],[Quantity]]</f>
        <v>1488</v>
      </c>
      <c r="I6" s="12">
        <f t="shared" si="0"/>
        <v>248</v>
      </c>
      <c r="J6" s="12">
        <f>Table2121316[[#This Row],[Cost per Unit(BSG)]]*Table2121316[[#This Row],[Quantity]]</f>
        <v>86.8</v>
      </c>
      <c r="K6" s="35">
        <f>Table2121316[[#This Row],[Cost per Unit(Phillipson)]]*Table2121316[[#This Row],[Quantity]]</f>
        <v>0</v>
      </c>
    </row>
    <row r="7" spans="1:11" x14ac:dyDescent="0.3">
      <c r="A7" s="6" t="s">
        <v>30</v>
      </c>
      <c r="B7" s="6" t="s">
        <v>79</v>
      </c>
      <c r="C7" s="4">
        <v>0.9</v>
      </c>
      <c r="D7" s="4">
        <v>10</v>
      </c>
      <c r="E7" s="4">
        <v>1.4</v>
      </c>
      <c r="F7" s="4">
        <v>10</v>
      </c>
      <c r="G7" s="4">
        <v>988</v>
      </c>
      <c r="H7" s="4">
        <f>Table2121316[[#This Row],[Cost per Unit (OASE)]]*Table2121316[[#This Row],[Quantity]]</f>
        <v>889.2</v>
      </c>
      <c r="I7" s="12">
        <f t="shared" si="0"/>
        <v>9880</v>
      </c>
      <c r="J7" s="12">
        <f>Table2121316[[#This Row],[Cost per Unit(BSG)]]*Table2121316[[#This Row],[Quantity]]</f>
        <v>1383.1999999999998</v>
      </c>
      <c r="K7" s="35">
        <f>Table2121316[[#This Row],[Cost per Unit(Phillipson)]]*Table2121316[[#This Row],[Quantity]]</f>
        <v>9880</v>
      </c>
    </row>
    <row r="8" spans="1:11" x14ac:dyDescent="0.3">
      <c r="A8" s="6" t="s">
        <v>77</v>
      </c>
      <c r="B8" s="6" t="s">
        <v>75</v>
      </c>
      <c r="C8" s="4">
        <v>3.3</v>
      </c>
      <c r="D8" s="4">
        <f>250/50</f>
        <v>5</v>
      </c>
      <c r="E8" s="4">
        <f>150/50</f>
        <v>3</v>
      </c>
      <c r="F8" s="4">
        <v>5</v>
      </c>
      <c r="G8" s="4">
        <v>16000</v>
      </c>
      <c r="H8" s="4">
        <f>Table2121316[[#This Row],[Cost per Unit (OASE)]]*Table2121316[[#This Row],[Quantity]]</f>
        <v>52800</v>
      </c>
      <c r="I8" s="12">
        <f t="shared" si="0"/>
        <v>80000</v>
      </c>
      <c r="J8" s="12">
        <f>Table2121316[[#This Row],[Cost per Unit(BSG)]]*Table2121316[[#This Row],[Quantity]]</f>
        <v>48000</v>
      </c>
      <c r="K8" s="35">
        <f>Table2121316[[#This Row],[Cost per Unit(Phillipson)]]*Table2121316[[#This Row],[Quantity]]</f>
        <v>80000</v>
      </c>
    </row>
    <row r="9" spans="1:11" x14ac:dyDescent="0.3">
      <c r="A9" s="6" t="s">
        <v>77</v>
      </c>
      <c r="B9" s="6" t="s">
        <v>65</v>
      </c>
      <c r="C9" s="4">
        <v>10</v>
      </c>
      <c r="D9" s="4">
        <v>10</v>
      </c>
      <c r="E9" s="4">
        <v>24</v>
      </c>
      <c r="F9" s="4">
        <v>10</v>
      </c>
      <c r="G9" s="4">
        <v>16000</v>
      </c>
      <c r="H9" s="4">
        <f>Table2121316[[#This Row],[Cost per Unit (OASE)]]*Table2121316[[#This Row],[Quantity]]</f>
        <v>160000</v>
      </c>
      <c r="I9" s="12">
        <f t="shared" si="0"/>
        <v>160000</v>
      </c>
      <c r="J9" s="12">
        <f>Table2121316[[#This Row],[Cost per Unit(BSG)]]*Table2121316[[#This Row],[Quantity]]</f>
        <v>384000</v>
      </c>
      <c r="K9" s="35">
        <f>Table2121316[[#This Row],[Cost per Unit(Phillipson)]]*Table2121316[[#This Row],[Quantity]]</f>
        <v>160000</v>
      </c>
    </row>
    <row r="14" spans="1:11" x14ac:dyDescent="0.3">
      <c r="A14" s="19" t="s">
        <v>84</v>
      </c>
      <c r="B14" s="19" t="s">
        <v>35</v>
      </c>
      <c r="C14" s="19" t="s">
        <v>36</v>
      </c>
      <c r="D14" s="19" t="s">
        <v>37</v>
      </c>
      <c r="E14" s="19" t="s">
        <v>34</v>
      </c>
    </row>
    <row r="15" spans="1:11" ht="15" thickBot="1" x14ac:dyDescent="0.35">
      <c r="A15" s="19" t="s">
        <v>85</v>
      </c>
      <c r="B15" s="20">
        <f>SUM(H2:H5)</f>
        <v>21000</v>
      </c>
      <c r="C15" s="20">
        <f>SUM(H6:H7)</f>
        <v>2377.1999999999998</v>
      </c>
      <c r="D15" s="10">
        <f>SUM(H8:H9)</f>
        <v>212800</v>
      </c>
      <c r="E15" s="5">
        <f>SUM(B15:D15)</f>
        <v>236177.2</v>
      </c>
      <c r="F15" s="5"/>
    </row>
    <row r="16" spans="1:11" ht="15.6" thickTop="1" thickBot="1" x14ac:dyDescent="0.35">
      <c r="A16" s="19" t="s">
        <v>86</v>
      </c>
      <c r="B16" s="19">
        <f>SUM(I2:I5)</f>
        <v>51080</v>
      </c>
      <c r="C16" s="19">
        <f>SUM(I6:I7)</f>
        <v>10128</v>
      </c>
      <c r="D16" s="19">
        <f>SUM(I8:I9)</f>
        <v>240000</v>
      </c>
      <c r="E16" s="5">
        <f>SUM(B16:D16)</f>
        <v>301208</v>
      </c>
      <c r="F16" s="5"/>
    </row>
    <row r="17" spans="1:6" ht="15.6" thickTop="1" thickBot="1" x14ac:dyDescent="0.35">
      <c r="A17" s="19" t="s">
        <v>110</v>
      </c>
      <c r="B17" s="19">
        <f>SUM(J2:J5)</f>
        <v>72000</v>
      </c>
      <c r="C17" s="19">
        <f>SUM(J6:J7)</f>
        <v>1469.9999999999998</v>
      </c>
      <c r="D17" s="19">
        <f>SUM(J8:J9)</f>
        <v>432000</v>
      </c>
      <c r="E17" s="5">
        <f>SUM(B17:D17)</f>
        <v>505470</v>
      </c>
      <c r="F17" s="5"/>
    </row>
    <row r="18" spans="1:6" ht="15.6" thickTop="1" thickBot="1" x14ac:dyDescent="0.35">
      <c r="A18" s="19" t="s">
        <v>6</v>
      </c>
      <c r="B18" s="24">
        <f>SUM(K2:K5)</f>
        <v>13200</v>
      </c>
      <c r="C18" s="24">
        <f>SUM(K6:K7)</f>
        <v>9880</v>
      </c>
      <c r="D18" s="24">
        <f>SUM(K8:K9)</f>
        <v>240000</v>
      </c>
      <c r="E18" s="5">
        <f>SUM(B18:D18)</f>
        <v>263080</v>
      </c>
    </row>
    <row r="19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4" zoomScale="80" zoomScaleNormal="80" workbookViewId="0">
      <selection activeCell="F49" sqref="F49"/>
    </sheetView>
  </sheetViews>
  <sheetFormatPr defaultRowHeight="14.4" x14ac:dyDescent="0.3"/>
  <cols>
    <col min="1" max="4" width="36.33203125" customWidth="1"/>
    <col min="5" max="5" width="32.88671875" customWidth="1"/>
    <col min="6" max="6" width="36.6640625" customWidth="1"/>
    <col min="7" max="8" width="29.5546875" customWidth="1"/>
    <col min="9" max="9" width="32.6640625" customWidth="1"/>
    <col min="10" max="10" width="30.109375" customWidth="1"/>
    <col min="11" max="11" width="18.88671875" customWidth="1"/>
  </cols>
  <sheetData>
    <row r="1" spans="1:11" x14ac:dyDescent="0.3">
      <c r="A1" t="s">
        <v>58</v>
      </c>
    </row>
    <row r="2" spans="1:11" x14ac:dyDescent="0.3">
      <c r="A2" t="s">
        <v>49</v>
      </c>
      <c r="B2" t="s">
        <v>1</v>
      </c>
      <c r="C2" t="s">
        <v>2</v>
      </c>
      <c r="D2" t="s">
        <v>62</v>
      </c>
      <c r="E2" t="s">
        <v>60</v>
      </c>
      <c r="F2" t="s">
        <v>61</v>
      </c>
      <c r="G2" t="s">
        <v>55</v>
      </c>
      <c r="H2" t="s">
        <v>56</v>
      </c>
      <c r="I2" t="s">
        <v>57</v>
      </c>
      <c r="J2" t="s">
        <v>116</v>
      </c>
      <c r="K2" t="s">
        <v>59</v>
      </c>
    </row>
    <row r="3" spans="1:11" x14ac:dyDescent="0.3">
      <c r="A3" t="s">
        <v>50</v>
      </c>
      <c r="B3" s="38">
        <v>170187.83055482313</v>
      </c>
      <c r="C3" s="38">
        <v>35.517736249908381</v>
      </c>
      <c r="D3">
        <f>'FTTCab GPON 26 Mbps'!B$18</f>
        <v>3198.8888888888887</v>
      </c>
      <c r="E3" s="24">
        <f>'FTTCab GPON 26 Mbps'!C$18</f>
        <v>118366.39999999999</v>
      </c>
      <c r="F3" s="24">
        <f>'FTTCab GPON 26 Mbps'!D$18</f>
        <v>0</v>
      </c>
      <c r="G3">
        <f>SUM(B3:F3)</f>
        <v>291788.63717996189</v>
      </c>
      <c r="H3">
        <f t="shared" ref="H3:H15" si="0">G3*50</f>
        <v>14589431.858998094</v>
      </c>
      <c r="I3">
        <v>63160</v>
      </c>
      <c r="J3">
        <f>H3/I3</f>
        <v>230.99163804620161</v>
      </c>
      <c r="K3">
        <v>25</v>
      </c>
    </row>
    <row r="4" spans="1:11" x14ac:dyDescent="0.3">
      <c r="A4" t="s">
        <v>51</v>
      </c>
      <c r="B4" s="38">
        <v>170187.83055482313</v>
      </c>
      <c r="C4" s="38">
        <v>35.517736249908381</v>
      </c>
      <c r="D4">
        <f>'FTTB XGPON 50 Mbps'!B$17</f>
        <v>7420</v>
      </c>
      <c r="E4" s="24">
        <f>'FTTB XGPON 50 Mbps'!C$17</f>
        <v>3381.6000000000004</v>
      </c>
      <c r="F4" s="24">
        <f>'FTTB XGPON 50 Mbps'!D$17</f>
        <v>96800</v>
      </c>
      <c r="G4" s="13">
        <f>SUM(B4:F4)</f>
        <v>277824.94829107303</v>
      </c>
      <c r="H4" s="19">
        <f t="shared" si="0"/>
        <v>13891247.414553652</v>
      </c>
      <c r="I4" s="24">
        <v>63160</v>
      </c>
      <c r="J4" s="13">
        <f t="shared" ref="J4:J7" si="1">H4/I4</f>
        <v>219.93741948311671</v>
      </c>
      <c r="K4">
        <v>50</v>
      </c>
    </row>
    <row r="5" spans="1:11" x14ac:dyDescent="0.3">
      <c r="A5" t="s">
        <v>52</v>
      </c>
      <c r="B5" s="38">
        <v>123966.4385182156</v>
      </c>
      <c r="C5" s="38">
        <v>23.727612871311063</v>
      </c>
      <c r="D5">
        <f>'FTTB WR-WDMPON 50 Mbps'!B15</f>
        <v>6458</v>
      </c>
      <c r="E5" s="24">
        <f>'FTTB WR-WDMPON 50 Mbps'!C15</f>
        <v>1920</v>
      </c>
      <c r="F5" s="24">
        <f>'FTTB WR-WDMPON 50 Mbps'!D15</f>
        <v>94880</v>
      </c>
      <c r="G5" s="13">
        <f t="shared" ref="G5:G6" si="2">SUM(B5:F5)</f>
        <v>227248.16613108691</v>
      </c>
      <c r="H5" s="19">
        <f t="shared" si="0"/>
        <v>11362408.306554345</v>
      </c>
      <c r="I5" s="24">
        <v>63160</v>
      </c>
      <c r="J5" s="13">
        <f t="shared" si="1"/>
        <v>179.8988015603918</v>
      </c>
      <c r="K5">
        <v>50</v>
      </c>
    </row>
    <row r="6" spans="1:11" x14ac:dyDescent="0.3">
      <c r="A6" t="s">
        <v>53</v>
      </c>
      <c r="B6" s="38">
        <v>123966.4385182156</v>
      </c>
      <c r="C6" s="38">
        <v>23.727612871311063</v>
      </c>
      <c r="D6">
        <f>'FTTH WR-WDMPON 100 Mbps'!B15</f>
        <v>7164</v>
      </c>
      <c r="E6" s="24">
        <f>'FTTH WR-WDMPON 100 Mbps'!C15</f>
        <v>1920</v>
      </c>
      <c r="F6" s="24">
        <f>'FTTH WR-WDMPON 100 Mbps'!D15</f>
        <v>276800</v>
      </c>
      <c r="G6" s="13">
        <f t="shared" si="2"/>
        <v>409874.16613108688</v>
      </c>
      <c r="H6" s="19">
        <f t="shared" si="0"/>
        <v>20493708.306554344</v>
      </c>
      <c r="I6" s="24">
        <v>63160</v>
      </c>
      <c r="J6" s="13">
        <f t="shared" si="1"/>
        <v>324.47289909047407</v>
      </c>
      <c r="K6">
        <v>100</v>
      </c>
    </row>
    <row r="7" spans="1:11" x14ac:dyDescent="0.3">
      <c r="A7" t="s">
        <v>54</v>
      </c>
      <c r="B7" s="38">
        <v>170187.83055482313</v>
      </c>
      <c r="C7" s="38">
        <v>35.517736249908381</v>
      </c>
      <c r="D7">
        <f>'FTTH XGPON 100 Mbps'!B17</f>
        <v>29050</v>
      </c>
      <c r="E7" s="24">
        <f>'FTTH XGPON 100 Mbps'!C17</f>
        <v>5092.8</v>
      </c>
      <c r="F7" s="24">
        <f>'FTTH XGPON 100 Mbps'!D17</f>
        <v>257600</v>
      </c>
      <c r="G7" s="13">
        <f>SUM(B7:F7)</f>
        <v>461966.14829107304</v>
      </c>
      <c r="H7" s="19">
        <f t="shared" si="0"/>
        <v>23098307.414553653</v>
      </c>
      <c r="I7" s="24">
        <v>63160</v>
      </c>
      <c r="J7" s="13">
        <f t="shared" si="1"/>
        <v>365.71101036342071</v>
      </c>
      <c r="K7">
        <v>100</v>
      </c>
    </row>
    <row r="8" spans="1:11" x14ac:dyDescent="0.3">
      <c r="A8" t="s">
        <v>67</v>
      </c>
      <c r="B8" s="38">
        <v>170187.83055482313</v>
      </c>
      <c r="C8" s="38">
        <v>35.517736249908381</v>
      </c>
      <c r="D8" s="13">
        <f>FTTCab_GPON_100!B16</f>
        <v>7690</v>
      </c>
      <c r="E8" s="24">
        <f>FTTCab_GPON_100!C16</f>
        <v>148579.6</v>
      </c>
      <c r="F8" s="24">
        <f>FTTCab_GPON_100!D16</f>
        <v>0</v>
      </c>
      <c r="G8">
        <f>SUM(B8:F8)</f>
        <v>326492.94829107303</v>
      </c>
      <c r="H8" s="19">
        <f t="shared" si="0"/>
        <v>16324647.414553652</v>
      </c>
      <c r="I8" s="24">
        <v>63160</v>
      </c>
      <c r="J8">
        <f>H8/I8</f>
        <v>258.464968564814</v>
      </c>
      <c r="K8" s="13">
        <v>100</v>
      </c>
    </row>
    <row r="9" spans="1:11" x14ac:dyDescent="0.3">
      <c r="A9" t="s">
        <v>68</v>
      </c>
      <c r="B9" s="38">
        <v>170187.83055482313</v>
      </c>
      <c r="C9" s="38">
        <v>35.517736249908381</v>
      </c>
      <c r="D9">
        <f>FTTB_XGPON_100!B16</f>
        <v>14840</v>
      </c>
      <c r="E9">
        <v>2002.8</v>
      </c>
      <c r="F9">
        <v>59987.1</v>
      </c>
      <c r="G9">
        <f>SUM(B9:F9)</f>
        <v>247053.24829107302</v>
      </c>
      <c r="H9" s="19">
        <f t="shared" si="0"/>
        <v>12352662.414553652</v>
      </c>
      <c r="I9" s="24">
        <v>63160</v>
      </c>
      <c r="J9">
        <f>H9/I9</f>
        <v>195.57730232035547</v>
      </c>
      <c r="K9" s="13">
        <v>100</v>
      </c>
    </row>
    <row r="10" spans="1:11" x14ac:dyDescent="0.3">
      <c r="A10" s="13" t="s">
        <v>69</v>
      </c>
      <c r="B10" s="38">
        <v>123966.4385182156</v>
      </c>
      <c r="C10" s="38">
        <v>23.727612871311063</v>
      </c>
      <c r="D10">
        <f>FTTB_WRWDM_100!B14</f>
        <v>13828</v>
      </c>
      <c r="E10" s="24">
        <f>FTTB_WRWDM_100!C14</f>
        <v>3840</v>
      </c>
      <c r="F10" s="24">
        <f>FTTB_WRWDM_100!D14</f>
        <v>196800</v>
      </c>
      <c r="G10">
        <f>SUM(B10:F10)</f>
        <v>338458.16613108688</v>
      </c>
      <c r="H10" s="19">
        <f t="shared" si="0"/>
        <v>16922908.306554344</v>
      </c>
      <c r="I10" s="24">
        <v>63160</v>
      </c>
      <c r="J10">
        <f>H10/I10</f>
        <v>267.93711694987877</v>
      </c>
      <c r="K10" s="13">
        <v>100</v>
      </c>
    </row>
    <row r="11" spans="1:11" x14ac:dyDescent="0.3">
      <c r="A11" s="18" t="s">
        <v>70</v>
      </c>
      <c r="B11" s="38">
        <v>162896.27914347179</v>
      </c>
      <c r="C11" s="38">
        <v>33.851521342501684</v>
      </c>
      <c r="D11">
        <f>FTTCab_Hybridpon_25!B16</f>
        <v>4920</v>
      </c>
      <c r="E11" s="24">
        <f>FTTCab_Hybridpon_25!C16</f>
        <v>78450.2</v>
      </c>
      <c r="F11" s="24">
        <f>FTTCab_Hybridpon_25!D16</f>
        <v>0</v>
      </c>
      <c r="G11">
        <f t="shared" ref="G11:G15" si="3">SUM(B11:F11)</f>
        <v>246300.33066481428</v>
      </c>
      <c r="H11" s="19">
        <f t="shared" si="0"/>
        <v>12315016.533240713</v>
      </c>
      <c r="I11" s="24">
        <v>63160</v>
      </c>
      <c r="J11">
        <f t="shared" ref="J11:J15" si="4">H11/I11</f>
        <v>194.98126240089792</v>
      </c>
      <c r="K11">
        <v>25</v>
      </c>
    </row>
    <row r="12" spans="1:11" x14ac:dyDescent="0.3">
      <c r="A12" s="18" t="s">
        <v>71</v>
      </c>
      <c r="B12" s="38">
        <v>148601.5257512136</v>
      </c>
      <c r="C12" s="38">
        <v>33.851521342501684</v>
      </c>
      <c r="D12">
        <f>FTTB_Hybridpon_50!B15</f>
        <v>10700</v>
      </c>
      <c r="E12" s="24">
        <f>FTTB_Hybridpon_50!C15</f>
        <v>1188.5999999999999</v>
      </c>
      <c r="F12" s="24">
        <f>FTTB_Hybridpon_50!D15</f>
        <v>88800</v>
      </c>
      <c r="G12">
        <f t="shared" si="3"/>
        <v>249323.97727255611</v>
      </c>
      <c r="H12" s="19">
        <f t="shared" si="0"/>
        <v>12466198.863627804</v>
      </c>
      <c r="I12" s="24">
        <v>63160</v>
      </c>
      <c r="J12">
        <f t="shared" si="4"/>
        <v>197.3749028440121</v>
      </c>
      <c r="K12">
        <v>50</v>
      </c>
    </row>
    <row r="13" spans="1:11" x14ac:dyDescent="0.3">
      <c r="A13" s="18" t="s">
        <v>72</v>
      </c>
      <c r="B13" s="38">
        <v>148601.5257512136</v>
      </c>
      <c r="C13" s="38">
        <v>33.851521342501684</v>
      </c>
      <c r="D13">
        <f>FTTH_Hybridpon_100!B15</f>
        <v>21000</v>
      </c>
      <c r="E13" s="24">
        <f>FTTH_Hybridpon_100!C15</f>
        <v>2377.1999999999998</v>
      </c>
      <c r="F13" s="24">
        <f>FTTH_Hybridpon_100!D15</f>
        <v>353600</v>
      </c>
      <c r="G13">
        <f t="shared" si="3"/>
        <v>525612.57727255614</v>
      </c>
      <c r="H13" s="19">
        <f t="shared" si="0"/>
        <v>26280628.863627806</v>
      </c>
      <c r="I13" s="24">
        <v>63160</v>
      </c>
      <c r="J13">
        <f t="shared" si="4"/>
        <v>416.09608713786901</v>
      </c>
      <c r="K13">
        <v>100</v>
      </c>
    </row>
    <row r="14" spans="1:11" x14ac:dyDescent="0.3">
      <c r="A14" s="18" t="s">
        <v>73</v>
      </c>
      <c r="B14" s="38">
        <v>148601.5257512136</v>
      </c>
      <c r="C14" s="38">
        <v>33.851521342501684</v>
      </c>
      <c r="D14">
        <f>FTTC_Hybridpon_100!B16</f>
        <v>34480</v>
      </c>
      <c r="E14" s="24">
        <f>FTTC_Hybridpon_100!C16</f>
        <v>260532.4</v>
      </c>
      <c r="F14" s="24">
        <f>FTTC_Hybridpon_100!D16</f>
        <v>0</v>
      </c>
      <c r="G14">
        <f t="shared" si="3"/>
        <v>443647.77727255609</v>
      </c>
      <c r="H14" s="19">
        <f t="shared" si="0"/>
        <v>22182388.863627806</v>
      </c>
      <c r="I14" s="24">
        <v>63160</v>
      </c>
      <c r="J14">
        <f t="shared" si="4"/>
        <v>351.20945002577275</v>
      </c>
      <c r="K14">
        <v>100</v>
      </c>
    </row>
    <row r="15" spans="1:11" x14ac:dyDescent="0.3">
      <c r="A15" s="15" t="s">
        <v>74</v>
      </c>
      <c r="B15" s="38">
        <v>148601.5257512136</v>
      </c>
      <c r="C15" s="38">
        <v>33.851521342501684</v>
      </c>
      <c r="D15" s="17">
        <f>FTTB_Hybridpon_100!B15</f>
        <v>21000</v>
      </c>
      <c r="E15" s="17">
        <f>FTTB_Hybridpon_100!C15</f>
        <v>2377.1999999999998</v>
      </c>
      <c r="F15" s="17">
        <f>FTTB_Hybridpon_100!D15</f>
        <v>212800</v>
      </c>
      <c r="G15" s="17">
        <f t="shared" si="3"/>
        <v>384812.57727255614</v>
      </c>
      <c r="H15" s="19">
        <f t="shared" si="0"/>
        <v>19240628.863627806</v>
      </c>
      <c r="I15" s="24">
        <v>63160</v>
      </c>
      <c r="J15" s="17">
        <f t="shared" si="4"/>
        <v>304.63313590291017</v>
      </c>
      <c r="K15" s="17">
        <v>100</v>
      </c>
    </row>
    <row r="56" spans="3:6" x14ac:dyDescent="0.3">
      <c r="C56" s="22" t="s">
        <v>1</v>
      </c>
      <c r="D56" s="22" t="s">
        <v>2</v>
      </c>
      <c r="E56" s="22" t="s">
        <v>80</v>
      </c>
      <c r="F56" s="22" t="s">
        <v>3</v>
      </c>
    </row>
    <row r="57" spans="3:6" x14ac:dyDescent="0.3">
      <c r="C57">
        <f>B3</f>
        <v>170187.83055482313</v>
      </c>
      <c r="D57" s="24">
        <f t="shared" ref="D57:E57" si="5">C3</f>
        <v>35.517736249908381</v>
      </c>
      <c r="E57" s="24">
        <f t="shared" si="5"/>
        <v>3198.8888888888887</v>
      </c>
      <c r="F57">
        <f>E3+F3</f>
        <v>118366.39999999999</v>
      </c>
    </row>
    <row r="58" spans="3:6" x14ac:dyDescent="0.3">
      <c r="C58" s="24">
        <f t="shared" ref="C58:E58" si="6">B4</f>
        <v>170187.83055482313</v>
      </c>
      <c r="D58" s="24">
        <f t="shared" si="6"/>
        <v>35.517736249908381</v>
      </c>
      <c r="E58" s="24">
        <f t="shared" si="6"/>
        <v>7420</v>
      </c>
      <c r="F58" s="21">
        <f t="shared" ref="F58:F69" si="7">E4+F4</f>
        <v>100181.6</v>
      </c>
    </row>
    <row r="59" spans="3:6" x14ac:dyDescent="0.3">
      <c r="C59" s="24">
        <f t="shared" ref="C59:E59" si="8">B5</f>
        <v>123966.4385182156</v>
      </c>
      <c r="D59" s="24">
        <f t="shared" si="8"/>
        <v>23.727612871311063</v>
      </c>
      <c r="E59" s="24">
        <f t="shared" si="8"/>
        <v>6458</v>
      </c>
      <c r="F59" s="21">
        <f t="shared" si="7"/>
        <v>96800</v>
      </c>
    </row>
    <row r="60" spans="3:6" x14ac:dyDescent="0.3">
      <c r="C60" s="24">
        <f t="shared" ref="C60:E60" si="9">B6</f>
        <v>123966.4385182156</v>
      </c>
      <c r="D60" s="24">
        <f t="shared" si="9"/>
        <v>23.727612871311063</v>
      </c>
      <c r="E60" s="24">
        <f t="shared" si="9"/>
        <v>7164</v>
      </c>
      <c r="F60" s="21">
        <f t="shared" si="7"/>
        <v>278720</v>
      </c>
    </row>
    <row r="61" spans="3:6" x14ac:dyDescent="0.3">
      <c r="C61" s="24">
        <f t="shared" ref="C61:E61" si="10">B7</f>
        <v>170187.83055482313</v>
      </c>
      <c r="D61" s="24">
        <f t="shared" si="10"/>
        <v>35.517736249908381</v>
      </c>
      <c r="E61" s="24">
        <f t="shared" si="10"/>
        <v>29050</v>
      </c>
      <c r="F61" s="21">
        <f t="shared" si="7"/>
        <v>262692.8</v>
      </c>
    </row>
    <row r="62" spans="3:6" x14ac:dyDescent="0.3">
      <c r="C62" s="24">
        <f t="shared" ref="C62:E62" si="11">B8</f>
        <v>170187.83055482313</v>
      </c>
      <c r="D62" s="24">
        <f t="shared" si="11"/>
        <v>35.517736249908381</v>
      </c>
      <c r="E62" s="24">
        <f t="shared" si="11"/>
        <v>7690</v>
      </c>
      <c r="F62" s="21">
        <f t="shared" si="7"/>
        <v>148579.6</v>
      </c>
    </row>
    <row r="63" spans="3:6" x14ac:dyDescent="0.3">
      <c r="C63" s="24">
        <f t="shared" ref="C63:E63" si="12">B9</f>
        <v>170187.83055482313</v>
      </c>
      <c r="D63" s="24">
        <f t="shared" si="12"/>
        <v>35.517736249908381</v>
      </c>
      <c r="E63" s="24">
        <f t="shared" si="12"/>
        <v>14840</v>
      </c>
      <c r="F63" s="21">
        <f t="shared" si="7"/>
        <v>61989.9</v>
      </c>
    </row>
    <row r="64" spans="3:6" x14ac:dyDescent="0.3">
      <c r="C64" s="24">
        <f t="shared" ref="C64:E64" si="13">B10</f>
        <v>123966.4385182156</v>
      </c>
      <c r="D64" s="24">
        <f t="shared" si="13"/>
        <v>23.727612871311063</v>
      </c>
      <c r="E64" s="24">
        <f t="shared" si="13"/>
        <v>13828</v>
      </c>
      <c r="F64" s="21">
        <f t="shared" si="7"/>
        <v>200640</v>
      </c>
    </row>
    <row r="65" spans="3:6" x14ac:dyDescent="0.3">
      <c r="C65" s="24">
        <f t="shared" ref="C65:E65" si="14">B11</f>
        <v>162896.27914347179</v>
      </c>
      <c r="D65" s="24">
        <f t="shared" si="14"/>
        <v>33.851521342501684</v>
      </c>
      <c r="E65" s="24">
        <f t="shared" si="14"/>
        <v>4920</v>
      </c>
      <c r="F65" s="21">
        <f t="shared" si="7"/>
        <v>78450.2</v>
      </c>
    </row>
    <row r="66" spans="3:6" x14ac:dyDescent="0.3">
      <c r="C66" s="24">
        <f t="shared" ref="C66:E66" si="15">B12</f>
        <v>148601.5257512136</v>
      </c>
      <c r="D66" s="24">
        <f t="shared" si="15"/>
        <v>33.851521342501684</v>
      </c>
      <c r="E66" s="24">
        <f t="shared" si="15"/>
        <v>10700</v>
      </c>
      <c r="F66" s="21">
        <f t="shared" si="7"/>
        <v>89988.6</v>
      </c>
    </row>
    <row r="67" spans="3:6" x14ac:dyDescent="0.3">
      <c r="C67" s="24">
        <f t="shared" ref="C67:E67" si="16">B13</f>
        <v>148601.5257512136</v>
      </c>
      <c r="D67" s="24">
        <f t="shared" si="16"/>
        <v>33.851521342501684</v>
      </c>
      <c r="E67" s="24">
        <f t="shared" si="16"/>
        <v>21000</v>
      </c>
      <c r="F67" s="21">
        <f t="shared" si="7"/>
        <v>355977.2</v>
      </c>
    </row>
    <row r="68" spans="3:6" x14ac:dyDescent="0.3">
      <c r="C68" s="24">
        <f t="shared" ref="C68:E68" si="17">B14</f>
        <v>148601.5257512136</v>
      </c>
      <c r="D68" s="24">
        <f t="shared" si="17"/>
        <v>33.851521342501684</v>
      </c>
      <c r="E68" s="24">
        <f t="shared" si="17"/>
        <v>34480</v>
      </c>
      <c r="F68" s="21">
        <f t="shared" si="7"/>
        <v>260532.4</v>
      </c>
    </row>
    <row r="69" spans="3:6" x14ac:dyDescent="0.3">
      <c r="C69" s="24">
        <f t="shared" ref="C69:E69" si="18">B15</f>
        <v>148601.5257512136</v>
      </c>
      <c r="D69" s="24">
        <f t="shared" si="18"/>
        <v>33.851521342501684</v>
      </c>
      <c r="E69" s="24">
        <f t="shared" si="18"/>
        <v>21000</v>
      </c>
      <c r="F69" s="21">
        <f t="shared" si="7"/>
        <v>215177.2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9"/>
  <sheetViews>
    <sheetView topLeftCell="A7" zoomScaleNormal="100" workbookViewId="0">
      <selection activeCell="F56" sqref="F56"/>
    </sheetView>
  </sheetViews>
  <sheetFormatPr defaultRowHeight="14.4" x14ac:dyDescent="0.3"/>
  <cols>
    <col min="1" max="1" width="45" customWidth="1"/>
    <col min="2" max="3" width="45" style="21" customWidth="1"/>
    <col min="4" max="4" width="47.88671875" customWidth="1"/>
    <col min="5" max="5" width="22.88671875" customWidth="1"/>
    <col min="6" max="6" width="26.33203125" customWidth="1"/>
    <col min="7" max="7" width="25.44140625" customWidth="1"/>
    <col min="8" max="8" width="26.33203125" customWidth="1"/>
    <col min="9" max="9" width="27.44140625" customWidth="1"/>
    <col min="10" max="10" width="33.6640625" customWidth="1"/>
    <col min="11" max="11" width="22.44140625" customWidth="1"/>
    <col min="12" max="12" width="18.44140625" customWidth="1"/>
    <col min="13" max="13" width="17" customWidth="1"/>
  </cols>
  <sheetData>
    <row r="1" spans="1:13" x14ac:dyDescent="0.3">
      <c r="A1" s="21" t="s">
        <v>49</v>
      </c>
      <c r="B1" s="21" t="s">
        <v>90</v>
      </c>
      <c r="C1" s="21" t="s">
        <v>91</v>
      </c>
      <c r="D1" s="21" t="s">
        <v>1</v>
      </c>
      <c r="E1" s="21" t="s">
        <v>2</v>
      </c>
      <c r="F1" s="21" t="s">
        <v>62</v>
      </c>
      <c r="G1" s="21" t="s">
        <v>60</v>
      </c>
      <c r="H1" s="21" t="s">
        <v>61</v>
      </c>
      <c r="I1" s="21" t="s">
        <v>55</v>
      </c>
      <c r="J1" s="21" t="s">
        <v>93</v>
      </c>
      <c r="K1" s="21" t="s">
        <v>57</v>
      </c>
      <c r="L1" s="21" t="s">
        <v>92</v>
      </c>
      <c r="M1" s="21" t="s">
        <v>59</v>
      </c>
    </row>
    <row r="2" spans="1:13" x14ac:dyDescent="0.3">
      <c r="A2" s="21" t="s">
        <v>50</v>
      </c>
      <c r="B2" s="21">
        <v>191474.50445168791</v>
      </c>
      <c r="C2" s="21">
        <v>1775886.8124954188</v>
      </c>
      <c r="D2" s="21">
        <f>35*Table717[[#This Row],[Duct Length]]/50</f>
        <v>134032.15311618152</v>
      </c>
      <c r="E2" s="21">
        <f>Table717[[#This Row],[Fiber Length]]*0.3/50</f>
        <v>10655.320874972513</v>
      </c>
      <c r="F2" s="24">
        <f>'FTTCab GPON 26 Mbps'!$B$19</f>
        <v>7492</v>
      </c>
      <c r="G2" s="24">
        <f>'FTTCab GPON 26 Mbps'!C$19</f>
        <v>285584</v>
      </c>
      <c r="H2" s="24">
        <f>'FTTCab GPON 26 Mbps'!D$19</f>
        <v>0</v>
      </c>
      <c r="I2" s="21">
        <f>SUM(Table717[[#This Row],[Duct Cost]:[Building E&amp;I Costs]])</f>
        <v>437763.47399115399</v>
      </c>
      <c r="J2" s="21">
        <f t="shared" ref="J2:J14" si="0">I2*50</f>
        <v>21888173.699557699</v>
      </c>
      <c r="K2" s="21">
        <v>29262</v>
      </c>
      <c r="L2" s="21">
        <f>J2/K2</f>
        <v>748.00675618746834</v>
      </c>
      <c r="M2" s="21">
        <v>25</v>
      </c>
    </row>
    <row r="3" spans="1:13" x14ac:dyDescent="0.3">
      <c r="A3" s="21" t="s">
        <v>51</v>
      </c>
      <c r="B3" s="21">
        <v>191474.50445168791</v>
      </c>
      <c r="C3" s="21">
        <v>1775886.8124954188</v>
      </c>
      <c r="D3" s="24">
        <f>35*Table717[[#This Row],[Duct Length]]/50</f>
        <v>134032.15311618152</v>
      </c>
      <c r="E3" s="24">
        <f>Table717[[#This Row],[Fiber Length]]*0.3/50</f>
        <v>10655.320874972513</v>
      </c>
      <c r="F3" s="24">
        <f>'FTTB XGPON 50 Mbps'!$B$18</f>
        <v>12200</v>
      </c>
      <c r="G3" s="24">
        <f>'FTTB XGPON 50 Mbps'!C$18</f>
        <v>11016</v>
      </c>
      <c r="H3" s="24">
        <f>'FTTB XGPON 50 Mbps'!D$18</f>
        <v>112000</v>
      </c>
      <c r="I3" s="24">
        <f>SUM(Table717[[#This Row],[Duct Cost]:[Building E&amp;I Costs]])</f>
        <v>279903.47399115399</v>
      </c>
      <c r="J3" s="21">
        <f t="shared" si="0"/>
        <v>13995173.699557699</v>
      </c>
      <c r="K3" s="21">
        <v>29262</v>
      </c>
      <c r="L3" s="21">
        <f t="shared" ref="L3:L6" si="1">J3/K3</f>
        <v>478.27126305644521</v>
      </c>
      <c r="M3" s="21">
        <v>50</v>
      </c>
    </row>
    <row r="4" spans="1:13" x14ac:dyDescent="0.3">
      <c r="A4" s="21" t="s">
        <v>52</v>
      </c>
      <c r="B4" s="21">
        <v>149208.7890873194</v>
      </c>
      <c r="C4" s="21">
        <v>1186380.643565553</v>
      </c>
      <c r="D4" s="24">
        <f>35*Table717[[#This Row],[Duct Length]]/50</f>
        <v>104446.15236112358</v>
      </c>
      <c r="E4" s="24">
        <f>Table717[[#This Row],[Fiber Length]]*0.3/50</f>
        <v>7118.2838613933172</v>
      </c>
      <c r="F4" s="24">
        <f>'FTTB WR-WDMPON 50 Mbps'!$B$16</f>
        <v>19000</v>
      </c>
      <c r="G4" s="24">
        <f>'FTTB WR-WDMPON 50 Mbps'!C16</f>
        <v>320</v>
      </c>
      <c r="H4" s="24">
        <f>'FTTB WR-WDMPON 50 Mbps'!D16</f>
        <v>120000</v>
      </c>
      <c r="I4" s="24">
        <f>SUM(Table717[[#This Row],[Duct Cost]:[Building E&amp;I Costs]])</f>
        <v>250884.43622251687</v>
      </c>
      <c r="J4" s="21">
        <f t="shared" si="0"/>
        <v>12544221.811125843</v>
      </c>
      <c r="K4" s="21">
        <v>29262</v>
      </c>
      <c r="L4" s="21">
        <f t="shared" si="1"/>
        <v>428.68641279221663</v>
      </c>
      <c r="M4" s="21">
        <v>50</v>
      </c>
    </row>
    <row r="5" spans="1:13" x14ac:dyDescent="0.3">
      <c r="A5" s="21" t="s">
        <v>53</v>
      </c>
      <c r="B5" s="21">
        <v>149208.7890873194</v>
      </c>
      <c r="C5" s="21">
        <v>1186380.643565553</v>
      </c>
      <c r="D5" s="24">
        <f>35*Table717[[#This Row],[Duct Length]]/50</f>
        <v>104446.15236112358</v>
      </c>
      <c r="E5" s="24">
        <f>Table717[[#This Row],[Fiber Length]]*0.3/50</f>
        <v>7118.2838613933172</v>
      </c>
      <c r="F5" s="24">
        <f>'FTTH WR-WDMPON 100 Mbps'!$B$16</f>
        <v>19000</v>
      </c>
      <c r="G5" s="24">
        <f>'FTTH WR-WDMPON 100 Mbps'!C16</f>
        <v>320</v>
      </c>
      <c r="H5" s="24">
        <f>'FTTH WR-WDMPON 100 Mbps'!D16</f>
        <v>480000</v>
      </c>
      <c r="I5" s="24">
        <f>SUM(Table717[[#This Row],[Duct Cost]:[Building E&amp;I Costs]])</f>
        <v>610884.43622251693</v>
      </c>
      <c r="J5" s="21">
        <f t="shared" si="0"/>
        <v>30544221.811125845</v>
      </c>
      <c r="K5" s="21">
        <v>29262</v>
      </c>
      <c r="L5" s="21">
        <f t="shared" si="1"/>
        <v>1043.8186662267051</v>
      </c>
      <c r="M5" s="21">
        <v>100</v>
      </c>
    </row>
    <row r="6" spans="1:13" x14ac:dyDescent="0.3">
      <c r="A6" s="21" t="s">
        <v>54</v>
      </c>
      <c r="B6" s="21">
        <v>191474.50445168791</v>
      </c>
      <c r="C6" s="21">
        <v>1775886.8124954188</v>
      </c>
      <c r="D6" s="24">
        <f>35*Table717[[#This Row],[Duct Length]]/50</f>
        <v>134032.15311618152</v>
      </c>
      <c r="E6" s="24">
        <f>Table717[[#This Row],[Fiber Length]]*0.3/50</f>
        <v>10655.320874972513</v>
      </c>
      <c r="F6" s="24">
        <f>'FTTH XGPON 100 Mbps'!$B$18</f>
        <v>39800</v>
      </c>
      <c r="G6" s="24">
        <f>'FTTH XGPON 100 Mbps'!C18</f>
        <v>12752</v>
      </c>
      <c r="H6" s="24">
        <f>'FTTH XGPON 100 Mbps'!D18</f>
        <v>384000</v>
      </c>
      <c r="I6" s="24">
        <f>SUM(Table717[[#This Row],[Duct Cost]:[Building E&amp;I Costs]])</f>
        <v>581239.47399115399</v>
      </c>
      <c r="J6" s="21">
        <f t="shared" si="0"/>
        <v>29061973.699557699</v>
      </c>
      <c r="K6" s="21">
        <v>29262</v>
      </c>
      <c r="L6" s="21">
        <f t="shared" si="1"/>
        <v>993.16429839237571</v>
      </c>
      <c r="M6" s="21">
        <v>100</v>
      </c>
    </row>
    <row r="7" spans="1:13" x14ac:dyDescent="0.3">
      <c r="A7" s="21" t="s">
        <v>67</v>
      </c>
      <c r="B7" s="21">
        <v>191474.50445168791</v>
      </c>
      <c r="C7" s="21">
        <v>1775886.8124954188</v>
      </c>
      <c r="D7" s="24">
        <f>35*Table717[[#This Row],[Duct Length]]/50</f>
        <v>134032.15311618152</v>
      </c>
      <c r="E7" s="24">
        <f>Table717[[#This Row],[Fiber Length]]*0.3/50</f>
        <v>10655.320874972513</v>
      </c>
      <c r="F7" s="24">
        <f>FTTCab_GPON_100!$B$17</f>
        <v>8080</v>
      </c>
      <c r="G7" s="24">
        <f>FTTCab_GPON_100!C17</f>
        <v>301404</v>
      </c>
      <c r="H7" s="24">
        <f>FTTCab_GPON_100!D17</f>
        <v>0</v>
      </c>
      <c r="I7" s="24">
        <f>SUM(Table717[[#This Row],[Duct Cost]:[Building E&amp;I Costs]])</f>
        <v>454171.47399115399</v>
      </c>
      <c r="J7" s="21">
        <f t="shared" si="0"/>
        <v>22708573.699557699</v>
      </c>
      <c r="K7" s="21">
        <v>29262</v>
      </c>
      <c r="L7" s="21">
        <f>J7/K7</f>
        <v>776.04311733844918</v>
      </c>
      <c r="M7" s="21">
        <v>100</v>
      </c>
    </row>
    <row r="8" spans="1:13" x14ac:dyDescent="0.3">
      <c r="A8" s="21" t="s">
        <v>68</v>
      </c>
      <c r="B8" s="21">
        <v>191474.50445168791</v>
      </c>
      <c r="C8" s="21">
        <v>1775886.8124954188</v>
      </c>
      <c r="D8" s="24">
        <f>35*Table717[[#This Row],[Duct Length]]/50</f>
        <v>134032.15311618152</v>
      </c>
      <c r="E8" s="24">
        <f>Table717[[#This Row],[Fiber Length]]*0.3/50</f>
        <v>10655.320874972513</v>
      </c>
      <c r="F8" s="24">
        <f>FTTB_XGPON_100!$B$17</f>
        <v>21400</v>
      </c>
      <c r="G8" s="24">
        <f>FTTB_XGPON_100!C17</f>
        <v>22032</v>
      </c>
      <c r="H8" s="24">
        <f>FTTB_XGPON_100!D17</f>
        <v>224000</v>
      </c>
      <c r="I8" s="24">
        <f>SUM(Table717[[#This Row],[Duct Cost]:[Building E&amp;I Costs]])</f>
        <v>412119.47399115399</v>
      </c>
      <c r="J8" s="21">
        <f t="shared" si="0"/>
        <v>20605973.699557699</v>
      </c>
      <c r="K8" s="21">
        <v>29262</v>
      </c>
      <c r="L8" s="21">
        <f>J8/K8</f>
        <v>704.18883533448502</v>
      </c>
      <c r="M8" s="21">
        <v>100</v>
      </c>
    </row>
    <row r="9" spans="1:13" x14ac:dyDescent="0.3">
      <c r="A9" s="21" t="s">
        <v>69</v>
      </c>
      <c r="B9" s="21">
        <v>149208.7890873194</v>
      </c>
      <c r="C9" s="21">
        <v>1186380.643565553</v>
      </c>
      <c r="D9" s="24">
        <f>35*Table717[[#This Row],[Duct Length]]/50</f>
        <v>104446.15236112358</v>
      </c>
      <c r="E9" s="24">
        <f>Table717[[#This Row],[Fiber Length]]*0.3/50</f>
        <v>7118.2838613933172</v>
      </c>
      <c r="F9" s="24">
        <f>FTTB_WRWDM_100!$B$15</f>
        <v>35000</v>
      </c>
      <c r="G9" s="24">
        <f>FTTB_WRWDM_100!C15</f>
        <v>640</v>
      </c>
      <c r="H9" s="24">
        <f>FTTB_WRWDM_100!D15</f>
        <v>240000</v>
      </c>
      <c r="I9" s="24">
        <f>SUM(Table717[[#This Row],[Duct Cost]:[Building E&amp;I Costs]])</f>
        <v>387204.43622251687</v>
      </c>
      <c r="J9" s="21">
        <f t="shared" si="0"/>
        <v>19360221.811125845</v>
      </c>
      <c r="K9" s="21">
        <v>29262</v>
      </c>
      <c r="L9" s="21">
        <f>J9/K9</f>
        <v>661.61649275940965</v>
      </c>
      <c r="M9" s="21">
        <v>100</v>
      </c>
    </row>
    <row r="10" spans="1:13" x14ac:dyDescent="0.3">
      <c r="A10" s="22" t="s">
        <v>70</v>
      </c>
      <c r="B10" s="16">
        <v>185511.08561848622</v>
      </c>
      <c r="C10" s="16">
        <v>1692576.0671250841</v>
      </c>
      <c r="D10" s="24">
        <f>35*Table717[[#This Row],[Duct Length]]/50</f>
        <v>129857.75993294036</v>
      </c>
      <c r="E10" s="24">
        <f>Table717[[#This Row],[Fiber Length]]*0.3/50</f>
        <v>10155.456402750504</v>
      </c>
      <c r="F10" s="24">
        <f>FTTCab_Hybridpon_25!$B$17</f>
        <v>10040</v>
      </c>
      <c r="G10" s="24">
        <f>FTTCab_Hybridpon_25!C17</f>
        <v>308874</v>
      </c>
      <c r="H10" s="24">
        <f>FTTCab_Hybridpon_25!D17</f>
        <v>0</v>
      </c>
      <c r="I10" s="24">
        <f>SUM(Table717[[#This Row],[Duct Cost]:[Building E&amp;I Costs]])</f>
        <v>458927.21633569087</v>
      </c>
      <c r="J10" s="21">
        <f t="shared" si="0"/>
        <v>22946360.816784542</v>
      </c>
      <c r="K10" s="21">
        <v>29262</v>
      </c>
      <c r="L10" s="21">
        <f t="shared" ref="L10:L14" si="2">J10/K10</f>
        <v>784.16925763052905</v>
      </c>
      <c r="M10" s="21">
        <v>25</v>
      </c>
    </row>
    <row r="11" spans="1:13" x14ac:dyDescent="0.3">
      <c r="A11" s="22" t="s">
        <v>71</v>
      </c>
      <c r="B11" s="16">
        <v>172747.9129468271</v>
      </c>
      <c r="C11" s="16">
        <v>1692576.0671250841</v>
      </c>
      <c r="D11" s="24">
        <f>35*Table717[[#This Row],[Duct Length]]/50</f>
        <v>120923.53906277897</v>
      </c>
      <c r="E11" s="24">
        <f>Table717[[#This Row],[Fiber Length]]*0.3/50</f>
        <v>10155.456402750504</v>
      </c>
      <c r="F11" s="24">
        <f>FTTB_Hybridpon_50!$B$16</f>
        <v>27040</v>
      </c>
      <c r="G11" s="24">
        <f>FTTB_Hybridpon_50!C16</f>
        <v>5064</v>
      </c>
      <c r="H11" s="24">
        <f>FTTB_Hybridpon_50!D16</f>
        <v>120000</v>
      </c>
      <c r="I11" s="24">
        <f>SUM(Table717[[#This Row],[Duct Cost]:[Building E&amp;I Costs]])</f>
        <v>283182.9954655295</v>
      </c>
      <c r="J11" s="21">
        <f t="shared" si="0"/>
        <v>14159149.773276474</v>
      </c>
      <c r="K11" s="21">
        <v>29262</v>
      </c>
      <c r="L11" s="21">
        <f t="shared" si="2"/>
        <v>483.87498370844349</v>
      </c>
      <c r="M11" s="21">
        <v>50</v>
      </c>
    </row>
    <row r="12" spans="1:13" x14ac:dyDescent="0.3">
      <c r="A12" s="22" t="s">
        <v>72</v>
      </c>
      <c r="B12" s="16">
        <v>172747.9129468271</v>
      </c>
      <c r="C12" s="16">
        <v>1692576.0671250841</v>
      </c>
      <c r="D12" s="24">
        <f>35*Table717[[#This Row],[Duct Length]]/50</f>
        <v>120923.53906277897</v>
      </c>
      <c r="E12" s="24">
        <f>Table717[[#This Row],[Fiber Length]]*0.3/50</f>
        <v>10155.456402750504</v>
      </c>
      <c r="F12" s="24">
        <f>FTTH_Hybridpon_100!$B$16</f>
        <v>51080</v>
      </c>
      <c r="G12" s="24">
        <f>FTTH_Hybridpon_100!C16</f>
        <v>10128</v>
      </c>
      <c r="H12" s="24">
        <f>FTTH_Hybridpon_100!D16</f>
        <v>448000</v>
      </c>
      <c r="I12" s="24">
        <f>SUM(Table717[[#This Row],[Duct Cost]:[Building E&amp;I Costs]])</f>
        <v>640286.9954655295</v>
      </c>
      <c r="J12" s="21">
        <f t="shared" si="0"/>
        <v>32014349.773276474</v>
      </c>
      <c r="K12" s="21">
        <v>29262</v>
      </c>
      <c r="L12" s="21">
        <f t="shared" si="2"/>
        <v>1094.0588399041924</v>
      </c>
      <c r="M12" s="21">
        <v>100</v>
      </c>
    </row>
    <row r="13" spans="1:13" x14ac:dyDescent="0.3">
      <c r="A13" s="22" t="s">
        <v>73</v>
      </c>
      <c r="B13" s="16">
        <v>172747.9129468271</v>
      </c>
      <c r="C13" s="16">
        <v>1692576.0671250841</v>
      </c>
      <c r="D13" s="24">
        <f>35*Table717[[#This Row],[Duct Length]]/50</f>
        <v>120923.53906277897</v>
      </c>
      <c r="E13" s="24">
        <f>Table717[[#This Row],[Fiber Length]]*0.3/50</f>
        <v>10155.456402750504</v>
      </c>
      <c r="F13" s="24">
        <f>FTTC_Hybridpon_100!$B$17</f>
        <v>31160</v>
      </c>
      <c r="G13" s="24">
        <f>FTTC_Hybridpon_100!C17</f>
        <v>614956</v>
      </c>
      <c r="H13" s="24">
        <f>FTTC_Hybridpon_100!D17</f>
        <v>0</v>
      </c>
      <c r="I13" s="24">
        <f>SUM(Table717[[#This Row],[Duct Cost]:[Building E&amp;I Costs]])</f>
        <v>777194.9954655295</v>
      </c>
      <c r="J13" s="21">
        <f t="shared" si="0"/>
        <v>38859749.773276478</v>
      </c>
      <c r="K13" s="21">
        <v>29262</v>
      </c>
      <c r="L13" s="21">
        <f t="shared" si="2"/>
        <v>1327.9936358853283</v>
      </c>
      <c r="M13" s="21">
        <v>100</v>
      </c>
    </row>
    <row r="14" spans="1:13" x14ac:dyDescent="0.3">
      <c r="A14" s="15" t="s">
        <v>74</v>
      </c>
      <c r="B14" s="16">
        <v>172747.9129468271</v>
      </c>
      <c r="C14" s="16">
        <v>1692576.0671250841</v>
      </c>
      <c r="D14" s="24">
        <f>35*Table717[[#This Row],[Duct Length]]/50</f>
        <v>120923.53906277897</v>
      </c>
      <c r="E14" s="24">
        <f>Table717[[#This Row],[Fiber Length]]*0.3/50</f>
        <v>10155.456402750504</v>
      </c>
      <c r="F14" s="17">
        <f>FTTB_Hybridpon_100!$B$16</f>
        <v>51080</v>
      </c>
      <c r="G14" s="17">
        <f>FTTB_Hybridpon_100!C16</f>
        <v>10128</v>
      </c>
      <c r="H14" s="17">
        <f>FTTB_Hybridpon_100!D16</f>
        <v>240000</v>
      </c>
      <c r="I14" s="24">
        <f>SUM(Table717[[#This Row],[Duct Cost]:[Building E&amp;I Costs]])</f>
        <v>432286.9954655295</v>
      </c>
      <c r="J14" s="21">
        <f t="shared" si="0"/>
        <v>21614349.773276474</v>
      </c>
      <c r="K14" s="21">
        <v>29262</v>
      </c>
      <c r="L14" s="17">
        <f t="shared" si="2"/>
        <v>738.64909347537673</v>
      </c>
      <c r="M14" s="17">
        <v>100</v>
      </c>
    </row>
    <row r="28" spans="2:5" x14ac:dyDescent="0.3">
      <c r="B28" s="24"/>
      <c r="C28" s="24"/>
      <c r="D28" s="24"/>
    </row>
    <row r="29" spans="2:5" x14ac:dyDescent="0.3">
      <c r="B29" s="24"/>
      <c r="C29" s="24"/>
      <c r="D29" s="24"/>
      <c r="E29" s="23"/>
    </row>
    <row r="30" spans="2:5" x14ac:dyDescent="0.3">
      <c r="B30" s="24"/>
      <c r="C30" s="24"/>
      <c r="D30" s="24"/>
      <c r="E30" s="23"/>
    </row>
    <row r="31" spans="2:5" x14ac:dyDescent="0.3">
      <c r="B31" s="24"/>
      <c r="C31" s="24"/>
      <c r="D31" s="24"/>
      <c r="E31" s="23"/>
    </row>
    <row r="32" spans="2:5" x14ac:dyDescent="0.3">
      <c r="B32" s="24"/>
      <c r="C32" s="24"/>
      <c r="D32" s="24"/>
      <c r="E32" s="23"/>
    </row>
    <row r="33" spans="2:5" x14ac:dyDescent="0.3">
      <c r="B33" s="24"/>
      <c r="C33" s="24"/>
      <c r="D33" s="24"/>
      <c r="E33" s="23"/>
    </row>
    <row r="34" spans="2:5" x14ac:dyDescent="0.3">
      <c r="B34" s="24"/>
      <c r="C34" s="24"/>
      <c r="D34" s="24"/>
      <c r="E34" s="23"/>
    </row>
    <row r="35" spans="2:5" x14ac:dyDescent="0.3">
      <c r="B35" s="24"/>
      <c r="C35" s="24"/>
      <c r="D35" s="24"/>
      <c r="E35" s="23"/>
    </row>
    <row r="36" spans="2:5" x14ac:dyDescent="0.3">
      <c r="B36" s="24"/>
      <c r="C36" s="24"/>
      <c r="D36" s="24"/>
      <c r="E36" s="23"/>
    </row>
    <row r="37" spans="2:5" x14ac:dyDescent="0.3">
      <c r="B37" s="24"/>
      <c r="C37" s="24"/>
      <c r="D37" s="24"/>
      <c r="E37" s="23"/>
    </row>
    <row r="38" spans="2:5" x14ac:dyDescent="0.3">
      <c r="B38" s="24"/>
      <c r="C38" s="24"/>
      <c r="D38" s="24"/>
      <c r="E38" s="23"/>
    </row>
    <row r="39" spans="2:5" x14ac:dyDescent="0.3">
      <c r="B39" s="24"/>
      <c r="C39" s="24"/>
      <c r="D39" s="24"/>
      <c r="E39" s="23"/>
    </row>
    <row r="40" spans="2:5" x14ac:dyDescent="0.3">
      <c r="B40" s="24"/>
      <c r="C40" s="24"/>
      <c r="D40" s="24"/>
      <c r="E40" s="23"/>
    </row>
    <row r="55" spans="6:9" x14ac:dyDescent="0.3">
      <c r="F55" t="s">
        <v>1</v>
      </c>
      <c r="G55" t="s">
        <v>2</v>
      </c>
      <c r="H55" t="s">
        <v>130</v>
      </c>
      <c r="I55" t="s">
        <v>3</v>
      </c>
    </row>
    <row r="56" spans="6:9" x14ac:dyDescent="0.3">
      <c r="F56">
        <f>D2</f>
        <v>134032.15311618152</v>
      </c>
      <c r="G56" s="24">
        <f t="shared" ref="G56:H68" si="3">E2</f>
        <v>10655.320874972513</v>
      </c>
      <c r="H56" s="24">
        <f t="shared" si="3"/>
        <v>7492</v>
      </c>
      <c r="I56">
        <f>G2+H2</f>
        <v>285584</v>
      </c>
    </row>
    <row r="57" spans="6:9" x14ac:dyDescent="0.3">
      <c r="F57" s="24">
        <f t="shared" ref="F57:F120" si="4">D3</f>
        <v>134032.15311618152</v>
      </c>
      <c r="G57" s="24">
        <f t="shared" si="3"/>
        <v>10655.320874972513</v>
      </c>
      <c r="H57" s="24">
        <f t="shared" si="3"/>
        <v>12200</v>
      </c>
      <c r="I57" s="24">
        <f t="shared" ref="I57:I68" si="5">G3+H3</f>
        <v>123016</v>
      </c>
    </row>
    <row r="58" spans="6:9" x14ac:dyDescent="0.3">
      <c r="F58" s="24">
        <f t="shared" si="4"/>
        <v>104446.15236112358</v>
      </c>
      <c r="G58" s="24">
        <f t="shared" si="3"/>
        <v>7118.2838613933172</v>
      </c>
      <c r="H58" s="24">
        <f t="shared" si="3"/>
        <v>19000</v>
      </c>
      <c r="I58" s="24">
        <f t="shared" si="5"/>
        <v>120320</v>
      </c>
    </row>
    <row r="59" spans="6:9" x14ac:dyDescent="0.3">
      <c r="F59" s="24">
        <f t="shared" si="4"/>
        <v>104446.15236112358</v>
      </c>
      <c r="G59" s="24">
        <f t="shared" si="3"/>
        <v>7118.2838613933172</v>
      </c>
      <c r="H59" s="24">
        <f t="shared" si="3"/>
        <v>19000</v>
      </c>
      <c r="I59" s="24">
        <f t="shared" si="5"/>
        <v>480320</v>
      </c>
    </row>
    <row r="60" spans="6:9" x14ac:dyDescent="0.3">
      <c r="F60" s="24">
        <f t="shared" si="4"/>
        <v>134032.15311618152</v>
      </c>
      <c r="G60" s="24">
        <f t="shared" si="3"/>
        <v>10655.320874972513</v>
      </c>
      <c r="H60" s="24">
        <f t="shared" si="3"/>
        <v>39800</v>
      </c>
      <c r="I60" s="24">
        <f t="shared" si="5"/>
        <v>396752</v>
      </c>
    </row>
    <row r="61" spans="6:9" x14ac:dyDescent="0.3">
      <c r="F61" s="24">
        <f t="shared" si="4"/>
        <v>134032.15311618152</v>
      </c>
      <c r="G61" s="24">
        <f t="shared" si="3"/>
        <v>10655.320874972513</v>
      </c>
      <c r="H61" s="24">
        <f t="shared" si="3"/>
        <v>8080</v>
      </c>
      <c r="I61" s="24">
        <f t="shared" si="5"/>
        <v>301404</v>
      </c>
    </row>
    <row r="62" spans="6:9" x14ac:dyDescent="0.3">
      <c r="F62" s="24">
        <f t="shared" si="4"/>
        <v>134032.15311618152</v>
      </c>
      <c r="G62" s="24">
        <f t="shared" si="3"/>
        <v>10655.320874972513</v>
      </c>
      <c r="H62" s="24">
        <f t="shared" si="3"/>
        <v>21400</v>
      </c>
      <c r="I62" s="24">
        <f t="shared" si="5"/>
        <v>246032</v>
      </c>
    </row>
    <row r="63" spans="6:9" x14ac:dyDescent="0.3">
      <c r="F63" s="24">
        <f t="shared" si="4"/>
        <v>104446.15236112358</v>
      </c>
      <c r="G63" s="24">
        <f t="shared" si="3"/>
        <v>7118.2838613933172</v>
      </c>
      <c r="H63" s="24">
        <f t="shared" si="3"/>
        <v>35000</v>
      </c>
      <c r="I63" s="24">
        <f t="shared" si="5"/>
        <v>240640</v>
      </c>
    </row>
    <row r="64" spans="6:9" x14ac:dyDescent="0.3">
      <c r="F64" s="24">
        <f t="shared" si="4"/>
        <v>129857.75993294036</v>
      </c>
      <c r="G64" s="24">
        <f t="shared" si="3"/>
        <v>10155.456402750504</v>
      </c>
      <c r="H64" s="24">
        <f t="shared" si="3"/>
        <v>10040</v>
      </c>
      <c r="I64" s="24">
        <f t="shared" si="5"/>
        <v>308874</v>
      </c>
    </row>
    <row r="65" spans="6:9" x14ac:dyDescent="0.3">
      <c r="F65" s="24">
        <f t="shared" si="4"/>
        <v>120923.53906277897</v>
      </c>
      <c r="G65" s="24">
        <f t="shared" si="3"/>
        <v>10155.456402750504</v>
      </c>
      <c r="H65" s="24">
        <f t="shared" si="3"/>
        <v>27040</v>
      </c>
      <c r="I65" s="24">
        <f t="shared" si="5"/>
        <v>125064</v>
      </c>
    </row>
    <row r="66" spans="6:9" x14ac:dyDescent="0.3">
      <c r="F66" s="24">
        <f t="shared" si="4"/>
        <v>120923.53906277897</v>
      </c>
      <c r="G66" s="24">
        <f t="shared" si="3"/>
        <v>10155.456402750504</v>
      </c>
      <c r="H66" s="24">
        <f t="shared" si="3"/>
        <v>51080</v>
      </c>
      <c r="I66" s="24">
        <f t="shared" si="5"/>
        <v>458128</v>
      </c>
    </row>
    <row r="67" spans="6:9" x14ac:dyDescent="0.3">
      <c r="F67" s="24">
        <f t="shared" si="4"/>
        <v>120923.53906277897</v>
      </c>
      <c r="G67" s="24">
        <f t="shared" si="3"/>
        <v>10155.456402750504</v>
      </c>
      <c r="H67" s="24">
        <f t="shared" si="3"/>
        <v>31160</v>
      </c>
      <c r="I67" s="24">
        <f t="shared" si="5"/>
        <v>614956</v>
      </c>
    </row>
    <row r="68" spans="6:9" x14ac:dyDescent="0.3">
      <c r="F68" s="24">
        <f t="shared" si="4"/>
        <v>120923.53906277897</v>
      </c>
      <c r="G68" s="24">
        <f t="shared" si="3"/>
        <v>10155.456402750504</v>
      </c>
      <c r="H68" s="24">
        <f t="shared" si="3"/>
        <v>51080</v>
      </c>
      <c r="I68" s="24">
        <f t="shared" si="5"/>
        <v>250128</v>
      </c>
    </row>
    <row r="69" spans="6:9" x14ac:dyDescent="0.3">
      <c r="F69" s="24">
        <f t="shared" si="4"/>
        <v>0</v>
      </c>
    </row>
    <row r="70" spans="6:9" x14ac:dyDescent="0.3">
      <c r="F70" s="24">
        <f t="shared" si="4"/>
        <v>0</v>
      </c>
    </row>
    <row r="71" spans="6:9" x14ac:dyDescent="0.3">
      <c r="F71" s="24">
        <f t="shared" si="4"/>
        <v>0</v>
      </c>
    </row>
    <row r="72" spans="6:9" x14ac:dyDescent="0.3">
      <c r="F72" s="24">
        <f t="shared" si="4"/>
        <v>0</v>
      </c>
    </row>
    <row r="73" spans="6:9" x14ac:dyDescent="0.3">
      <c r="F73" s="24">
        <f t="shared" si="4"/>
        <v>0</v>
      </c>
    </row>
    <row r="74" spans="6:9" x14ac:dyDescent="0.3">
      <c r="F74" s="24">
        <f t="shared" si="4"/>
        <v>0</v>
      </c>
    </row>
    <row r="75" spans="6:9" x14ac:dyDescent="0.3">
      <c r="F75" s="24">
        <f t="shared" si="4"/>
        <v>0</v>
      </c>
    </row>
    <row r="76" spans="6:9" x14ac:dyDescent="0.3">
      <c r="F76" s="24">
        <f t="shared" si="4"/>
        <v>0</v>
      </c>
    </row>
    <row r="77" spans="6:9" x14ac:dyDescent="0.3">
      <c r="F77" s="24">
        <f t="shared" si="4"/>
        <v>0</v>
      </c>
    </row>
    <row r="78" spans="6:9" x14ac:dyDescent="0.3">
      <c r="F78" s="24">
        <f t="shared" si="4"/>
        <v>0</v>
      </c>
    </row>
    <row r="79" spans="6:9" x14ac:dyDescent="0.3">
      <c r="F79" s="24">
        <f t="shared" si="4"/>
        <v>0</v>
      </c>
    </row>
    <row r="80" spans="6:9" x14ac:dyDescent="0.3">
      <c r="F80" s="24">
        <f t="shared" si="4"/>
        <v>0</v>
      </c>
    </row>
    <row r="81" spans="1:8" x14ac:dyDescent="0.3">
      <c r="F81" s="24">
        <f t="shared" si="4"/>
        <v>0</v>
      </c>
    </row>
    <row r="82" spans="1:8" x14ac:dyDescent="0.3">
      <c r="F82" s="24">
        <f t="shared" si="4"/>
        <v>0</v>
      </c>
    </row>
    <row r="83" spans="1:8" x14ac:dyDescent="0.3">
      <c r="F83" s="24">
        <f t="shared" si="4"/>
        <v>0</v>
      </c>
    </row>
    <row r="84" spans="1:8" x14ac:dyDescent="0.3">
      <c r="A84" s="37">
        <v>43163.914328471001</v>
      </c>
      <c r="B84" s="37">
        <v>34814.142864069901</v>
      </c>
      <c r="C84" s="37">
        <v>113496.447259147</v>
      </c>
      <c r="D84" s="37">
        <v>187697.32807546799</v>
      </c>
      <c r="E84" s="37">
        <v>78478.516816500996</v>
      </c>
      <c r="F84" s="37">
        <v>1509710.9676034499</v>
      </c>
      <c r="G84">
        <f>SUM(A84:C84)</f>
        <v>191474.50445168791</v>
      </c>
      <c r="H84">
        <f>SUM(D84:F84)</f>
        <v>1775886.8124954188</v>
      </c>
    </row>
    <row r="85" spans="1:8" x14ac:dyDescent="0.3">
      <c r="A85" s="37">
        <v>43163.914328471001</v>
      </c>
      <c r="B85" s="37">
        <v>34814.142864069901</v>
      </c>
      <c r="C85" s="37">
        <v>113496.447259147</v>
      </c>
      <c r="D85" s="37">
        <v>187697.32807546799</v>
      </c>
      <c r="E85" s="37">
        <v>78478.516816500996</v>
      </c>
      <c r="F85" s="37">
        <v>1509710.9676034499</v>
      </c>
      <c r="G85" s="24">
        <f t="shared" ref="G85:G96" si="6">SUM(A85:C85)</f>
        <v>191474.50445168791</v>
      </c>
      <c r="H85" s="24">
        <f t="shared" ref="H85:H96" si="7">SUM(D85:F85)</f>
        <v>1775886.8124954188</v>
      </c>
    </row>
    <row r="86" spans="1:8" x14ac:dyDescent="0.3">
      <c r="A86" s="37">
        <v>38574.416626852399</v>
      </c>
      <c r="B86" s="37">
        <v>0</v>
      </c>
      <c r="C86" s="37">
        <v>110634.372460467</v>
      </c>
      <c r="D86" s="37">
        <v>144928.38419398299</v>
      </c>
      <c r="E86" s="37">
        <v>0</v>
      </c>
      <c r="F86" s="37">
        <v>1041452.25937157</v>
      </c>
      <c r="G86" s="24">
        <f t="shared" si="6"/>
        <v>149208.7890873194</v>
      </c>
      <c r="H86" s="24">
        <f t="shared" si="7"/>
        <v>1186380.643565553</v>
      </c>
    </row>
    <row r="87" spans="1:8" x14ac:dyDescent="0.3">
      <c r="A87" s="37">
        <v>38574.416626852399</v>
      </c>
      <c r="B87" s="37">
        <v>0</v>
      </c>
      <c r="C87" s="37">
        <v>110634.372460467</v>
      </c>
      <c r="D87" s="37">
        <v>144928.38419398299</v>
      </c>
      <c r="E87" s="37">
        <v>0</v>
      </c>
      <c r="F87" s="37">
        <v>1041452.25937157</v>
      </c>
      <c r="G87" s="24">
        <f t="shared" si="6"/>
        <v>149208.7890873194</v>
      </c>
      <c r="H87" s="24">
        <f t="shared" si="7"/>
        <v>1186380.643565553</v>
      </c>
    </row>
    <row r="88" spans="1:8" x14ac:dyDescent="0.3">
      <c r="A88" s="37">
        <v>43163.914328471001</v>
      </c>
      <c r="B88" s="37">
        <v>34814.142864069901</v>
      </c>
      <c r="C88" s="37">
        <v>113496.447259147</v>
      </c>
      <c r="D88" s="37">
        <v>187697.32807546799</v>
      </c>
      <c r="E88" s="37">
        <v>78478.516816500996</v>
      </c>
      <c r="F88" s="37">
        <v>1509710.9676034499</v>
      </c>
      <c r="G88" s="24">
        <f t="shared" si="6"/>
        <v>191474.50445168791</v>
      </c>
      <c r="H88" s="24">
        <f t="shared" si="7"/>
        <v>1775886.8124954188</v>
      </c>
    </row>
    <row r="89" spans="1:8" x14ac:dyDescent="0.3">
      <c r="A89" s="37">
        <v>43163.914328471001</v>
      </c>
      <c r="B89" s="37">
        <v>34814.142864069901</v>
      </c>
      <c r="C89" s="37">
        <v>113496.447259147</v>
      </c>
      <c r="D89" s="37">
        <v>187697.32807546799</v>
      </c>
      <c r="E89" s="37">
        <v>78478.516816500996</v>
      </c>
      <c r="F89" s="37">
        <v>1509710.9676034499</v>
      </c>
      <c r="G89" s="24">
        <f t="shared" si="6"/>
        <v>191474.50445168791</v>
      </c>
      <c r="H89" s="24">
        <f t="shared" si="7"/>
        <v>1775886.8124954188</v>
      </c>
    </row>
    <row r="90" spans="1:8" x14ac:dyDescent="0.3">
      <c r="A90" s="37">
        <v>43163.914328471001</v>
      </c>
      <c r="B90" s="37">
        <v>34814.142864069901</v>
      </c>
      <c r="C90" s="37">
        <v>113496.447259147</v>
      </c>
      <c r="D90" s="37">
        <v>187697.32807546799</v>
      </c>
      <c r="E90" s="37">
        <v>78478.516816500996</v>
      </c>
      <c r="F90" s="37">
        <v>1509710.9676034499</v>
      </c>
      <c r="G90" s="24">
        <f t="shared" si="6"/>
        <v>191474.50445168791</v>
      </c>
      <c r="H90" s="24">
        <f t="shared" si="7"/>
        <v>1775886.8124954188</v>
      </c>
    </row>
    <row r="91" spans="1:8" x14ac:dyDescent="0.3">
      <c r="A91" s="37">
        <v>38574.416626852399</v>
      </c>
      <c r="B91" s="37">
        <v>0</v>
      </c>
      <c r="C91" s="37">
        <v>110634.372460467</v>
      </c>
      <c r="D91" s="37">
        <v>144928.38419398299</v>
      </c>
      <c r="E91" s="37">
        <v>0</v>
      </c>
      <c r="F91" s="37">
        <v>1041452.25937157</v>
      </c>
      <c r="G91" s="24">
        <f t="shared" si="6"/>
        <v>149208.7890873194</v>
      </c>
      <c r="H91" s="24">
        <f t="shared" si="7"/>
        <v>1186380.643565553</v>
      </c>
    </row>
    <row r="92" spans="1:8" x14ac:dyDescent="0.3">
      <c r="A92" s="37">
        <v>19802.896521245599</v>
      </c>
      <c r="B92" s="37">
        <v>50641.171791515597</v>
      </c>
      <c r="C92" s="37">
        <v>115067.01730572501</v>
      </c>
      <c r="D92" s="37">
        <v>46262.984465988302</v>
      </c>
      <c r="E92" s="37">
        <v>102172.280668636</v>
      </c>
      <c r="F92" s="37">
        <v>1544140.8019904599</v>
      </c>
      <c r="G92" s="24">
        <f t="shared" si="6"/>
        <v>185511.08561848622</v>
      </c>
      <c r="H92" s="24">
        <f t="shared" si="7"/>
        <v>1692576.0671250841</v>
      </c>
    </row>
    <row r="93" spans="1:8" x14ac:dyDescent="0.3">
      <c r="A93" s="37">
        <v>7039.7238495865004</v>
      </c>
      <c r="B93" s="37">
        <v>50641.171791515597</v>
      </c>
      <c r="C93" s="37">
        <v>115067.01730572501</v>
      </c>
      <c r="D93" s="37">
        <v>46262.984465988302</v>
      </c>
      <c r="E93" s="37">
        <v>102172.280668636</v>
      </c>
      <c r="F93" s="37">
        <v>1544140.8019904599</v>
      </c>
      <c r="G93" s="24">
        <f t="shared" si="6"/>
        <v>172747.9129468271</v>
      </c>
      <c r="H93" s="24">
        <f t="shared" si="7"/>
        <v>1692576.0671250841</v>
      </c>
    </row>
    <row r="94" spans="1:8" x14ac:dyDescent="0.3">
      <c r="A94" s="37">
        <v>7039.7238495865004</v>
      </c>
      <c r="B94" s="37">
        <v>50641.171791515597</v>
      </c>
      <c r="C94" s="37">
        <v>115067.01730572501</v>
      </c>
      <c r="D94" s="37">
        <v>46262.984465988302</v>
      </c>
      <c r="E94" s="37">
        <v>102172.280668636</v>
      </c>
      <c r="F94" s="37">
        <v>1544140.8019904599</v>
      </c>
      <c r="G94" s="24">
        <f t="shared" si="6"/>
        <v>172747.9129468271</v>
      </c>
      <c r="H94" s="24">
        <f t="shared" si="7"/>
        <v>1692576.0671250841</v>
      </c>
    </row>
    <row r="95" spans="1:8" x14ac:dyDescent="0.3">
      <c r="A95" s="37">
        <v>7039.7238495865004</v>
      </c>
      <c r="B95" s="37">
        <v>50641.171791515597</v>
      </c>
      <c r="C95" s="37">
        <v>115067.01730572501</v>
      </c>
      <c r="D95" s="37">
        <v>46262.984465988302</v>
      </c>
      <c r="E95" s="37">
        <v>102172.280668636</v>
      </c>
      <c r="F95" s="37">
        <v>1544140.8019904599</v>
      </c>
      <c r="G95" s="24">
        <f t="shared" si="6"/>
        <v>172747.9129468271</v>
      </c>
      <c r="H95" s="24">
        <f t="shared" si="7"/>
        <v>1692576.0671250841</v>
      </c>
    </row>
    <row r="96" spans="1:8" x14ac:dyDescent="0.3">
      <c r="A96" s="37">
        <v>7039.7238495865004</v>
      </c>
      <c r="B96" s="37">
        <v>50641.171791515597</v>
      </c>
      <c r="C96" s="37">
        <v>115067.01730572501</v>
      </c>
      <c r="D96" s="37">
        <v>46262.984465988302</v>
      </c>
      <c r="E96" s="37">
        <v>102172.280668636</v>
      </c>
      <c r="F96" s="37">
        <v>1544140.8019904599</v>
      </c>
      <c r="G96" s="24">
        <f t="shared" si="6"/>
        <v>172747.9129468271</v>
      </c>
      <c r="H96" s="24">
        <f t="shared" si="7"/>
        <v>1692576.0671250841</v>
      </c>
    </row>
    <row r="97" spans="6:6" x14ac:dyDescent="0.3">
      <c r="F97" s="24">
        <f t="shared" si="4"/>
        <v>0</v>
      </c>
    </row>
    <row r="98" spans="6:6" x14ac:dyDescent="0.3">
      <c r="F98" s="24">
        <f t="shared" si="4"/>
        <v>0</v>
      </c>
    </row>
    <row r="99" spans="6:6" x14ac:dyDescent="0.3">
      <c r="F99" s="24">
        <f t="shared" si="4"/>
        <v>0</v>
      </c>
    </row>
    <row r="100" spans="6:6" x14ac:dyDescent="0.3">
      <c r="F100" s="24">
        <f t="shared" si="4"/>
        <v>0</v>
      </c>
    </row>
    <row r="101" spans="6:6" x14ac:dyDescent="0.3">
      <c r="F101" s="24">
        <f t="shared" si="4"/>
        <v>0</v>
      </c>
    </row>
    <row r="102" spans="6:6" x14ac:dyDescent="0.3">
      <c r="F102" s="24">
        <f t="shared" si="4"/>
        <v>0</v>
      </c>
    </row>
    <row r="103" spans="6:6" x14ac:dyDescent="0.3">
      <c r="F103" s="24">
        <f t="shared" si="4"/>
        <v>0</v>
      </c>
    </row>
    <row r="104" spans="6:6" x14ac:dyDescent="0.3">
      <c r="F104" s="24">
        <f t="shared" si="4"/>
        <v>0</v>
      </c>
    </row>
    <row r="105" spans="6:6" x14ac:dyDescent="0.3">
      <c r="F105" s="24">
        <f t="shared" si="4"/>
        <v>0</v>
      </c>
    </row>
    <row r="106" spans="6:6" x14ac:dyDescent="0.3">
      <c r="F106" s="24">
        <f t="shared" si="4"/>
        <v>0</v>
      </c>
    </row>
    <row r="107" spans="6:6" x14ac:dyDescent="0.3">
      <c r="F107" s="24">
        <f t="shared" si="4"/>
        <v>0</v>
      </c>
    </row>
    <row r="108" spans="6:6" x14ac:dyDescent="0.3">
      <c r="F108" s="24">
        <f t="shared" si="4"/>
        <v>0</v>
      </c>
    </row>
    <row r="109" spans="6:6" x14ac:dyDescent="0.3">
      <c r="F109" s="24">
        <f t="shared" si="4"/>
        <v>0</v>
      </c>
    </row>
    <row r="110" spans="6:6" x14ac:dyDescent="0.3">
      <c r="F110" s="24">
        <f t="shared" si="4"/>
        <v>0</v>
      </c>
    </row>
    <row r="111" spans="6:6" x14ac:dyDescent="0.3">
      <c r="F111" s="24">
        <f t="shared" si="4"/>
        <v>0</v>
      </c>
    </row>
    <row r="112" spans="6:6" x14ac:dyDescent="0.3">
      <c r="F112" s="24">
        <f t="shared" si="4"/>
        <v>0</v>
      </c>
    </row>
    <row r="113" spans="6:6" x14ac:dyDescent="0.3">
      <c r="F113" s="24">
        <f t="shared" si="4"/>
        <v>0</v>
      </c>
    </row>
    <row r="114" spans="6:6" x14ac:dyDescent="0.3">
      <c r="F114" s="24">
        <f t="shared" si="4"/>
        <v>0</v>
      </c>
    </row>
    <row r="115" spans="6:6" x14ac:dyDescent="0.3">
      <c r="F115" s="24">
        <f t="shared" si="4"/>
        <v>0</v>
      </c>
    </row>
    <row r="116" spans="6:6" x14ac:dyDescent="0.3">
      <c r="F116" s="24">
        <f t="shared" si="4"/>
        <v>0</v>
      </c>
    </row>
    <row r="117" spans="6:6" x14ac:dyDescent="0.3">
      <c r="F117" s="24">
        <f t="shared" si="4"/>
        <v>0</v>
      </c>
    </row>
    <row r="118" spans="6:6" x14ac:dyDescent="0.3">
      <c r="F118" s="24">
        <f t="shared" si="4"/>
        <v>0</v>
      </c>
    </row>
    <row r="119" spans="6:6" x14ac:dyDescent="0.3">
      <c r="F119" s="24">
        <f t="shared" si="4"/>
        <v>0</v>
      </c>
    </row>
    <row r="120" spans="6:6" x14ac:dyDescent="0.3">
      <c r="F120" s="24">
        <f t="shared" si="4"/>
        <v>0</v>
      </c>
    </row>
    <row r="121" spans="6:6" x14ac:dyDescent="0.3">
      <c r="F121" s="24">
        <f t="shared" ref="F121:F184" si="8">D67</f>
        <v>0</v>
      </c>
    </row>
    <row r="122" spans="6:6" x14ac:dyDescent="0.3">
      <c r="F122" s="24">
        <f t="shared" si="8"/>
        <v>0</v>
      </c>
    </row>
    <row r="123" spans="6:6" x14ac:dyDescent="0.3">
      <c r="F123" s="24">
        <f t="shared" si="8"/>
        <v>0</v>
      </c>
    </row>
    <row r="124" spans="6:6" x14ac:dyDescent="0.3">
      <c r="F124" s="24">
        <f t="shared" si="8"/>
        <v>0</v>
      </c>
    </row>
    <row r="125" spans="6:6" x14ac:dyDescent="0.3">
      <c r="F125" s="24">
        <f t="shared" si="8"/>
        <v>0</v>
      </c>
    </row>
    <row r="126" spans="6:6" x14ac:dyDescent="0.3">
      <c r="F126" s="24">
        <f t="shared" si="8"/>
        <v>0</v>
      </c>
    </row>
    <row r="127" spans="6:6" x14ac:dyDescent="0.3">
      <c r="F127" s="24">
        <f t="shared" si="8"/>
        <v>0</v>
      </c>
    </row>
    <row r="128" spans="6:6" x14ac:dyDescent="0.3">
      <c r="F128" s="24">
        <f t="shared" si="8"/>
        <v>0</v>
      </c>
    </row>
    <row r="129" spans="6:6" x14ac:dyDescent="0.3">
      <c r="F129" s="24">
        <f t="shared" si="8"/>
        <v>0</v>
      </c>
    </row>
    <row r="130" spans="6:6" x14ac:dyDescent="0.3">
      <c r="F130" s="24">
        <f t="shared" si="8"/>
        <v>0</v>
      </c>
    </row>
    <row r="131" spans="6:6" x14ac:dyDescent="0.3">
      <c r="F131" s="24">
        <f t="shared" si="8"/>
        <v>0</v>
      </c>
    </row>
    <row r="132" spans="6:6" x14ac:dyDescent="0.3">
      <c r="F132" s="24">
        <f t="shared" si="8"/>
        <v>0</v>
      </c>
    </row>
    <row r="133" spans="6:6" x14ac:dyDescent="0.3">
      <c r="F133" s="24">
        <f t="shared" si="8"/>
        <v>0</v>
      </c>
    </row>
    <row r="134" spans="6:6" x14ac:dyDescent="0.3">
      <c r="F134" s="24">
        <f t="shared" si="8"/>
        <v>0</v>
      </c>
    </row>
    <row r="135" spans="6:6" x14ac:dyDescent="0.3">
      <c r="F135" s="24">
        <f t="shared" si="8"/>
        <v>0</v>
      </c>
    </row>
    <row r="136" spans="6:6" x14ac:dyDescent="0.3">
      <c r="F136" s="24">
        <f t="shared" si="8"/>
        <v>0</v>
      </c>
    </row>
    <row r="137" spans="6:6" x14ac:dyDescent="0.3">
      <c r="F137" s="24">
        <f t="shared" si="8"/>
        <v>0</v>
      </c>
    </row>
    <row r="138" spans="6:6" x14ac:dyDescent="0.3">
      <c r="F138" s="24">
        <f t="shared" si="8"/>
        <v>187697.32807546799</v>
      </c>
    </row>
    <row r="139" spans="6:6" x14ac:dyDescent="0.3">
      <c r="F139" s="24">
        <f t="shared" si="8"/>
        <v>187697.32807546799</v>
      </c>
    </row>
    <row r="140" spans="6:6" x14ac:dyDescent="0.3">
      <c r="F140" s="24">
        <f t="shared" si="8"/>
        <v>144928.38419398299</v>
      </c>
    </row>
    <row r="141" spans="6:6" x14ac:dyDescent="0.3">
      <c r="F141" s="24">
        <f t="shared" si="8"/>
        <v>144928.38419398299</v>
      </c>
    </row>
    <row r="142" spans="6:6" x14ac:dyDescent="0.3">
      <c r="F142" s="24">
        <f t="shared" si="8"/>
        <v>187697.32807546799</v>
      </c>
    </row>
    <row r="143" spans="6:6" x14ac:dyDescent="0.3">
      <c r="F143" s="24">
        <f t="shared" si="8"/>
        <v>187697.32807546799</v>
      </c>
    </row>
    <row r="144" spans="6:6" x14ac:dyDescent="0.3">
      <c r="F144" s="24">
        <f t="shared" si="8"/>
        <v>187697.32807546799</v>
      </c>
    </row>
    <row r="145" spans="6:6" x14ac:dyDescent="0.3">
      <c r="F145" s="24">
        <f t="shared" si="8"/>
        <v>144928.38419398299</v>
      </c>
    </row>
    <row r="146" spans="6:6" x14ac:dyDescent="0.3">
      <c r="F146" s="24">
        <f t="shared" si="8"/>
        <v>46262.984465988302</v>
      </c>
    </row>
    <row r="147" spans="6:6" x14ac:dyDescent="0.3">
      <c r="F147" s="24">
        <f t="shared" si="8"/>
        <v>46262.984465988302</v>
      </c>
    </row>
    <row r="148" spans="6:6" x14ac:dyDescent="0.3">
      <c r="F148" s="24">
        <f t="shared" si="8"/>
        <v>46262.984465988302</v>
      </c>
    </row>
    <row r="149" spans="6:6" x14ac:dyDescent="0.3">
      <c r="F149" s="24">
        <f t="shared" si="8"/>
        <v>46262.984465988302</v>
      </c>
    </row>
    <row r="150" spans="6:6" x14ac:dyDescent="0.3">
      <c r="F150" s="24">
        <f t="shared" si="8"/>
        <v>46262.984465988302</v>
      </c>
    </row>
    <row r="151" spans="6:6" x14ac:dyDescent="0.3">
      <c r="F151" s="24">
        <f t="shared" si="8"/>
        <v>0</v>
      </c>
    </row>
    <row r="152" spans="6:6" x14ac:dyDescent="0.3">
      <c r="F152" s="24">
        <f t="shared" si="8"/>
        <v>0</v>
      </c>
    </row>
    <row r="153" spans="6:6" x14ac:dyDescent="0.3">
      <c r="F153" s="24">
        <f t="shared" si="8"/>
        <v>0</v>
      </c>
    </row>
    <row r="154" spans="6:6" x14ac:dyDescent="0.3">
      <c r="F154" s="24">
        <f t="shared" si="8"/>
        <v>0</v>
      </c>
    </row>
    <row r="155" spans="6:6" x14ac:dyDescent="0.3">
      <c r="F155" s="24">
        <f t="shared" si="8"/>
        <v>0</v>
      </c>
    </row>
    <row r="156" spans="6:6" x14ac:dyDescent="0.3">
      <c r="F156" s="24">
        <f t="shared" si="8"/>
        <v>0</v>
      </c>
    </row>
    <row r="157" spans="6:6" x14ac:dyDescent="0.3">
      <c r="F157" s="24">
        <f t="shared" si="8"/>
        <v>0</v>
      </c>
    </row>
    <row r="158" spans="6:6" x14ac:dyDescent="0.3">
      <c r="F158" s="24">
        <f t="shared" si="8"/>
        <v>0</v>
      </c>
    </row>
    <row r="159" spans="6:6" x14ac:dyDescent="0.3">
      <c r="F159" s="24">
        <f t="shared" si="8"/>
        <v>0</v>
      </c>
    </row>
    <row r="160" spans="6:6" x14ac:dyDescent="0.3">
      <c r="F160" s="24">
        <f t="shared" si="8"/>
        <v>0</v>
      </c>
    </row>
    <row r="161" spans="6:6" x14ac:dyDescent="0.3">
      <c r="F161" s="24">
        <f t="shared" si="8"/>
        <v>0</v>
      </c>
    </row>
    <row r="162" spans="6:6" x14ac:dyDescent="0.3">
      <c r="F162" s="24">
        <f t="shared" si="8"/>
        <v>0</v>
      </c>
    </row>
    <row r="163" spans="6:6" x14ac:dyDescent="0.3">
      <c r="F163" s="24">
        <f t="shared" si="8"/>
        <v>0</v>
      </c>
    </row>
    <row r="164" spans="6:6" x14ac:dyDescent="0.3">
      <c r="F164" s="24">
        <f t="shared" si="8"/>
        <v>0</v>
      </c>
    </row>
    <row r="165" spans="6:6" x14ac:dyDescent="0.3">
      <c r="F165" s="24">
        <f t="shared" si="8"/>
        <v>0</v>
      </c>
    </row>
    <row r="166" spans="6:6" x14ac:dyDescent="0.3">
      <c r="F166" s="24">
        <f t="shared" si="8"/>
        <v>0</v>
      </c>
    </row>
    <row r="167" spans="6:6" x14ac:dyDescent="0.3">
      <c r="F167" s="24">
        <f t="shared" si="8"/>
        <v>0</v>
      </c>
    </row>
    <row r="168" spans="6:6" x14ac:dyDescent="0.3">
      <c r="F168" s="24">
        <f t="shared" si="8"/>
        <v>0</v>
      </c>
    </row>
    <row r="169" spans="6:6" x14ac:dyDescent="0.3">
      <c r="F169" s="24">
        <f t="shared" si="8"/>
        <v>0</v>
      </c>
    </row>
    <row r="170" spans="6:6" x14ac:dyDescent="0.3">
      <c r="F170" s="24">
        <f t="shared" si="8"/>
        <v>0</v>
      </c>
    </row>
    <row r="171" spans="6:6" x14ac:dyDescent="0.3">
      <c r="F171" s="24">
        <f t="shared" si="8"/>
        <v>0</v>
      </c>
    </row>
    <row r="172" spans="6:6" x14ac:dyDescent="0.3">
      <c r="F172" s="24">
        <f t="shared" si="8"/>
        <v>0</v>
      </c>
    </row>
    <row r="173" spans="6:6" x14ac:dyDescent="0.3">
      <c r="F173" s="24">
        <f t="shared" si="8"/>
        <v>0</v>
      </c>
    </row>
    <row r="174" spans="6:6" x14ac:dyDescent="0.3">
      <c r="F174" s="24">
        <f t="shared" si="8"/>
        <v>0</v>
      </c>
    </row>
    <row r="175" spans="6:6" x14ac:dyDescent="0.3">
      <c r="F175" s="24">
        <f t="shared" si="8"/>
        <v>0</v>
      </c>
    </row>
    <row r="176" spans="6:6" x14ac:dyDescent="0.3">
      <c r="F176" s="24">
        <f t="shared" si="8"/>
        <v>0</v>
      </c>
    </row>
    <row r="177" spans="6:6" x14ac:dyDescent="0.3">
      <c r="F177" s="24">
        <f t="shared" si="8"/>
        <v>0</v>
      </c>
    </row>
    <row r="178" spans="6:6" x14ac:dyDescent="0.3">
      <c r="F178" s="24">
        <f t="shared" si="8"/>
        <v>0</v>
      </c>
    </row>
    <row r="179" spans="6:6" x14ac:dyDescent="0.3">
      <c r="F179" s="24">
        <f t="shared" si="8"/>
        <v>0</v>
      </c>
    </row>
    <row r="180" spans="6:6" x14ac:dyDescent="0.3">
      <c r="F180" s="24">
        <f t="shared" si="8"/>
        <v>0</v>
      </c>
    </row>
    <row r="181" spans="6:6" x14ac:dyDescent="0.3">
      <c r="F181" s="24">
        <f t="shared" si="8"/>
        <v>0</v>
      </c>
    </row>
    <row r="182" spans="6:6" x14ac:dyDescent="0.3">
      <c r="F182" s="24">
        <f t="shared" si="8"/>
        <v>0</v>
      </c>
    </row>
    <row r="183" spans="6:6" x14ac:dyDescent="0.3">
      <c r="F183" s="24">
        <f t="shared" si="8"/>
        <v>0</v>
      </c>
    </row>
    <row r="184" spans="6:6" x14ac:dyDescent="0.3">
      <c r="F184" s="24">
        <f t="shared" si="8"/>
        <v>0</v>
      </c>
    </row>
    <row r="185" spans="6:6" x14ac:dyDescent="0.3">
      <c r="F185" s="24">
        <f t="shared" ref="F185:F239" si="9">D131</f>
        <v>0</v>
      </c>
    </row>
    <row r="186" spans="6:6" x14ac:dyDescent="0.3">
      <c r="F186" s="24">
        <f t="shared" si="9"/>
        <v>0</v>
      </c>
    </row>
    <row r="187" spans="6:6" x14ac:dyDescent="0.3">
      <c r="F187" s="24">
        <f t="shared" si="9"/>
        <v>0</v>
      </c>
    </row>
    <row r="188" spans="6:6" x14ac:dyDescent="0.3">
      <c r="F188" s="24">
        <f t="shared" si="9"/>
        <v>0</v>
      </c>
    </row>
    <row r="189" spans="6:6" x14ac:dyDescent="0.3">
      <c r="F189" s="24">
        <f t="shared" si="9"/>
        <v>0</v>
      </c>
    </row>
    <row r="190" spans="6:6" x14ac:dyDescent="0.3">
      <c r="F190" s="24">
        <f t="shared" si="9"/>
        <v>0</v>
      </c>
    </row>
    <row r="191" spans="6:6" x14ac:dyDescent="0.3">
      <c r="F191" s="24">
        <f t="shared" si="9"/>
        <v>0</v>
      </c>
    </row>
    <row r="192" spans="6:6" x14ac:dyDescent="0.3">
      <c r="F192" s="24">
        <f t="shared" si="9"/>
        <v>0</v>
      </c>
    </row>
    <row r="193" spans="6:6" x14ac:dyDescent="0.3">
      <c r="F193" s="24">
        <f t="shared" si="9"/>
        <v>0</v>
      </c>
    </row>
    <row r="194" spans="6:6" x14ac:dyDescent="0.3">
      <c r="F194" s="24">
        <f t="shared" si="9"/>
        <v>0</v>
      </c>
    </row>
    <row r="195" spans="6:6" x14ac:dyDescent="0.3">
      <c r="F195" s="24">
        <f t="shared" si="9"/>
        <v>0</v>
      </c>
    </row>
    <row r="196" spans="6:6" x14ac:dyDescent="0.3">
      <c r="F196" s="24">
        <f t="shared" si="9"/>
        <v>0</v>
      </c>
    </row>
    <row r="197" spans="6:6" x14ac:dyDescent="0.3">
      <c r="F197" s="24">
        <f t="shared" si="9"/>
        <v>0</v>
      </c>
    </row>
    <row r="198" spans="6:6" x14ac:dyDescent="0.3">
      <c r="F198" s="24">
        <f t="shared" si="9"/>
        <v>0</v>
      </c>
    </row>
    <row r="199" spans="6:6" x14ac:dyDescent="0.3">
      <c r="F199" s="24">
        <f t="shared" si="9"/>
        <v>0</v>
      </c>
    </row>
    <row r="200" spans="6:6" x14ac:dyDescent="0.3">
      <c r="F200" s="24">
        <f t="shared" si="9"/>
        <v>0</v>
      </c>
    </row>
    <row r="201" spans="6:6" x14ac:dyDescent="0.3">
      <c r="F201" s="24">
        <f t="shared" si="9"/>
        <v>0</v>
      </c>
    </row>
    <row r="202" spans="6:6" x14ac:dyDescent="0.3">
      <c r="F202" s="24">
        <f t="shared" si="9"/>
        <v>0</v>
      </c>
    </row>
    <row r="203" spans="6:6" x14ac:dyDescent="0.3">
      <c r="F203" s="24">
        <f t="shared" si="9"/>
        <v>0</v>
      </c>
    </row>
    <row r="204" spans="6:6" x14ac:dyDescent="0.3">
      <c r="F204" s="24">
        <f t="shared" si="9"/>
        <v>0</v>
      </c>
    </row>
    <row r="205" spans="6:6" x14ac:dyDescent="0.3">
      <c r="F205" s="24">
        <f t="shared" si="9"/>
        <v>0</v>
      </c>
    </row>
    <row r="206" spans="6:6" x14ac:dyDescent="0.3">
      <c r="F206" s="24">
        <f t="shared" si="9"/>
        <v>0</v>
      </c>
    </row>
    <row r="207" spans="6:6" x14ac:dyDescent="0.3">
      <c r="F207" s="24">
        <f t="shared" si="9"/>
        <v>0</v>
      </c>
    </row>
    <row r="208" spans="6:6" x14ac:dyDescent="0.3">
      <c r="F208" s="24">
        <f t="shared" si="9"/>
        <v>0</v>
      </c>
    </row>
    <row r="209" spans="6:6" x14ac:dyDescent="0.3">
      <c r="F209" s="24">
        <f t="shared" si="9"/>
        <v>0</v>
      </c>
    </row>
    <row r="210" spans="6:6" x14ac:dyDescent="0.3">
      <c r="F210" s="24">
        <f t="shared" si="9"/>
        <v>0</v>
      </c>
    </row>
    <row r="211" spans="6:6" x14ac:dyDescent="0.3">
      <c r="F211" s="24">
        <f t="shared" si="9"/>
        <v>0</v>
      </c>
    </row>
    <row r="212" spans="6:6" x14ac:dyDescent="0.3">
      <c r="F212" s="24">
        <f t="shared" si="9"/>
        <v>0</v>
      </c>
    </row>
    <row r="213" spans="6:6" x14ac:dyDescent="0.3">
      <c r="F213" s="24">
        <f t="shared" si="9"/>
        <v>0</v>
      </c>
    </row>
    <row r="214" spans="6:6" x14ac:dyDescent="0.3">
      <c r="F214" s="24">
        <f t="shared" si="9"/>
        <v>0</v>
      </c>
    </row>
    <row r="215" spans="6:6" x14ac:dyDescent="0.3">
      <c r="F215" s="24">
        <f t="shared" si="9"/>
        <v>0</v>
      </c>
    </row>
    <row r="216" spans="6:6" x14ac:dyDescent="0.3">
      <c r="F216" s="24">
        <f t="shared" si="9"/>
        <v>0</v>
      </c>
    </row>
    <row r="217" spans="6:6" x14ac:dyDescent="0.3">
      <c r="F217" s="24">
        <f t="shared" si="9"/>
        <v>0</v>
      </c>
    </row>
    <row r="218" spans="6:6" x14ac:dyDescent="0.3">
      <c r="F218" s="24">
        <f t="shared" si="9"/>
        <v>0</v>
      </c>
    </row>
    <row r="219" spans="6:6" x14ac:dyDescent="0.3">
      <c r="F219" s="24">
        <f t="shared" si="9"/>
        <v>0</v>
      </c>
    </row>
    <row r="220" spans="6:6" x14ac:dyDescent="0.3">
      <c r="F220" s="24">
        <f t="shared" si="9"/>
        <v>0</v>
      </c>
    </row>
    <row r="221" spans="6:6" x14ac:dyDescent="0.3">
      <c r="F221" s="24">
        <f t="shared" si="9"/>
        <v>0</v>
      </c>
    </row>
    <row r="222" spans="6:6" x14ac:dyDescent="0.3">
      <c r="F222" s="24">
        <f t="shared" si="9"/>
        <v>0</v>
      </c>
    </row>
    <row r="223" spans="6:6" x14ac:dyDescent="0.3">
      <c r="F223" s="24">
        <f t="shared" si="9"/>
        <v>0</v>
      </c>
    </row>
    <row r="224" spans="6:6" x14ac:dyDescent="0.3">
      <c r="F224" s="24">
        <f t="shared" si="9"/>
        <v>0</v>
      </c>
    </row>
    <row r="225" spans="6:6" x14ac:dyDescent="0.3">
      <c r="F225" s="24">
        <f t="shared" si="9"/>
        <v>0</v>
      </c>
    </row>
    <row r="226" spans="6:6" x14ac:dyDescent="0.3">
      <c r="F226" s="24">
        <f t="shared" si="9"/>
        <v>0</v>
      </c>
    </row>
    <row r="227" spans="6:6" x14ac:dyDescent="0.3">
      <c r="F227" s="24">
        <f t="shared" si="9"/>
        <v>0</v>
      </c>
    </row>
    <row r="228" spans="6:6" x14ac:dyDescent="0.3">
      <c r="F228" s="24">
        <f t="shared" si="9"/>
        <v>0</v>
      </c>
    </row>
    <row r="229" spans="6:6" x14ac:dyDescent="0.3">
      <c r="F229" s="24">
        <f t="shared" si="9"/>
        <v>0</v>
      </c>
    </row>
    <row r="230" spans="6:6" x14ac:dyDescent="0.3">
      <c r="F230" s="24">
        <f t="shared" si="9"/>
        <v>0</v>
      </c>
    </row>
    <row r="231" spans="6:6" x14ac:dyDescent="0.3">
      <c r="F231" s="24">
        <f t="shared" si="9"/>
        <v>0</v>
      </c>
    </row>
    <row r="232" spans="6:6" x14ac:dyDescent="0.3">
      <c r="F232" s="24">
        <f t="shared" si="9"/>
        <v>0</v>
      </c>
    </row>
    <row r="233" spans="6:6" x14ac:dyDescent="0.3">
      <c r="F233" s="24">
        <f t="shared" si="9"/>
        <v>0</v>
      </c>
    </row>
    <row r="234" spans="6:6" x14ac:dyDescent="0.3">
      <c r="F234" s="24">
        <f t="shared" si="9"/>
        <v>0</v>
      </c>
    </row>
    <row r="235" spans="6:6" x14ac:dyDescent="0.3">
      <c r="F235" s="24">
        <f t="shared" si="9"/>
        <v>0</v>
      </c>
    </row>
    <row r="236" spans="6:6" x14ac:dyDescent="0.3">
      <c r="F236" s="24">
        <f t="shared" si="9"/>
        <v>0</v>
      </c>
    </row>
    <row r="237" spans="6:6" x14ac:dyDescent="0.3">
      <c r="F237" s="24">
        <f t="shared" si="9"/>
        <v>0</v>
      </c>
    </row>
    <row r="238" spans="6:6" x14ac:dyDescent="0.3">
      <c r="F238" s="24">
        <f t="shared" si="9"/>
        <v>0</v>
      </c>
    </row>
    <row r="239" spans="6:6" x14ac:dyDescent="0.3">
      <c r="F239" s="24">
        <f t="shared" si="9"/>
        <v>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zoomScale="90" zoomScaleNormal="90" workbookViewId="0">
      <selection sqref="A1:M14"/>
    </sheetView>
  </sheetViews>
  <sheetFormatPr defaultRowHeight="14.4" x14ac:dyDescent="0.3"/>
  <cols>
    <col min="1" max="1" width="34.6640625" customWidth="1"/>
    <col min="2" max="2" width="29.6640625" customWidth="1"/>
    <col min="3" max="3" width="24.33203125" customWidth="1"/>
    <col min="4" max="4" width="21.88671875" customWidth="1"/>
    <col min="5" max="5" width="21.6640625" customWidth="1"/>
    <col min="6" max="6" width="35.44140625" customWidth="1"/>
    <col min="7" max="7" width="32.109375" customWidth="1"/>
    <col min="8" max="8" width="30.33203125" customWidth="1"/>
    <col min="9" max="9" width="31.33203125" customWidth="1"/>
    <col min="10" max="10" width="15.332031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112</v>
      </c>
      <c r="K1" s="24" t="s">
        <v>57</v>
      </c>
      <c r="L1" s="24" t="s">
        <v>113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71.26*Table7172[[#This Row],[Duct Length]]/50</f>
        <v>220258.5472510673</v>
      </c>
      <c r="E2" s="24">
        <f>9.61*Table7172[[#This Row],[Fiber Length]]/50</f>
        <v>181054.59289743542</v>
      </c>
      <c r="F2" s="24">
        <f>'FTTCab GPON 26 Mbps'!B$20</f>
        <v>14500</v>
      </c>
      <c r="G2" s="24">
        <f>'FTTCab GPON 26 Mbps'!C$20</f>
        <v>276148.8</v>
      </c>
      <c r="H2" s="24">
        <f>'FTTCab GPON 26 Mbps'!D$20</f>
        <v>0</v>
      </c>
      <c r="I2" s="24">
        <f>SUM(Table7172[[#This Row],[Duct Cost]:[Building E&amp;I Costs]])</f>
        <v>691961.9401485027</v>
      </c>
      <c r="J2" s="24">
        <f t="shared" ref="J2:J14" si="0">I2*50</f>
        <v>34598097.007425137</v>
      </c>
      <c r="K2" s="24">
        <v>29262</v>
      </c>
      <c r="L2" s="24">
        <f>J2/K2</f>
        <v>1182.3558542623587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71.26*Table7172[[#This Row],[Duct Length]]/50</f>
        <v>220258.5472510673</v>
      </c>
      <c r="E3" s="24">
        <f>9.61*Table7172[[#This Row],[Fiber Length]]/50</f>
        <v>123148.20881095782</v>
      </c>
      <c r="F3" s="24">
        <f>'FTTB XGPON 50 Mbps'!B$19</f>
        <v>18100</v>
      </c>
      <c r="G3" s="24">
        <f>'FTTB XGPON 50 Mbps'!C$19</f>
        <v>1658.4</v>
      </c>
      <c r="H3" s="24">
        <f>'FTTB XGPON 50 Mbps'!D$19</f>
        <v>204800</v>
      </c>
      <c r="I3" s="24">
        <f>SUM(Table7172[[#This Row],[Duct Cost]:[Building E&amp;I Costs]])</f>
        <v>567965.15606202511</v>
      </c>
      <c r="J3" s="24">
        <f t="shared" si="0"/>
        <v>28398257.803101256</v>
      </c>
      <c r="K3" s="24">
        <v>29262</v>
      </c>
      <c r="L3" s="24">
        <f t="shared" ref="L3:L6" si="1">J3/K3</f>
        <v>970.48246200195672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71.26*Table7172[[#This Row],[Duct Length]]/50</f>
        <v>136195.87571102803</v>
      </c>
      <c r="E4" s="24">
        <f>9.61*Table7172[[#This Row],[Fiber Length]]/50</f>
        <v>140422.50368463391</v>
      </c>
      <c r="F4" s="24">
        <f>'FTTB WR-WDMPON 50 Mbps'!B$17</f>
        <v>28200</v>
      </c>
      <c r="G4" s="24">
        <f>'FTTB WR-WDMPON 50 Mbps'!C$17</f>
        <v>160</v>
      </c>
      <c r="H4" s="24">
        <f>'FTTB WR-WDMPON 50 Mbps'!D$17</f>
        <v>213600</v>
      </c>
      <c r="I4" s="24">
        <f>SUM(Table7172[[#This Row],[Duct Cost]:[Building E&amp;I Costs]])</f>
        <v>518578.37939566193</v>
      </c>
      <c r="J4" s="24">
        <f t="shared" si="0"/>
        <v>25928918.969783098</v>
      </c>
      <c r="K4" s="24">
        <v>29262</v>
      </c>
      <c r="L4" s="24">
        <f t="shared" si="1"/>
        <v>886.09524194460721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71.26*Table7172[[#This Row],[Duct Length]]/50</f>
        <v>136195.87571102803</v>
      </c>
      <c r="E5" s="24">
        <f>9.61*Table7172[[#This Row],[Fiber Length]]/50</f>
        <v>140422.50368463391</v>
      </c>
      <c r="F5" s="24">
        <f>'FTTH WR-WDMPON 100 Mbps'!B$17</f>
        <v>28200</v>
      </c>
      <c r="G5" s="24">
        <f>'FTTH WR-WDMPON 100 Mbps'!C$17</f>
        <v>160</v>
      </c>
      <c r="H5" s="24">
        <f>'FTTH WR-WDMPON 100 Mbps'!D$17</f>
        <v>316800</v>
      </c>
      <c r="I5" s="24">
        <f>SUM(Table7172[[#This Row],[Duct Cost]:[Building E&amp;I Costs]])</f>
        <v>621778.37939566188</v>
      </c>
      <c r="J5" s="24">
        <f t="shared" si="0"/>
        <v>31088918.969783094</v>
      </c>
      <c r="K5" s="24">
        <v>29262</v>
      </c>
      <c r="L5" s="24">
        <f t="shared" si="1"/>
        <v>1062.4331545958271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71.26*Table7172[[#This Row],[Duct Length]]/50</f>
        <v>220258.5472510673</v>
      </c>
      <c r="E6" s="24">
        <f>9.61*Table7172[[#This Row],[Fiber Length]]/50</f>
        <v>123148.20881095782</v>
      </c>
      <c r="F6" s="24">
        <f>'FTTH XGPON 100 Mbps'!B$19</f>
        <v>240200</v>
      </c>
      <c r="G6" s="24">
        <f>'FTTH XGPON 100 Mbps'!C$19</f>
        <v>51456</v>
      </c>
      <c r="H6" s="24">
        <f>'FTTH XGPON 100 Mbps'!D$19</f>
        <v>316800</v>
      </c>
      <c r="I6" s="24">
        <f>SUM(Table7172[[#This Row],[Duct Cost]:[Building E&amp;I Costs]])</f>
        <v>951862.75606202509</v>
      </c>
      <c r="J6" s="24">
        <f t="shared" si="0"/>
        <v>47593137.803101256</v>
      </c>
      <c r="K6" s="24">
        <v>29262</v>
      </c>
      <c r="L6" s="24">
        <f t="shared" si="1"/>
        <v>1626.4485613799895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71.26*Table7172[[#This Row],[Duct Length]]/50</f>
        <v>220258.5472510673</v>
      </c>
      <c r="E7" s="24">
        <f>9.61*Table7172[[#This Row],[Fiber Length]]/50</f>
        <v>181054.59289743542</v>
      </c>
      <c r="F7" s="24">
        <f>FTTCab_GPON_100!B$18</f>
        <v>17380</v>
      </c>
      <c r="G7" s="24">
        <f>FTTCab_GPON_100!C$18</f>
        <v>347516.4</v>
      </c>
      <c r="H7" s="24">
        <f>FTTCab_GPON_100!D$18</f>
        <v>0</v>
      </c>
      <c r="I7" s="24">
        <f>SUM(Table7172[[#This Row],[Duct Cost]:[Building E&amp;I Costs]])</f>
        <v>766209.54014850268</v>
      </c>
      <c r="J7" s="24">
        <f t="shared" si="0"/>
        <v>38310477.007425137</v>
      </c>
      <c r="K7" s="24">
        <v>29262</v>
      </c>
      <c r="L7" s="24">
        <f>J7/K7</f>
        <v>1309.2227806515323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71.26*Table7172[[#This Row],[Duct Length]]/50</f>
        <v>220258.5472510673</v>
      </c>
      <c r="E8" s="24">
        <f>9.61*Table7172[[#This Row],[Fiber Length]]/50</f>
        <v>123148.20881095782</v>
      </c>
      <c r="F8" s="24">
        <f>FTTB_XGPON_100!B$18</f>
        <v>36100</v>
      </c>
      <c r="G8" s="24">
        <f>FTTB_XGPON_100!C$18</f>
        <v>3316.8</v>
      </c>
      <c r="H8" s="24">
        <f>FTTB_XGPON_100!D$18</f>
        <v>409600</v>
      </c>
      <c r="I8" s="24">
        <f>SUM(Table7172[[#This Row],[Duct Cost]:[Building E&amp;I Costs]])</f>
        <v>792423.55606202502</v>
      </c>
      <c r="J8" s="24">
        <f t="shared" si="0"/>
        <v>39621177.803101249</v>
      </c>
      <c r="K8" s="24">
        <v>29262</v>
      </c>
      <c r="L8" s="24">
        <f>J8/K8</f>
        <v>1354.0146880972336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71.26*Table7172[[#This Row],[Duct Length]]/50</f>
        <v>136195.87571102803</v>
      </c>
      <c r="E9" s="24">
        <f>9.61*Table7172[[#This Row],[Fiber Length]]/50</f>
        <v>140422.50368463391</v>
      </c>
      <c r="F9" s="24">
        <f>FTTB_WRWDM_100!B$16</f>
        <v>48200</v>
      </c>
      <c r="G9" s="24">
        <f>FTTB_WRWDM_100!C$16</f>
        <v>320</v>
      </c>
      <c r="H9" s="24">
        <f>FTTB_WRWDM_100!D$16</f>
        <v>427200</v>
      </c>
      <c r="I9" s="24">
        <f>SUM(Table7172[[#This Row],[Duct Cost]:[Building E&amp;I Costs]])</f>
        <v>752338.37939566188</v>
      </c>
      <c r="J9" s="24">
        <f t="shared" si="0"/>
        <v>37616918.969783098</v>
      </c>
      <c r="K9" s="24">
        <v>29262</v>
      </c>
      <c r="L9" s="24">
        <f>J9/K9</f>
        <v>1285.5211185080684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71.26*Table7172[[#This Row],[Duct Length]]/50</f>
        <v>180489.8749974439</v>
      </c>
      <c r="E10" s="24">
        <f>9.61*Table7172[[#This Row],[Fiber Length]]/50</f>
        <v>121030.53463843174</v>
      </c>
      <c r="F10" s="24">
        <f>FTTCab_Hybridpon_25!B$18</f>
        <v>14600</v>
      </c>
      <c r="G10" s="24">
        <f>FTTCab_Hybridpon_25!C$18</f>
        <v>185293.4</v>
      </c>
      <c r="H10" s="24">
        <f>FTTCab_Hybridpon_25!D$18</f>
        <v>0</v>
      </c>
      <c r="I10" s="24">
        <f>SUM(Table7172[[#This Row],[Duct Cost]:[Building E&amp;I Costs]])</f>
        <v>501413.80963587563</v>
      </c>
      <c r="J10" s="24">
        <f t="shared" si="0"/>
        <v>25070690.48179378</v>
      </c>
      <c r="K10" s="24">
        <v>29262</v>
      </c>
      <c r="L10" s="24">
        <f t="shared" ref="L10:L14" si="2">J10/K10</f>
        <v>856.76612951246602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71.26*Table7172[[#This Row],[Duct Length]]/50</f>
        <v>181766.91113571086</v>
      </c>
      <c r="E11" s="24">
        <f>9.61*Table7172[[#This Row],[Fiber Length]]/50</f>
        <v>117354.15161378775</v>
      </c>
      <c r="F11" s="24">
        <f>FTTB_Hybridpon_50!B$17</f>
        <v>36000</v>
      </c>
      <c r="G11" s="24">
        <f>FTTB_Hybridpon_50!C$17</f>
        <v>734.99999999999989</v>
      </c>
      <c r="H11" s="24">
        <f>FTTB_Hybridpon_50!D$17</f>
        <v>216000</v>
      </c>
      <c r="I11" s="24">
        <f>SUM(Table7172[[#This Row],[Duct Cost]:[Building E&amp;I Costs]])</f>
        <v>551856.06274949864</v>
      </c>
      <c r="J11" s="24">
        <f t="shared" si="0"/>
        <v>27592803.137474932</v>
      </c>
      <c r="K11" s="24">
        <v>29262</v>
      </c>
      <c r="L11" s="24">
        <f t="shared" si="2"/>
        <v>942.95684291828763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71.26*Table7172[[#This Row],[Duct Length]]/50</f>
        <v>181766.91113571086</v>
      </c>
      <c r="E12" s="24">
        <f>9.61*Table7172[[#This Row],[Fiber Length]]/50</f>
        <v>241088.66761378772</v>
      </c>
      <c r="F12" s="24">
        <f>FTTH_Hybridpon_100!B$17</f>
        <v>72000</v>
      </c>
      <c r="G12" s="24">
        <f>FTTH_Hybridpon_100!C$17</f>
        <v>1469.9999999999998</v>
      </c>
      <c r="H12" s="24">
        <f>FTTH_Hybridpon_100!D$17</f>
        <v>320000</v>
      </c>
      <c r="I12" s="24">
        <f>SUM(Table7172[[#This Row],[Duct Cost]:[Building E&amp;I Costs]])</f>
        <v>816325.57874949859</v>
      </c>
      <c r="J12" s="24">
        <f t="shared" si="0"/>
        <v>40816278.937474929</v>
      </c>
      <c r="K12" s="24">
        <v>29262</v>
      </c>
      <c r="L12" s="24">
        <f t="shared" si="2"/>
        <v>1394.8560910899778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71.26*Table7172[[#This Row],[Duct Length]]/50</f>
        <v>180489.8749974439</v>
      </c>
      <c r="E13" s="24">
        <f>9.61*Table7172[[#This Row],[Fiber Length]]/50</f>
        <v>121030.53463843174</v>
      </c>
      <c r="F13" s="24">
        <f>FTTC_Hybridpon_100!B$18</f>
        <v>57800</v>
      </c>
      <c r="G13" s="24">
        <f>FTTC_Hybridpon_100!C$18</f>
        <v>638801.6</v>
      </c>
      <c r="H13" s="24">
        <f>FTTC_Hybridpon_100!D$18</f>
        <v>0</v>
      </c>
      <c r="I13" s="24">
        <f>SUM(Table7172[[#This Row],[Duct Cost]:[Building E&amp;I Costs]])</f>
        <v>998122.00963587558</v>
      </c>
      <c r="J13" s="24">
        <f t="shared" si="0"/>
        <v>49906100.481793776</v>
      </c>
      <c r="K13" s="24">
        <v>29262</v>
      </c>
      <c r="L13" s="24">
        <f t="shared" si="2"/>
        <v>1705.491780527434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71.26*Table7172[[#This Row],[Duct Length]]/50</f>
        <v>181766.91113571086</v>
      </c>
      <c r="E14" s="24">
        <f>9.61*Table7172[[#This Row],[Fiber Length]]/50</f>
        <v>117354.15161378775</v>
      </c>
      <c r="F14" s="17">
        <f>FTTB_Hybridpon_100!B$17</f>
        <v>72000</v>
      </c>
      <c r="G14" s="17">
        <f>FTTB_Hybridpon_100!C$17</f>
        <v>1469.9999999999998</v>
      </c>
      <c r="H14" s="17">
        <f>FTTB_Hybridpon_100!D$17</f>
        <v>432000</v>
      </c>
      <c r="I14" s="24">
        <f>SUM(Table7172[[#This Row],[Duct Cost]:[Building E&amp;I Costs]])</f>
        <v>804591.06274949864</v>
      </c>
      <c r="J14" s="24">
        <f t="shared" si="0"/>
        <v>40229553.137474932</v>
      </c>
      <c r="K14" s="24">
        <v>29262</v>
      </c>
      <c r="L14" s="17">
        <f t="shared" si="2"/>
        <v>1374.8053153398582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7" sqref="F17"/>
    </sheetView>
  </sheetViews>
  <sheetFormatPr defaultRowHeight="14.4" x14ac:dyDescent="0.3"/>
  <cols>
    <col min="1" max="1" width="53.88671875" customWidth="1"/>
    <col min="2" max="2" width="23" customWidth="1"/>
    <col min="3" max="3" width="17.33203125" customWidth="1"/>
    <col min="4" max="4" width="19.33203125" customWidth="1"/>
    <col min="5" max="5" width="17" customWidth="1"/>
    <col min="6" max="6" width="18.44140625" customWidth="1"/>
    <col min="7" max="7" width="15.6640625" customWidth="1"/>
    <col min="8" max="8" width="17.109375" customWidth="1"/>
    <col min="9" max="9" width="18.6640625" customWidth="1"/>
  </cols>
  <sheetData>
    <row r="1" spans="1:13" x14ac:dyDescent="0.3">
      <c r="A1" s="24" t="s">
        <v>49</v>
      </c>
      <c r="B1" s="24" t="s">
        <v>90</v>
      </c>
      <c r="C1" s="24" t="s">
        <v>91</v>
      </c>
      <c r="D1" s="24" t="s">
        <v>1</v>
      </c>
      <c r="E1" s="24" t="s">
        <v>2</v>
      </c>
      <c r="F1" s="24" t="s">
        <v>62</v>
      </c>
      <c r="G1" s="24" t="s">
        <v>60</v>
      </c>
      <c r="H1" s="24" t="s">
        <v>61</v>
      </c>
      <c r="I1" s="24" t="s">
        <v>55</v>
      </c>
      <c r="J1" s="24" t="s">
        <v>126</v>
      </c>
      <c r="K1" s="24" t="s">
        <v>57</v>
      </c>
      <c r="L1" s="24" t="s">
        <v>129</v>
      </c>
      <c r="M1" s="24" t="s">
        <v>59</v>
      </c>
    </row>
    <row r="2" spans="1:13" x14ac:dyDescent="0.3">
      <c r="A2" s="24" t="s">
        <v>50</v>
      </c>
      <c r="B2" s="24">
        <v>154545.71095359759</v>
      </c>
      <c r="C2" s="24">
        <v>942011.40945595957</v>
      </c>
      <c r="D2" s="24">
        <f>27*Table717218[[#This Row],[Duct Length]]/50</f>
        <v>83454.683914942696</v>
      </c>
      <c r="E2" s="24">
        <f>0.3*Table717218[[#This Row],[Fiber Length]]/50</f>
        <v>5652.0684567357575</v>
      </c>
      <c r="F2" s="24">
        <f>'FTTCab GPON 26 Mbps'!B$21</f>
        <v>2500</v>
      </c>
      <c r="G2" s="24">
        <f>'FTTCab GPON 26 Mbps'!C$21</f>
        <v>213440</v>
      </c>
      <c r="H2" s="24">
        <f>'FTTCab GPON 26 Mbps'!D$21</f>
        <v>0</v>
      </c>
      <c r="I2" s="24">
        <f>SUM(Table717218[[#This Row],[Duct Cost]:[Building E&amp;I Costs]])</f>
        <v>305046.75237167848</v>
      </c>
      <c r="J2" s="24">
        <f t="shared" ref="J2:J14" si="0">I2*50</f>
        <v>15252337.618583923</v>
      </c>
      <c r="K2" s="24">
        <v>29262</v>
      </c>
      <c r="L2" s="24">
        <f>J2/K2</f>
        <v>521.23360052573037</v>
      </c>
      <c r="M2" s="24">
        <v>25</v>
      </c>
    </row>
    <row r="3" spans="1:13" x14ac:dyDescent="0.3">
      <c r="A3" s="24" t="s">
        <v>51</v>
      </c>
      <c r="B3" s="24">
        <v>154545.71095359759</v>
      </c>
      <c r="C3" s="24">
        <v>640729.49433380761</v>
      </c>
      <c r="D3" s="24">
        <f>27*Table717218[[#This Row],[Duct Length]]/50</f>
        <v>83454.683914942696</v>
      </c>
      <c r="E3" s="24">
        <f>0.3*Table717218[[#This Row],[Fiber Length]]/50</f>
        <v>3844.3769660028456</v>
      </c>
      <c r="F3" s="24">
        <f>'FTTB XGPON 50 Mbps'!B$20</f>
        <v>3300</v>
      </c>
      <c r="G3" s="24">
        <f>'FTTB XGPON 50 Mbps'!C$20</f>
        <v>0</v>
      </c>
      <c r="H3" s="24">
        <f>'FTTB XGPON 50 Mbps'!D$20</f>
        <v>120000</v>
      </c>
      <c r="I3" s="24">
        <f>SUM(Table717218[[#This Row],[Duct Cost]:[Building E&amp;I Costs]])</f>
        <v>210599.06088094553</v>
      </c>
      <c r="J3" s="24">
        <f t="shared" si="0"/>
        <v>10529953.044047277</v>
      </c>
      <c r="K3" s="24">
        <v>29262</v>
      </c>
      <c r="L3" s="24">
        <f t="shared" ref="L3:L6" si="1">J3/K3</f>
        <v>359.85076358578624</v>
      </c>
      <c r="M3" s="24">
        <v>50</v>
      </c>
    </row>
    <row r="4" spans="1:13" x14ac:dyDescent="0.3">
      <c r="A4" s="24" t="s">
        <v>52</v>
      </c>
      <c r="B4" s="24">
        <v>95562.640830078599</v>
      </c>
      <c r="C4" s="24">
        <v>730606.15860891738</v>
      </c>
      <c r="D4" s="24">
        <f>27*Table717218[[#This Row],[Duct Length]]/50</f>
        <v>51603.826048242438</v>
      </c>
      <c r="E4" s="24">
        <f>0.3*Table717218[[#This Row],[Fiber Length]]/50</f>
        <v>4383.6369516535042</v>
      </c>
      <c r="F4" s="24">
        <f>'FTTB WR-WDMPON 50 Mbps'!B$18</f>
        <v>4800</v>
      </c>
      <c r="G4" s="24">
        <f>'FTTB WR-WDMPON 50 Mbps'!C$18</f>
        <v>0</v>
      </c>
      <c r="H4" s="24">
        <f>'FTTB WR-WDMPON 50 Mbps'!D$18</f>
        <v>120000</v>
      </c>
      <c r="I4" s="24">
        <f>SUM(Table717218[[#This Row],[Duct Cost]:[Building E&amp;I Costs]])</f>
        <v>180787.46299989594</v>
      </c>
      <c r="J4" s="24">
        <f t="shared" si="0"/>
        <v>9039373.149994798</v>
      </c>
      <c r="K4" s="24">
        <v>29262</v>
      </c>
      <c r="L4" s="24">
        <f t="shared" si="1"/>
        <v>308.91166529952835</v>
      </c>
      <c r="M4" s="24">
        <v>50</v>
      </c>
    </row>
    <row r="5" spans="1:13" x14ac:dyDescent="0.3">
      <c r="A5" s="24" t="s">
        <v>53</v>
      </c>
      <c r="B5" s="24">
        <v>95562.640830078599</v>
      </c>
      <c r="C5" s="24">
        <v>730606.15860891738</v>
      </c>
      <c r="D5" s="24">
        <f>27*Table717218[[#This Row],[Duct Length]]/50</f>
        <v>51603.826048242438</v>
      </c>
      <c r="E5" s="24">
        <f>0.3*Table717218[[#This Row],[Fiber Length]]/50</f>
        <v>4383.6369516535042</v>
      </c>
      <c r="F5" s="24">
        <f>'FTTH WR-WDMPON 100 Mbps'!B$18</f>
        <v>4800</v>
      </c>
      <c r="G5" s="24">
        <f>'FTTH WR-WDMPON 100 Mbps'!C$18</f>
        <v>160</v>
      </c>
      <c r="H5" s="24">
        <f>'FTTH WR-WDMPON 100 Mbps'!D$18</f>
        <v>448000</v>
      </c>
      <c r="I5" s="24">
        <f>SUM(Table717218[[#This Row],[Duct Cost]:[Building E&amp;I Costs]])</f>
        <v>508947.46299989591</v>
      </c>
      <c r="J5" s="24">
        <f t="shared" si="0"/>
        <v>25447373.149994794</v>
      </c>
      <c r="K5" s="24">
        <v>29262</v>
      </c>
      <c r="L5" s="24">
        <f t="shared" si="1"/>
        <v>869.63888831914414</v>
      </c>
      <c r="M5" s="24">
        <v>100</v>
      </c>
    </row>
    <row r="6" spans="1:13" x14ac:dyDescent="0.3">
      <c r="A6" s="24" t="s">
        <v>54</v>
      </c>
      <c r="B6" s="24">
        <v>154545.71095359759</v>
      </c>
      <c r="C6" s="24">
        <v>640729.49433380761</v>
      </c>
      <c r="D6" s="24">
        <f>27*Table717218[[#This Row],[Duct Length]]/50</f>
        <v>83454.683914942696</v>
      </c>
      <c r="E6" s="24">
        <f>0.3*Table717218[[#This Row],[Fiber Length]]/50</f>
        <v>3844.3769660028456</v>
      </c>
      <c r="F6" s="24">
        <f>'FTTH XGPON 100 Mbps'!B$20</f>
        <v>13200</v>
      </c>
      <c r="G6" s="24">
        <f>'FTTH XGPON 100 Mbps'!C$20</f>
        <v>992</v>
      </c>
      <c r="H6" s="24">
        <f>'FTTH XGPON 100 Mbps'!D$20</f>
        <v>448000</v>
      </c>
      <c r="I6" s="24">
        <f>SUM(Table717218[[#This Row],[Duct Cost]:[Building E&amp;I Costs]])</f>
        <v>549491.06088094553</v>
      </c>
      <c r="J6" s="24">
        <f t="shared" si="0"/>
        <v>27474553.044047277</v>
      </c>
      <c r="K6" s="24">
        <v>29262</v>
      </c>
      <c r="L6" s="24">
        <f t="shared" si="1"/>
        <v>938.91576256056578</v>
      </c>
      <c r="M6" s="24">
        <v>100</v>
      </c>
    </row>
    <row r="7" spans="1:13" x14ac:dyDescent="0.3">
      <c r="A7" s="24" t="s">
        <v>67</v>
      </c>
      <c r="B7" s="24">
        <v>154545.71095359759</v>
      </c>
      <c r="C7" s="24">
        <v>942011.40945595957</v>
      </c>
      <c r="D7" s="24">
        <f>27*Table717218[[#This Row],[Duct Length]]/50</f>
        <v>83454.683914942696</v>
      </c>
      <c r="E7" s="24">
        <f>0.3*Table717218[[#This Row],[Fiber Length]]/50</f>
        <v>5652.0684567357575</v>
      </c>
      <c r="F7" s="24">
        <f>FTTCab_GPON_100!B$19</f>
        <v>3000</v>
      </c>
      <c r="G7" s="24">
        <f>FTTCab_GPON_100!C$19</f>
        <v>55680</v>
      </c>
      <c r="H7" s="24">
        <f>FTTCab_GPON_100!D$19</f>
        <v>0</v>
      </c>
      <c r="I7" s="24">
        <f>SUM(Table717218[[#This Row],[Duct Cost]:[Building E&amp;I Costs]])</f>
        <v>147786.75237167845</v>
      </c>
      <c r="J7" s="24">
        <f t="shared" si="0"/>
        <v>7389337.6185839223</v>
      </c>
      <c r="K7" s="24">
        <v>29262</v>
      </c>
      <c r="L7" s="24">
        <f>J7/K7</f>
        <v>252.52332781709802</v>
      </c>
      <c r="M7" s="24">
        <v>100</v>
      </c>
    </row>
    <row r="8" spans="1:13" x14ac:dyDescent="0.3">
      <c r="A8" s="24" t="s">
        <v>68</v>
      </c>
      <c r="B8" s="24">
        <v>154545.71095359759</v>
      </c>
      <c r="C8" s="24">
        <v>640729.49433380761</v>
      </c>
      <c r="D8" s="24">
        <f>27*Table717218[[#This Row],[Duct Length]]/50</f>
        <v>83454.683914942696</v>
      </c>
      <c r="E8" s="24">
        <f>0.3*Table717218[[#This Row],[Fiber Length]]/50</f>
        <v>3844.3769660028456</v>
      </c>
      <c r="F8" s="24">
        <f>FTTB_XGPON_100!B$19</f>
        <v>6600</v>
      </c>
      <c r="G8" s="24">
        <f>FTTB_XGPON_100!C$19</f>
        <v>4960</v>
      </c>
      <c r="H8" s="24">
        <f>FTTB_XGPON_100!D$19</f>
        <v>240000</v>
      </c>
      <c r="I8" s="24">
        <f>SUM(Table717218[[#This Row],[Duct Cost]:[Building E&amp;I Costs]])</f>
        <v>338859.06088094553</v>
      </c>
      <c r="J8" s="24">
        <f t="shared" si="0"/>
        <v>16942953.044047277</v>
      </c>
      <c r="K8" s="24">
        <v>29262</v>
      </c>
      <c r="L8" s="24">
        <f>J8/K8</f>
        <v>579.00871587886263</v>
      </c>
      <c r="M8" s="24">
        <v>100</v>
      </c>
    </row>
    <row r="9" spans="1:13" x14ac:dyDescent="0.3">
      <c r="A9" s="24" t="s">
        <v>69</v>
      </c>
      <c r="B9" s="24">
        <v>95562.640830078599</v>
      </c>
      <c r="C9" s="24">
        <v>730606.15860891738</v>
      </c>
      <c r="D9" s="24">
        <f>27*Table717218[[#This Row],[Duct Length]]/50</f>
        <v>51603.826048242438</v>
      </c>
      <c r="E9" s="24">
        <f>0.3*Table717218[[#This Row],[Fiber Length]]/50</f>
        <v>4383.6369516535042</v>
      </c>
      <c r="F9" s="24">
        <f>FTTB_WRWDM_100!B$17</f>
        <v>38400</v>
      </c>
      <c r="G9" s="24">
        <f>FTTB_WRWDM_100!C$17</f>
        <v>3200</v>
      </c>
      <c r="H9" s="24">
        <f>FTTB_WRWDM_100!D$17</f>
        <v>240000</v>
      </c>
      <c r="I9" s="24">
        <f>SUM(Table717218[[#This Row],[Duct Cost]:[Building E&amp;I Costs]])</f>
        <v>337587.46299989591</v>
      </c>
      <c r="J9" s="24">
        <f t="shared" si="0"/>
        <v>16879373.149994794</v>
      </c>
      <c r="K9" s="24">
        <v>29262</v>
      </c>
      <c r="L9" s="24">
        <f>J9/K9</f>
        <v>576.83593568432764</v>
      </c>
      <c r="M9" s="24">
        <v>100</v>
      </c>
    </row>
    <row r="10" spans="1:13" x14ac:dyDescent="0.3">
      <c r="A10" s="22" t="s">
        <v>70</v>
      </c>
      <c r="B10" s="16">
        <v>126641.78711580401</v>
      </c>
      <c r="C10" s="16">
        <v>629711.41851421306</v>
      </c>
      <c r="D10" s="24">
        <f>27*Table717218[[#This Row],[Duct Length]]/50</f>
        <v>68386.565042534159</v>
      </c>
      <c r="E10" s="24">
        <f>0.3*Table717218[[#This Row],[Fiber Length]]/50</f>
        <v>3778.2685110852781</v>
      </c>
      <c r="F10" s="24">
        <f>FTTCab_Hybridpon_25!B$19</f>
        <v>2500</v>
      </c>
      <c r="G10" s="24">
        <f>FTTCab_Hybridpon_25!C$19</f>
        <v>130910</v>
      </c>
      <c r="H10" s="24">
        <f>FTTCab_Hybridpon_25!D$19</f>
        <v>0</v>
      </c>
      <c r="I10" s="24">
        <f>SUM(Table717218[[#This Row],[Duct Cost]:[Building E&amp;I Costs]])</f>
        <v>205574.83355361945</v>
      </c>
      <c r="J10" s="24">
        <f t="shared" si="0"/>
        <v>10278741.677680973</v>
      </c>
      <c r="K10" s="24">
        <v>29262</v>
      </c>
      <c r="L10" s="24">
        <f t="shared" ref="L10:L14" si="2">J10/K10</f>
        <v>351.26586281460504</v>
      </c>
      <c r="M10" s="24">
        <v>25</v>
      </c>
    </row>
    <row r="11" spans="1:13" x14ac:dyDescent="0.3">
      <c r="A11" s="22" t="s">
        <v>71</v>
      </c>
      <c r="B11" s="16">
        <v>127537.82706687541</v>
      </c>
      <c r="C11" s="16">
        <v>610583.51516018598</v>
      </c>
      <c r="D11" s="24">
        <f>27*Table717218[[#This Row],[Duct Length]]/50</f>
        <v>68870.426616112716</v>
      </c>
      <c r="E11" s="24">
        <f>0.3*Table717218[[#This Row],[Fiber Length]]/50</f>
        <v>3663.5010909611156</v>
      </c>
      <c r="F11" s="24">
        <f>FTTB_Hybridpon_50!B$18</f>
        <v>6600</v>
      </c>
      <c r="G11" s="24">
        <f>FTTB_Hybridpon_50!C$18</f>
        <v>108680</v>
      </c>
      <c r="H11" s="24">
        <f>FTTB_Hybridpon_50!D$18</f>
        <v>40000</v>
      </c>
      <c r="I11" s="24">
        <f>SUM(Table717218[[#This Row],[Duct Cost]:[Building E&amp;I Costs]])</f>
        <v>227813.92770707383</v>
      </c>
      <c r="J11" s="24">
        <f t="shared" si="0"/>
        <v>11390696.385353692</v>
      </c>
      <c r="K11" s="24">
        <v>29262</v>
      </c>
      <c r="L11" s="24">
        <f t="shared" si="2"/>
        <v>389.26581865059433</v>
      </c>
      <c r="M11" s="24">
        <v>50</v>
      </c>
    </row>
    <row r="12" spans="1:13" x14ac:dyDescent="0.3">
      <c r="A12" s="22" t="s">
        <v>72</v>
      </c>
      <c r="B12" s="16">
        <v>127537.82706687541</v>
      </c>
      <c r="C12" s="16">
        <v>1254363.515160186</v>
      </c>
      <c r="D12" s="24">
        <f>27*Table717218[[#This Row],[Duct Length]]/50</f>
        <v>68870.426616112716</v>
      </c>
      <c r="E12" s="24">
        <f>0.3*Table717218[[#This Row],[Fiber Length]]/50</f>
        <v>7526.1810909611158</v>
      </c>
      <c r="F12" s="24">
        <f>FTTH_Hybridpon_100!B$18</f>
        <v>13200</v>
      </c>
      <c r="G12" s="24">
        <f>FTTH_Hybridpon_100!C$18</f>
        <v>9880</v>
      </c>
      <c r="H12" s="24">
        <f>FTTH_Hybridpon_100!D$18</f>
        <v>448000</v>
      </c>
      <c r="I12" s="24">
        <f>SUM(Table717218[[#This Row],[Duct Cost]:[Building E&amp;I Costs]])</f>
        <v>547476.6077070738</v>
      </c>
      <c r="J12" s="24">
        <f t="shared" si="0"/>
        <v>27373830.385353688</v>
      </c>
      <c r="K12" s="24">
        <v>29262</v>
      </c>
      <c r="L12" s="24">
        <f t="shared" si="2"/>
        <v>935.47366500422697</v>
      </c>
      <c r="M12" s="24">
        <v>100</v>
      </c>
    </row>
    <row r="13" spans="1:13" x14ac:dyDescent="0.3">
      <c r="A13" s="22" t="s">
        <v>73</v>
      </c>
      <c r="B13" s="16">
        <v>126641.78711580401</v>
      </c>
      <c r="C13" s="16">
        <v>629711.41851421306</v>
      </c>
      <c r="D13" s="24">
        <f>27*Table717218[[#This Row],[Duct Length]]/50</f>
        <v>68386.565042534159</v>
      </c>
      <c r="E13" s="24">
        <f>0.3*Table717218[[#This Row],[Fiber Length]]/50</f>
        <v>3778.2685110852781</v>
      </c>
      <c r="F13" s="24">
        <f>FTTC_Hybridpon_100!B$19</f>
        <v>10000</v>
      </c>
      <c r="G13" s="24">
        <f>FTTC_Hybridpon_100!C$19</f>
        <v>462460</v>
      </c>
      <c r="H13" s="24">
        <f>FTTC_Hybridpon_100!D$19</f>
        <v>0</v>
      </c>
      <c r="I13" s="24">
        <f>SUM(Table717218[[#This Row],[Duct Cost]:[Building E&amp;I Costs]])</f>
        <v>544624.83355361945</v>
      </c>
      <c r="J13" s="24">
        <f t="shared" si="0"/>
        <v>27231241.677680973</v>
      </c>
      <c r="K13" s="24">
        <v>29262</v>
      </c>
      <c r="L13" s="24">
        <f t="shared" si="2"/>
        <v>930.60083650061426</v>
      </c>
      <c r="M13" s="24">
        <v>100</v>
      </c>
    </row>
    <row r="14" spans="1:13" x14ac:dyDescent="0.3">
      <c r="A14" s="15" t="s">
        <v>74</v>
      </c>
      <c r="B14" s="16">
        <v>127537.82706687541</v>
      </c>
      <c r="C14" s="16">
        <v>610583.51516018598</v>
      </c>
      <c r="D14" s="24">
        <f>27*Table717218[[#This Row],[Duct Length]]/50</f>
        <v>68870.426616112716</v>
      </c>
      <c r="E14" s="24">
        <f>0.3*Table717218[[#This Row],[Fiber Length]]/50</f>
        <v>3663.5010909611156</v>
      </c>
      <c r="F14" s="17">
        <f>FTTB_Hybridpon_100!B$18</f>
        <v>13200</v>
      </c>
      <c r="G14" s="17">
        <f>FTTB_Hybridpon_100!C$18</f>
        <v>9880</v>
      </c>
      <c r="H14" s="17">
        <f>FTTB_Hybridpon_100!D$18</f>
        <v>240000</v>
      </c>
      <c r="I14" s="24">
        <f>SUM(Table717218[[#This Row],[Duct Cost]:[Building E&amp;I Costs]])</f>
        <v>335613.92770707386</v>
      </c>
      <c r="J14" s="24">
        <f t="shared" si="0"/>
        <v>16780696.385353692</v>
      </c>
      <c r="K14" s="24">
        <v>29262</v>
      </c>
      <c r="L14" s="17">
        <f t="shared" si="2"/>
        <v>573.4637545401439</v>
      </c>
      <c r="M14" s="17">
        <v>100</v>
      </c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="70" zoomScaleNormal="70" workbookViewId="0">
      <selection activeCell="A219" sqref="A219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headerFooter>
    <oddFooter>&amp;LUnrestricted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pane xSplit="4" ySplit="16" topLeftCell="E17" activePane="bottomRight" state="frozen"/>
      <selection pane="topRight" activeCell="E1" sqref="E1"/>
      <selection pane="bottomLeft" activeCell="A17" sqref="A17"/>
      <selection pane="bottomRight" activeCell="G3" sqref="G3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22.5546875" customWidth="1"/>
    <col min="8" max="8" width="30.109375" customWidth="1"/>
    <col min="9" max="9" width="23.5546875" customWidth="1"/>
    <col min="10" max="10" width="20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121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23</v>
      </c>
      <c r="C2" s="4">
        <v>40</v>
      </c>
      <c r="D2" s="4">
        <f>3500/50</f>
        <v>70</v>
      </c>
      <c r="E2" s="4">
        <f>57600/4/50</f>
        <v>288</v>
      </c>
      <c r="F2" s="4">
        <f>2500/50</f>
        <v>50</v>
      </c>
      <c r="G2" s="4">
        <v>50</v>
      </c>
      <c r="H2" s="4">
        <f>Table2[[#This Row],[Cost per Unit (OASE)]]*Table2[[#This Row],[Quantity]]</f>
        <v>2000</v>
      </c>
      <c r="I2" s="4">
        <f>Table2[[#This Row],[Cost per Unit (Rokkas)]]*Table2[[#This Row],[Quantity]]</f>
        <v>3500</v>
      </c>
      <c r="J2" s="30">
        <f>Table2[[#This Row],[Cost per Unit (BSG)]]*Table2[[#This Row],[Quantity]]</f>
        <v>14400</v>
      </c>
      <c r="K2" s="33">
        <f>Table2[[#This Row],[Cost per Unit(Philipson)]]*Table2[[#This Row],[Quantity]]</f>
        <v>2500</v>
      </c>
    </row>
    <row r="3" spans="1:11" x14ac:dyDescent="0.3">
      <c r="A3" s="6" t="s">
        <v>27</v>
      </c>
      <c r="B3" s="6" t="s">
        <v>24</v>
      </c>
      <c r="C3" s="4">
        <v>4</v>
      </c>
      <c r="D3" s="4">
        <f>200/50</f>
        <v>4</v>
      </c>
      <c r="E3" s="4">
        <v>0</v>
      </c>
      <c r="F3" s="4">
        <v>0</v>
      </c>
      <c r="G3" s="4">
        <f>124*2</f>
        <v>248</v>
      </c>
      <c r="H3" s="4">
        <f>Table2[[#This Row],[Cost per Unit (OASE)]]*Table2[[#This Row],[Quantity]]</f>
        <v>992</v>
      </c>
      <c r="I3" s="4">
        <f>Table2[[#This Row],[Cost per Unit (Rokkas)]]*Table2[[#This Row],[Quantity]]</f>
        <v>992</v>
      </c>
      <c r="J3" s="30">
        <f>Table2[[#This Row],[Cost per Unit (BSG)]]*Table2[[#This Row],[Quantity]]</f>
        <v>0</v>
      </c>
      <c r="K3" s="33">
        <f>Table2[[#This Row],[Cost per Unit(Philipson)]]*Table2[[#This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620</v>
      </c>
      <c r="H4" s="4">
        <f>Table2[[#This Row],[Cost per Unit (OASE)]]*Table2[[#This Row],[Quantity]]</f>
        <v>6.8888888888888893</v>
      </c>
      <c r="I4" s="4">
        <f>Table2[[#This Row],[Cost per Unit (Rokkas)]]*Table2[[#This Row],[Quantity]]</f>
        <v>0</v>
      </c>
      <c r="J4" s="30">
        <f>Table2[[#This Row],[Cost per Unit (BSG)]]*Table2[[#This Row],[Quantity]]</f>
        <v>0</v>
      </c>
      <c r="K4" s="33">
        <f>Table2[[#This Row],[Cost per Unit(Philipson)]]*Table2[[#This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Table2[[#This Row],[Cost per Unit (OASE)]]*Table2[[#This Row],[Quantity]]</f>
        <v>200</v>
      </c>
      <c r="I5" s="4">
        <f>Table2[[#This Row],[Cost per Unit (Rokkas)]]*Table2[[#This Row],[Quantity]]</f>
        <v>3000</v>
      </c>
      <c r="J5" s="30">
        <f>Table2[[#This Row],[Cost per Unit (BSG)]]*Table2[[#This Row],[Quantity]]</f>
        <v>100</v>
      </c>
      <c r="K5" s="33">
        <f>Table2[[#This Row],[Cost per Unit(Philipson)]]*Table2[[#This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f>124*2</f>
        <v>248</v>
      </c>
      <c r="H6" s="4">
        <f>Table2[[#This Row],[Cost per Unit (OASE)]]*Table2[[#This Row],[Quantity]]</f>
        <v>446.40000000000003</v>
      </c>
      <c r="I6" s="4">
        <f>Table2[[#This Row],[Cost per Unit (Rokkas)]]*Table2[[#This Row],[Quantity]]</f>
        <v>2480</v>
      </c>
      <c r="J6" s="30">
        <f>Table2[[#This Row],[Cost per Unit (BSG)]]*Table2[[#This Row],[Quantity]]</f>
        <v>347.2</v>
      </c>
      <c r="K6" s="33">
        <f>Table2[[#This Row],[Cost per Unit(Philipson)]]*Table2[[#This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f>200/50</f>
        <v>4</v>
      </c>
      <c r="E7" s="4">
        <v>0</v>
      </c>
      <c r="F7" s="4">
        <v>0</v>
      </c>
      <c r="G7" s="4">
        <f>124*2</f>
        <v>248</v>
      </c>
      <c r="H7" s="4">
        <f>Table2[[#This Row],[Cost per Unit (OASE)]]*Table2[[#This Row],[Quantity]]</f>
        <v>992</v>
      </c>
      <c r="I7" s="4">
        <f>Table2[[#This Row],[Cost per Unit (Rokkas)]]*Table2[[#This Row],[Quantity]]</f>
        <v>992</v>
      </c>
      <c r="J7" s="30">
        <f>Table2[[#This Row],[Cost per Unit (BSG)]]*Table2[[#This Row],[Quantity]]</f>
        <v>0</v>
      </c>
      <c r="K7" s="33">
        <f>Table2[[#This Row],[Cost per Unit(Philipson)]]*Table2[[#This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f>250/50</f>
        <v>5</v>
      </c>
      <c r="G8" s="4">
        <f>928*2</f>
        <v>1856</v>
      </c>
      <c r="H8" s="4">
        <f>Table2[[#This Row],[Cost per Unit (OASE)]]*Table2[[#This Row],[Quantity]]</f>
        <v>1856</v>
      </c>
      <c r="I8" s="4">
        <f>Table2[[#This Row],[Cost per Unit (Rokkas)]]*Table2[[#This Row],[Quantity]]</f>
        <v>3712</v>
      </c>
      <c r="J8" s="30">
        <f>Table2[[#This Row],[Cost per Unit (BSG)]]*Table2[[#This Row],[Quantity]]</f>
        <v>2969.6000000000004</v>
      </c>
      <c r="K8" s="33">
        <f>Table2[[#This Row],[Cost per Unit(Philipson)]]*Table2[[#This Row],[Quantity]]</f>
        <v>9280</v>
      </c>
    </row>
    <row r="9" spans="1:11" x14ac:dyDescent="0.3">
      <c r="A9" s="6" t="s">
        <v>30</v>
      </c>
      <c r="B9" s="6" t="s">
        <v>127</v>
      </c>
      <c r="C9" s="4">
        <f>24+100</f>
        <v>124</v>
      </c>
      <c r="D9" s="4">
        <f>(15000)/50</f>
        <v>300</v>
      </c>
      <c r="E9" s="4">
        <f>(1200+13500)/50</f>
        <v>294</v>
      </c>
      <c r="F9" s="4">
        <f>11000/50</f>
        <v>220</v>
      </c>
      <c r="G9" s="4">
        <v>928</v>
      </c>
      <c r="H9" s="4">
        <f>Table2[[#This Row],[Cost per Unit (OASE)]]*Table2[[#This Row],[Quantity]]</f>
        <v>115072</v>
      </c>
      <c r="I9" s="4">
        <f>Table2[[#This Row],[Cost per Unit (Rokkas)]]*Table2[[#This Row],[Quantity]]</f>
        <v>278400</v>
      </c>
      <c r="J9" s="30">
        <f>Table2[[#This Row],[Cost per Unit (BSG)]]*Table2[[#This Row],[Quantity]]</f>
        <v>272832</v>
      </c>
      <c r="K9" s="33">
        <f>Table2[[#This Row],[Cost per Unit(Philipson)]]*Table2[[#This Row],[Quantity]]</f>
        <v>204160</v>
      </c>
    </row>
    <row r="10" spans="1:11" x14ac:dyDescent="0.3">
      <c r="A10" s="6" t="s">
        <v>32</v>
      </c>
      <c r="B10" s="6" t="s">
        <v>11</v>
      </c>
      <c r="C10" s="4">
        <v>0</v>
      </c>
      <c r="D10" s="4">
        <v>0</v>
      </c>
      <c r="E10" s="4">
        <v>0</v>
      </c>
      <c r="F10" s="4">
        <v>0</v>
      </c>
      <c r="G10" s="4">
        <v>7895</v>
      </c>
      <c r="H10" s="4">
        <f>Table2[[#This Row],[Cost per Unit (OASE)]]*Table2[[#This Row],[Quantity]]</f>
        <v>0</v>
      </c>
      <c r="I10" s="4">
        <f>Table2[[#This Row],[Cost per Unit (Rokkas)]]*Table2[[#This Row],[Quantity]]</f>
        <v>0</v>
      </c>
      <c r="J10" s="30">
        <f>Table2[[#This Row],[Cost per Unit (BSG)]]*Table2[[#This Row],[Quantity]]</f>
        <v>0</v>
      </c>
      <c r="K10" s="33">
        <f>Table2[[#This Row],[Cost per Unit(Philipson)]]*Table2[[#This Row],[Quantity]]</f>
        <v>0</v>
      </c>
    </row>
    <row r="11" spans="1:11" x14ac:dyDescent="0.3">
      <c r="A11" s="6"/>
      <c r="B11" s="6"/>
      <c r="C11" s="4"/>
      <c r="D11" s="4"/>
      <c r="E11" s="4"/>
      <c r="F11" s="4"/>
      <c r="G11" s="4"/>
      <c r="H11" s="11"/>
    </row>
    <row r="17" spans="1:10" x14ac:dyDescent="0.3">
      <c r="A17" t="s">
        <v>84</v>
      </c>
      <c r="B17" t="s">
        <v>35</v>
      </c>
      <c r="C17" t="s">
        <v>36</v>
      </c>
      <c r="D17" t="s">
        <v>37</v>
      </c>
      <c r="E17" t="s">
        <v>34</v>
      </c>
    </row>
    <row r="18" spans="1:10" ht="15" thickBot="1" x14ac:dyDescent="0.35">
      <c r="A18" t="s">
        <v>85</v>
      </c>
      <c r="B18" s="9">
        <f>SUM(H2:H5)</f>
        <v>3198.8888888888887</v>
      </c>
      <c r="C18" s="9">
        <f>SUM(H6:H9)</f>
        <v>118366.39999999999</v>
      </c>
      <c r="D18" s="10">
        <f>SUM(H10:H11)</f>
        <v>0</v>
      </c>
      <c r="E18" s="5">
        <f>SUM(B18:D18)</f>
        <v>121565.28888888888</v>
      </c>
      <c r="F18" s="10"/>
    </row>
    <row r="19" spans="1:10" ht="15.6" thickTop="1" thickBot="1" x14ac:dyDescent="0.35">
      <c r="A19" t="s">
        <v>86</v>
      </c>
      <c r="B19">
        <f>SUM(I2:I5)</f>
        <v>7492</v>
      </c>
      <c r="C19">
        <f>SUM(I6:I9)</f>
        <v>285584</v>
      </c>
      <c r="D19" s="21">
        <f>SUM(I10)</f>
        <v>0</v>
      </c>
      <c r="E19" s="5">
        <f>SUM(B19:D19)</f>
        <v>293076</v>
      </c>
    </row>
    <row r="20" spans="1:10" ht="15.6" thickTop="1" thickBot="1" x14ac:dyDescent="0.35">
      <c r="A20" t="s">
        <v>110</v>
      </c>
      <c r="B20">
        <f>SUM(J$2:J$5)</f>
        <v>14500</v>
      </c>
      <c r="C20">
        <f>SUM(J6:J9)</f>
        <v>276148.8</v>
      </c>
      <c r="D20" s="21">
        <f>SUM(J10)</f>
        <v>0</v>
      </c>
      <c r="E20" s="5">
        <f>SUM(B20:D20)</f>
        <v>290648.8</v>
      </c>
    </row>
    <row r="21" spans="1:10" ht="15.6" thickTop="1" thickBot="1" x14ac:dyDescent="0.35">
      <c r="A21" t="s">
        <v>6</v>
      </c>
      <c r="B21">
        <f>SUM(K2:K5)</f>
        <v>2500</v>
      </c>
      <c r="C21">
        <f>SUM(K6:K9)</f>
        <v>213440</v>
      </c>
      <c r="D21" s="21">
        <f>SUM(K10)</f>
        <v>0</v>
      </c>
      <c r="E21" s="5">
        <f>SUM(B21:D21)</f>
        <v>215940</v>
      </c>
    </row>
    <row r="22" spans="1:10" ht="15" thickTop="1" x14ac:dyDescent="0.3"/>
    <row r="32" spans="1:10" x14ac:dyDescent="0.3">
      <c r="H32">
        <v>112</v>
      </c>
      <c r="I32">
        <v>900</v>
      </c>
      <c r="J32">
        <v>294</v>
      </c>
    </row>
  </sheetData>
  <pageMargins left="0.7" right="0.7" top="0.75" bottom="0.75" header="0.3" footer="0.3"/>
  <pageSetup paperSize="9" orientation="portrait" r:id="rId1"/>
  <headerFooter>
    <oddFooter>&amp;LUnrestricted</oddFooter>
  </headerFooter>
  <ignoredErrors>
    <ignoredError sqref="D4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2" sqref="G2:G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  <col min="9" max="9" width="15.109375" customWidth="1"/>
    <col min="10" max="10" width="15.66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60</v>
      </c>
      <c r="H2" s="4">
        <f>Table24[[#This Row],[Cost per Unit (OASE)]]*Table24[[#This Row],[Quantity]]</f>
        <v>4800</v>
      </c>
      <c r="I2" s="12">
        <f>Table24[[#This Row],[Cost per Unit (Rokkas)]]*Table24[[#This Row],[Quantity]]</f>
        <v>8400</v>
      </c>
      <c r="J2" s="12">
        <f>Table24[[#This Row],[Cost per Unit(BSG)]]*Table24[[#This Row],[Quantity]]</f>
        <v>18000</v>
      </c>
      <c r="K2" s="35">
        <f>Table24[[#This Row],[Cost per Unit(Phillipson)]]*Table24[[#This Row],[Quantity]]</f>
        <v>3300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200</v>
      </c>
      <c r="H3" s="4">
        <f>Table24[[#This Row],[Cost per Unit (OASE)]]*Table24[[#This Row],[Quantity]]</f>
        <v>2400</v>
      </c>
      <c r="I3" s="12">
        <f>Table24[[#This Row],[Cost per Unit (Rokkas)]]*Table24[[#This Row],[Quantity]]</f>
        <v>800</v>
      </c>
      <c r="J3" s="12">
        <f>Table24[[#This Row],[Cost per Unit(BSG)]]*Table24[[#This Row],[Quantity]]</f>
        <v>0</v>
      </c>
      <c r="K3" s="35">
        <f>Table24[[#This Row],[Cost per Unit(Phillipson)]]*Table24[[#This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1800</v>
      </c>
      <c r="H4" s="4">
        <f>Table24[[#This Row],[Cost per Unit (OASE)]]*Table24[[#This Row],[Quantity]]</f>
        <v>20</v>
      </c>
      <c r="I4" s="12">
        <f>Table24[[#This Row],[Cost per Unit (Rokkas)]]*Table24[[#This Row],[Quantity]]</f>
        <v>0</v>
      </c>
      <c r="J4" s="12">
        <f>Table24[[#This Row],[Cost per Unit(BSG)]]*Table24[[#This Row],[Quantity]]</f>
        <v>0</v>
      </c>
      <c r="K4" s="35">
        <f>Table24[[#This Row],[Cost per Unit(Phillipson)]]*Table24[[#This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100</v>
      </c>
      <c r="F5" s="4">
        <v>0</v>
      </c>
      <c r="G5" s="4">
        <v>1</v>
      </c>
      <c r="H5" s="4">
        <f>Table24[[#This Row],[Cost per Unit (OASE)]]*Table24[[#This Row],[Quantity]]</f>
        <v>200</v>
      </c>
      <c r="I5" s="12">
        <f>Table24[[#This Row],[Cost per Unit (Rokkas)]]*Table24[[#This Row],[Quantity]]</f>
        <v>3000</v>
      </c>
      <c r="J5" s="12">
        <f>Table24[[#This Row],[Cost per Unit(BSG)]]*Table24[[#This Row],[Quantity]]</f>
        <v>100</v>
      </c>
      <c r="K5" s="35">
        <f>Table24[[#This Row],[Cost per Unit(Phillipson)]]*Table24[[#This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124</v>
      </c>
      <c r="H6" s="4">
        <f>Table24[[#This Row],[Cost per Unit (OASE)]]*Table24[[#This Row],[Quantity]]</f>
        <v>223.20000000000002</v>
      </c>
      <c r="I6" s="12">
        <f>Table24[[#This Row],[Cost per Unit (Rokkas)]]*Table24[[#This Row],[Quantity]]</f>
        <v>1240</v>
      </c>
      <c r="J6" s="12">
        <f>Table24[[#This Row],[Cost per Unit(BSG)]]*Table24[[#This Row],[Quantity]]</f>
        <v>173.6</v>
      </c>
      <c r="K6" s="35">
        <f>Table24[[#This Row],[Cost per Unit(Phillipson)]]*Table24[[#This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0</v>
      </c>
      <c r="F7" s="4">
        <v>0</v>
      </c>
      <c r="G7" s="4">
        <v>124</v>
      </c>
      <c r="H7" s="4">
        <f>Table24[[#This Row],[Cost per Unit (OASE)]]*Table24[[#This Row],[Quantity]]</f>
        <v>1488</v>
      </c>
      <c r="I7" s="12">
        <f>Table24[[#This Row],[Cost per Unit (Rokkas)]]*Table24[[#This Row],[Quantity]]</f>
        <v>496</v>
      </c>
      <c r="J7" s="12">
        <f>Table24[[#This Row],[Cost per Unit(BSG)]]*Table24[[#This Row],[Quantity]]</f>
        <v>0</v>
      </c>
      <c r="K7" s="35">
        <f>Table24[[#This Row],[Cost per Unit(Phillipson)]]*Table24[[#This Row],[Quantity]]</f>
        <v>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928</v>
      </c>
      <c r="H8" s="4">
        <f>Table24[[#This Row],[Cost per Unit (OASE)]]*Table24[[#This Row],[Quantity]]</f>
        <v>1670.4</v>
      </c>
      <c r="I8" s="12">
        <f>Table24[[#This Row],[Cost per Unit (Rokkas)]]*Table24[[#This Row],[Quantity]]</f>
        <v>9280</v>
      </c>
      <c r="J8" s="12">
        <f>Table24[[#This Row],[Cost per Unit(BSG)]]*Table24[[#This Row],[Quantity]]</f>
        <v>1484.8000000000002</v>
      </c>
      <c r="K8" s="35">
        <f>Table24[[#This Row],[Cost per Unit(Phillipson)]]*Table24[[#This Row],[Quantity]]</f>
        <v>0</v>
      </c>
    </row>
    <row r="9" spans="1:11" x14ac:dyDescent="0.3">
      <c r="A9" s="6" t="s">
        <v>32</v>
      </c>
      <c r="B9" s="6" t="s">
        <v>33</v>
      </c>
      <c r="C9" s="4">
        <f>10</f>
        <v>10</v>
      </c>
      <c r="D9" s="4">
        <v>10</v>
      </c>
      <c r="E9" s="4">
        <f>1200/50</f>
        <v>24</v>
      </c>
      <c r="F9" s="4">
        <v>10</v>
      </c>
      <c r="G9" s="4">
        <v>8000</v>
      </c>
      <c r="H9" s="4">
        <f>Table24[[#This Row],[Cost per Unit (OASE)]]*Table24[[#This Row],[Quantity]]</f>
        <v>80000</v>
      </c>
      <c r="I9" s="12">
        <f>Table24[[#This Row],[Cost per Unit (Rokkas)]]*Table24[[#This Row],[Quantity]]</f>
        <v>80000</v>
      </c>
      <c r="J9" s="12">
        <f>Table24[[#This Row],[Cost per Unit(BSG)]]*Table24[[#This Row],[Quantity]]</f>
        <v>192000</v>
      </c>
      <c r="K9" s="35">
        <f>Table24[[#This Row],[Cost per Unit(Phillipson)]]*Table24[[#This Row],[Quantity]]</f>
        <v>80000</v>
      </c>
    </row>
    <row r="10" spans="1:11" x14ac:dyDescent="0.3">
      <c r="A10" s="6" t="s">
        <v>32</v>
      </c>
      <c r="B10" s="6" t="s">
        <v>40</v>
      </c>
      <c r="C10" s="4">
        <v>2.1</v>
      </c>
      <c r="D10" s="4">
        <v>4</v>
      </c>
      <c r="E10" s="4">
        <f>80/50</f>
        <v>1.6</v>
      </c>
      <c r="F10" s="4">
        <v>5</v>
      </c>
      <c r="G10" s="4">
        <v>8000</v>
      </c>
      <c r="H10" s="11">
        <f>Table24[[#This Row],[Cost per Unit (OASE)]]*Table24[[#This Row],[Quantity]]</f>
        <v>16800</v>
      </c>
      <c r="I10" s="12">
        <f>Table24[[#This Row],[Cost per Unit (Rokkas)]]*Table24[[#This Row],[Quantity]]</f>
        <v>32000</v>
      </c>
      <c r="J10" s="12">
        <f>Table24[[#This Row],[Cost per Unit(BSG)]]*Table24[[#This Row],[Quantity]]</f>
        <v>12800</v>
      </c>
      <c r="K10" s="35">
        <f>Table24[[#This Row],[Cost per Unit(Phillipson)]]*Table24[[#This Row],[Quantity]]</f>
        <v>40000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12"/>
    </row>
    <row r="16" spans="1:11" x14ac:dyDescent="0.3">
      <c r="A16" t="s">
        <v>49</v>
      </c>
      <c r="B16" t="s">
        <v>35</v>
      </c>
      <c r="C16" t="s">
        <v>36</v>
      </c>
      <c r="D16" t="s">
        <v>37</v>
      </c>
      <c r="E16" t="s">
        <v>34</v>
      </c>
      <c r="G16" s="21"/>
    </row>
    <row r="17" spans="1:7" ht="15" thickBot="1" x14ac:dyDescent="0.35">
      <c r="A17" t="s">
        <v>85</v>
      </c>
      <c r="B17" s="9">
        <f>SUM(H2:H5)</f>
        <v>7420</v>
      </c>
      <c r="C17" s="9">
        <f>SUM(H6:H8)</f>
        <v>3381.6000000000004</v>
      </c>
      <c r="D17" s="10">
        <f>SUM(H9:H11)</f>
        <v>96800</v>
      </c>
      <c r="E17" s="5">
        <f>SUM(B17:D17)</f>
        <v>107601.60000000001</v>
      </c>
      <c r="F17" s="5"/>
      <c r="G17" s="10"/>
    </row>
    <row r="18" spans="1:7" ht="15.6" thickTop="1" thickBot="1" x14ac:dyDescent="0.35">
      <c r="A18" t="s">
        <v>86</v>
      </c>
      <c r="B18">
        <f>SUM(I2:I5)</f>
        <v>12200</v>
      </c>
      <c r="C18">
        <f>SUM(I6:I8)</f>
        <v>11016</v>
      </c>
      <c r="D18" s="21">
        <f>SUM(I9:I10)</f>
        <v>112000</v>
      </c>
      <c r="E18" s="5">
        <f>SUM(B18:D18)</f>
        <v>135216</v>
      </c>
      <c r="F18" s="5"/>
    </row>
    <row r="19" spans="1:7" ht="15.6" thickTop="1" thickBot="1" x14ac:dyDescent="0.35">
      <c r="A19" t="s">
        <v>110</v>
      </c>
      <c r="B19">
        <f>SUM(J$2:J$5)</f>
        <v>18100</v>
      </c>
      <c r="C19">
        <f>SUM(J6:J8)</f>
        <v>1658.4</v>
      </c>
      <c r="D19" s="21">
        <f>SUM(J9:J10)</f>
        <v>204800</v>
      </c>
      <c r="E19" s="5">
        <f>SUM(B19:D19)</f>
        <v>224558.4</v>
      </c>
      <c r="F19" s="5"/>
    </row>
    <row r="20" spans="1:7" ht="15.6" thickTop="1" thickBot="1" x14ac:dyDescent="0.35">
      <c r="A20" t="s">
        <v>6</v>
      </c>
      <c r="B20" s="24">
        <f>SUM(K$2:K$5)</f>
        <v>3300</v>
      </c>
      <c r="C20">
        <f>SUM(K6:K8)</f>
        <v>0</v>
      </c>
      <c r="D20" s="21">
        <f>SUM(K9:K10)</f>
        <v>120000</v>
      </c>
      <c r="E20" s="5">
        <f>SUM(B20:D20)</f>
        <v>123300</v>
      </c>
    </row>
    <row r="21" spans="1:7" ht="15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opLeftCell="B1" workbookViewId="0">
      <selection activeCell="G2" sqref="G2:G10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21.33203125" style="21" customWidth="1"/>
    <col min="5" max="6" width="21.33203125" style="24" customWidth="1"/>
    <col min="7" max="7" width="18" customWidth="1"/>
    <col min="8" max="8" width="17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111</v>
      </c>
      <c r="F1" s="7" t="s">
        <v>123</v>
      </c>
      <c r="G1" s="7" t="s">
        <v>21</v>
      </c>
      <c r="H1" s="7" t="s">
        <v>81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5</v>
      </c>
      <c r="H2" s="4">
        <f>Table245[[#This Row],[Cost per Unit (OASE)]]*Table245[[#This Row],[Quantity]]</f>
        <v>80</v>
      </c>
      <c r="I2" s="12">
        <f>Table245[[#This Row],[Cost per Unit(Rokkas)]]*Table245[[#This Row],[Quantity]]</f>
        <v>0</v>
      </c>
      <c r="J2" s="12">
        <f>Table245[[#This Row],[Cost per Unit(BSG)]]*Table245[[#This Row],[Quantity]]</f>
        <v>0</v>
      </c>
      <c r="K2" s="35">
        <f>Table245[[#This Row],[Cost per Unit(Phillipson)]]*Table245[[#This Row],[Quantity]]</f>
        <v>0</v>
      </c>
    </row>
    <row r="3" spans="1:11" x14ac:dyDescent="0.3">
      <c r="A3" s="6" t="s">
        <v>27</v>
      </c>
      <c r="B3" s="6" t="s">
        <v>42</v>
      </c>
      <c r="C3" s="4">
        <v>8.8000000000000007</v>
      </c>
      <c r="D3" s="4">
        <f>10000/50</f>
        <v>200</v>
      </c>
      <c r="E3" s="4">
        <v>350</v>
      </c>
      <c r="F3" s="4">
        <v>60</v>
      </c>
      <c r="G3" s="4">
        <v>80</v>
      </c>
      <c r="H3" s="4">
        <f>Table245[[#This Row],[Cost per Unit (OASE)]]*Table245[[#This Row],[Quantity]]</f>
        <v>704</v>
      </c>
      <c r="I3" s="12">
        <f>Table245[[#This Row],[Cost per Unit(Rokkas)]]*Table245[[#This Row],[Quantity]]</f>
        <v>16000</v>
      </c>
      <c r="J3" s="12">
        <f>Table245[[#This Row],[Cost per Unit(BSG)]]*Table245[[#This Row],[Quantity]]</f>
        <v>28000</v>
      </c>
      <c r="K3" s="35">
        <f>Table245[[#This Row],[Cost per Unit(Phillipson)]]*Table245[[#This Row],[Quantity]]</f>
        <v>4800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80</v>
      </c>
      <c r="H4" s="4">
        <f>Table245[[#This Row],[Cost per Unit (OASE)]]*Table245[[#This Row],[Quantity]]</f>
        <v>5040</v>
      </c>
      <c r="I4" s="12">
        <f>Table245[[#This Row],[Cost per Unit(Rokkas)]]*Table245[[#This Row],[Quantity]]</f>
        <v>0</v>
      </c>
      <c r="J4" s="12">
        <f>Table245[[#This Row],[Cost per Unit(BSG)]]*Table245[[#This Row],[Quantity]]</f>
        <v>0</v>
      </c>
      <c r="K4" s="35">
        <f>Table245[[#This Row],[Cost per Unit(Phillipson)]]*Table245[[#This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80</v>
      </c>
      <c r="H5" s="4">
        <f>Table245[[#This Row],[Cost per Unit (OASE)]]*Table245[[#This Row],[Quantity]]</f>
        <v>184</v>
      </c>
      <c r="I5" s="12">
        <f>Table245[[#This Row],[Cost per Unit(Rokkas)]]*Table245[[#This Row],[Quantity]]</f>
        <v>0</v>
      </c>
      <c r="J5" s="12">
        <f>Table245[[#This Row],[Cost per Unit(BSG)]]*Table245[[#This Row],[Quantity]]</f>
        <v>0</v>
      </c>
      <c r="K5" s="35">
        <f>Table245[[#This Row],[Cost per Unit(Phillipson)]]*Table245[[#This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2250</v>
      </c>
      <c r="H6" s="4">
        <f>Table245[[#This Row],[Cost per Unit (OASE)]]*Table245[[#This Row],[Quantity]]</f>
        <v>50</v>
      </c>
      <c r="I6" s="12">
        <f>Table245[[#This Row],[Cost per Unit(Rokkas)]]*Table245[[#This Row],[Quantity]]</f>
        <v>0</v>
      </c>
      <c r="J6" s="12">
        <f>Table245[[#This Row],[Cost per Unit(BSG)]]*Table245[[#This Row],[Quantity]]</f>
        <v>0</v>
      </c>
      <c r="K6" s="35">
        <f>Table245[[#This Row],[Cost per Unit(Phillipson)]]*Table245[[#This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Table245[[#This Row],[Cost per Unit (OASE)]]*Table245[[#This Row],[Quantity]]</f>
        <v>400</v>
      </c>
      <c r="I7" s="12">
        <f>Table245[[#This Row],[Cost per Unit(Rokkas)]]*Table245[[#This Row],[Quantity]]</f>
        <v>3000</v>
      </c>
      <c r="J7" s="12">
        <f>Table245[[#This Row],[Cost per Unit(BSG)]]*Table245[[#This Row],[Quantity]]</f>
        <v>200</v>
      </c>
      <c r="K7" s="35">
        <f>Table245[[#This Row],[Cost per Unit(Phillipson)]]*Table245[[#This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0</v>
      </c>
      <c r="G8" s="4">
        <v>80</v>
      </c>
      <c r="H8" s="4">
        <f>Table245[[#This Row],[Cost per Unit (OASE)]]*Table245[[#This Row],[Quantity]]</f>
        <v>1920</v>
      </c>
      <c r="I8" s="12">
        <f>Table245[[#This Row],[Cost per Unit(Rokkas)]]*Table245[[#This Row],[Quantity]]</f>
        <v>320</v>
      </c>
      <c r="J8" s="12">
        <f>Table245[[#This Row],[Cost per Unit(BSG)]]*Table245[[#This Row],[Quantity]]</f>
        <v>160</v>
      </c>
      <c r="K8" s="35">
        <f>Table245[[#This Row],[Cost per Unit(Phillipson)]]*Table245[[#This Row],[Quantity]]</f>
        <v>0</v>
      </c>
    </row>
    <row r="9" spans="1:11" x14ac:dyDescent="0.3">
      <c r="A9" s="6" t="s">
        <v>32</v>
      </c>
      <c r="B9" s="6" t="s">
        <v>33</v>
      </c>
      <c r="C9" s="4">
        <v>10</v>
      </c>
      <c r="D9" s="4">
        <v>10</v>
      </c>
      <c r="E9" s="4">
        <v>24</v>
      </c>
      <c r="F9" s="4">
        <v>10</v>
      </c>
      <c r="G9" s="4">
        <v>8000</v>
      </c>
      <c r="H9" s="4">
        <f>Table245[[#This Row],[Cost per Unit (OASE)]]*Table245[[#This Row],[Quantity]]</f>
        <v>80000</v>
      </c>
      <c r="I9" s="12">
        <f>Table245[[#This Row],[Cost per Unit(Rokkas)]]*Table245[[#This Row],[Quantity]]</f>
        <v>80000</v>
      </c>
      <c r="J9" s="12">
        <f>Table245[[#This Row],[Cost per Unit(BSG)]]*Table245[[#This Row],[Quantity]]</f>
        <v>192000</v>
      </c>
      <c r="K9" s="35">
        <f>Table245[[#This Row],[Cost per Unit(Phillipson)]]*Table245[[#This Row],[Quantity]]</f>
        <v>80000</v>
      </c>
    </row>
    <row r="10" spans="1:11" x14ac:dyDescent="0.3">
      <c r="A10" s="6" t="s">
        <v>32</v>
      </c>
      <c r="B10" s="6" t="s">
        <v>88</v>
      </c>
      <c r="C10" s="4">
        <v>1.86</v>
      </c>
      <c r="D10" s="4">
        <f>250/50</f>
        <v>5</v>
      </c>
      <c r="E10" s="4">
        <f>135/50</f>
        <v>2.7</v>
      </c>
      <c r="F10" s="4">
        <v>5</v>
      </c>
      <c r="G10" s="4">
        <v>8000</v>
      </c>
      <c r="H10" s="4">
        <f>Table245[[#This Row],[Cost per Unit (OASE)]]*Table245[[#This Row],[Quantity]]</f>
        <v>14880</v>
      </c>
      <c r="I10" s="12">
        <f>Table245[[#This Row],[Cost per Unit(Rokkas)]]*Table245[[#This Row],[Quantity]]</f>
        <v>40000</v>
      </c>
      <c r="J10" s="12">
        <f>Table245[[#This Row],[Cost per Unit(BSG)]]*Table245[[#This Row],[Quantity]]</f>
        <v>21600</v>
      </c>
      <c r="K10" s="35">
        <f>Table245[[#This Row],[Cost per Unit(Phillipson)]]*Table245[[#This Row],[Quantity]]</f>
        <v>40000</v>
      </c>
    </row>
    <row r="11" spans="1:11" x14ac:dyDescent="0.3">
      <c r="A11" s="6"/>
      <c r="B11" s="6"/>
      <c r="C11" s="4"/>
      <c r="D11" s="4"/>
      <c r="E11" s="4"/>
      <c r="F11" s="4"/>
      <c r="G11" s="4"/>
      <c r="H11" s="8"/>
      <c r="I11" s="8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G14" s="21"/>
    </row>
    <row r="15" spans="1:11" ht="15" thickBot="1" x14ac:dyDescent="0.35">
      <c r="A15" t="s">
        <v>85</v>
      </c>
      <c r="B15" s="9">
        <f>SUM(H2:H7)</f>
        <v>6458</v>
      </c>
      <c r="C15" s="9">
        <f>SUM(H8:H8)</f>
        <v>1920</v>
      </c>
      <c r="D15" s="10">
        <f>SUM(H9:H11)</f>
        <v>94880</v>
      </c>
      <c r="E15" s="5">
        <f>SUM(B15:D15)</f>
        <v>103258</v>
      </c>
      <c r="F15" s="5"/>
      <c r="G15" s="10"/>
    </row>
    <row r="16" spans="1:11" ht="15.6" thickTop="1" thickBot="1" x14ac:dyDescent="0.35">
      <c r="A16" t="s">
        <v>86</v>
      </c>
      <c r="B16">
        <f>SUM(I2:I7)</f>
        <v>19000</v>
      </c>
      <c r="C16">
        <f>SUM(I8)</f>
        <v>320</v>
      </c>
      <c r="D16" s="21">
        <f>SUM(I9:I10)</f>
        <v>120000</v>
      </c>
      <c r="E16" s="5">
        <f t="shared" ref="E16:E18" si="0">SUM(B16:D16)</f>
        <v>139320</v>
      </c>
      <c r="F16" s="5"/>
    </row>
    <row r="17" spans="1:6" ht="15.6" thickTop="1" thickBot="1" x14ac:dyDescent="0.35">
      <c r="A17" t="s">
        <v>110</v>
      </c>
      <c r="B17">
        <f>SUM(J2:J7)</f>
        <v>28200</v>
      </c>
      <c r="C17">
        <f>J8</f>
        <v>160</v>
      </c>
      <c r="D17" s="21">
        <f>SUM(J9:J10)</f>
        <v>213600</v>
      </c>
      <c r="E17" s="5">
        <f t="shared" si="0"/>
        <v>241960</v>
      </c>
      <c r="F17" s="5"/>
    </row>
    <row r="18" spans="1:6" ht="15.6" thickTop="1" thickBot="1" x14ac:dyDescent="0.35">
      <c r="A18" t="s">
        <v>6</v>
      </c>
      <c r="B18">
        <f>SUM(K2:K7)</f>
        <v>4800</v>
      </c>
      <c r="C18">
        <f>K8</f>
        <v>0</v>
      </c>
      <c r="D18" s="21">
        <f>SUM(K9:K10)</f>
        <v>120000</v>
      </c>
      <c r="E18" s="5">
        <f t="shared" si="0"/>
        <v>124800</v>
      </c>
    </row>
    <row r="19" spans="1:6" ht="15" thickTop="1" x14ac:dyDescent="0.3"/>
  </sheetData>
  <pageMargins left="0.7" right="0.7" top="0.75" bottom="0.75" header="0.3" footer="0.3"/>
  <pageSetup orientation="portrait" r:id="rId1"/>
  <headerFooter>
    <oddFooter>&amp;LUnrestricted</oddFooter>
  </headerFooter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D1" workbookViewId="0">
      <selection activeCell="G11" sqref="G11"/>
    </sheetView>
  </sheetViews>
  <sheetFormatPr defaultRowHeight="14.4" x14ac:dyDescent="0.3"/>
  <cols>
    <col min="1" max="1" width="25.5546875" customWidth="1"/>
    <col min="2" max="2" width="27.6640625" customWidth="1"/>
    <col min="3" max="3" width="25" customWidth="1"/>
    <col min="4" max="4" width="28.33203125" customWidth="1"/>
    <col min="5" max="5" width="28" customWidth="1"/>
    <col min="6" max="6" width="28" style="24" customWidth="1"/>
    <col min="10" max="10" width="29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87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41</v>
      </c>
      <c r="C2" s="4">
        <v>16</v>
      </c>
      <c r="D2" s="4">
        <v>0</v>
      </c>
      <c r="E2" s="4">
        <v>0</v>
      </c>
      <c r="F2" s="4">
        <v>0</v>
      </c>
      <c r="G2" s="4">
        <v>5</v>
      </c>
      <c r="H2" s="4">
        <f>Table2456[[#This Row],[Cost per Unit (OASE)]]*Table2456[[#This Row],[Quantity]]</f>
        <v>80</v>
      </c>
      <c r="I2" s="12">
        <f>Table2456[[#This Row],[Cost per Unit(Rokkas)]]*Table2456[[#This Row],[Quantity]]</f>
        <v>0</v>
      </c>
      <c r="J2" s="12">
        <f>Table2456[[#This Row],[Cost per Unit (BSG)]]*Table2456[[#This Row],[Quantity]]</f>
        <v>0</v>
      </c>
      <c r="K2" s="35">
        <f>Table2456[[#This Row],[Cost per Unit(Phillipson)]]*Table2456[[#This Row],[Quantity]]</f>
        <v>0</v>
      </c>
    </row>
    <row r="3" spans="1:11" x14ac:dyDescent="0.3">
      <c r="A3" s="6" t="s">
        <v>27</v>
      </c>
      <c r="B3" s="6" t="s">
        <v>42</v>
      </c>
      <c r="C3" s="4">
        <v>17</v>
      </c>
      <c r="D3" s="4">
        <f>10000/50</f>
        <v>200</v>
      </c>
      <c r="E3" s="4">
        <v>350</v>
      </c>
      <c r="F3" s="4">
        <v>60</v>
      </c>
      <c r="G3" s="4">
        <v>80</v>
      </c>
      <c r="H3" s="4">
        <f>Table2456[[#This Row],[Cost per Unit (OASE)]]*Table2456[[#This Row],[Quantity]]</f>
        <v>1360</v>
      </c>
      <c r="I3" s="12">
        <f>Table2456[[#This Row],[Cost per Unit(Rokkas)]]*Table2456[[#This Row],[Quantity]]</f>
        <v>16000</v>
      </c>
      <c r="J3" s="12">
        <f>Table2456[[#This Row],[Cost per Unit (BSG)]]*Table2456[[#This Row],[Quantity]]</f>
        <v>28000</v>
      </c>
      <c r="K3" s="35">
        <f>Table2456[[#This Row],[Cost per Unit(Phillipson)]]*Table2456[[#This Row],[Quantity]]</f>
        <v>4800</v>
      </c>
    </row>
    <row r="4" spans="1:11" x14ac:dyDescent="0.3">
      <c r="A4" s="6" t="s">
        <v>27</v>
      </c>
      <c r="B4" s="6" t="s">
        <v>43</v>
      </c>
      <c r="C4" s="4">
        <v>63</v>
      </c>
      <c r="D4" s="4">
        <v>0</v>
      </c>
      <c r="E4" s="4">
        <v>0</v>
      </c>
      <c r="F4" s="4">
        <v>0</v>
      </c>
      <c r="G4" s="4">
        <v>80</v>
      </c>
      <c r="H4" s="4">
        <f>Table2456[[#This Row],[Cost per Unit (OASE)]]*Table2456[[#This Row],[Quantity]]</f>
        <v>5040</v>
      </c>
      <c r="I4" s="12">
        <f>Table2456[[#This Row],[Cost per Unit(Rokkas)]]*Table2456[[#This Row],[Quantity]]</f>
        <v>0</v>
      </c>
      <c r="J4" s="12">
        <f>Table2456[[#This Row],[Cost per Unit (BSG)]]*Table2456[[#This Row],[Quantity]]</f>
        <v>0</v>
      </c>
      <c r="K4" s="35">
        <f>Table2456[[#This Row],[Cost per Unit(Phillipson)]]*Table2456[[#This Row],[Quantity]]</f>
        <v>0</v>
      </c>
    </row>
    <row r="5" spans="1:11" x14ac:dyDescent="0.3">
      <c r="A5" s="6" t="s">
        <v>27</v>
      </c>
      <c r="B5" s="6" t="s">
        <v>44</v>
      </c>
      <c r="C5" s="4">
        <v>2.2999999999999998</v>
      </c>
      <c r="D5" s="4">
        <v>0</v>
      </c>
      <c r="E5" s="4">
        <v>0</v>
      </c>
      <c r="F5" s="4">
        <v>0</v>
      </c>
      <c r="G5" s="4">
        <v>80</v>
      </c>
      <c r="H5" s="4">
        <f>Table2456[[#This Row],[Cost per Unit (OASE)]]*Table2456[[#This Row],[Quantity]]</f>
        <v>184</v>
      </c>
      <c r="I5" s="12">
        <f>Table2456[[#This Row],[Cost per Unit(Rokkas)]]*Table2456[[#This Row],[Quantity]]</f>
        <v>0</v>
      </c>
      <c r="J5" s="12">
        <f>Table2456[[#This Row],[Cost per Unit (BSG)]]*Table2456[[#This Row],[Quantity]]</f>
        <v>0</v>
      </c>
      <c r="K5" s="35">
        <f>Table2456[[#This Row],[Cost per Unit(Phillipson)]]*Table2456[[#This Row],[Quantity]]</f>
        <v>0</v>
      </c>
    </row>
    <row r="6" spans="1:11" x14ac:dyDescent="0.3">
      <c r="A6" s="6" t="s">
        <v>27</v>
      </c>
      <c r="B6" s="6" t="s">
        <v>45</v>
      </c>
      <c r="C6" s="4">
        <f>0.1/4.5</f>
        <v>2.2222222222222223E-2</v>
      </c>
      <c r="D6" s="4">
        <v>0</v>
      </c>
      <c r="E6" s="4">
        <v>0</v>
      </c>
      <c r="F6" s="4">
        <v>0</v>
      </c>
      <c r="G6" s="4">
        <v>4500</v>
      </c>
      <c r="H6" s="4">
        <f>Table2456[[#This Row],[Cost per Unit (OASE)]]*Table2456[[#This Row],[Quantity]]</f>
        <v>100</v>
      </c>
      <c r="I6" s="12">
        <f>Table2456[[#This Row],[Cost per Unit(Rokkas)]]*Table2456[[#This Row],[Quantity]]</f>
        <v>0</v>
      </c>
      <c r="J6" s="12">
        <f>Table2456[[#This Row],[Cost per Unit (BSG)]]*Table2456[[#This Row],[Quantity]]</f>
        <v>0</v>
      </c>
      <c r="K6" s="35">
        <f>Table2456[[#This Row],[Cost per Unit(Phillipson)]]*Table2456[[#This Row],[Quantity]]</f>
        <v>0</v>
      </c>
    </row>
    <row r="7" spans="1:11" x14ac:dyDescent="0.3">
      <c r="A7" s="6" t="s">
        <v>27</v>
      </c>
      <c r="B7" s="6" t="s">
        <v>46</v>
      </c>
      <c r="C7" s="4">
        <v>400</v>
      </c>
      <c r="D7" s="4">
        <v>3000</v>
      </c>
      <c r="E7" s="4">
        <v>200</v>
      </c>
      <c r="F7" s="4">
        <v>0</v>
      </c>
      <c r="G7" s="4">
        <v>1</v>
      </c>
      <c r="H7" s="4">
        <f>Table2456[[#This Row],[Cost per Unit (OASE)]]*Table2456[[#This Row],[Quantity]]</f>
        <v>400</v>
      </c>
      <c r="I7" s="12">
        <f>Table2456[[#This Row],[Cost per Unit(Rokkas)]]*Table2456[[#This Row],[Quantity]]</f>
        <v>3000</v>
      </c>
      <c r="J7" s="12">
        <f>Table2456[[#This Row],[Cost per Unit (BSG)]]*Table2456[[#This Row],[Quantity]]</f>
        <v>200</v>
      </c>
      <c r="K7" s="35">
        <f>Table2456[[#This Row],[Cost per Unit(Phillipson)]]*Table2456[[#This Row],[Quantity]]</f>
        <v>0</v>
      </c>
    </row>
    <row r="8" spans="1:11" x14ac:dyDescent="0.3">
      <c r="A8" s="6" t="s">
        <v>28</v>
      </c>
      <c r="B8" s="6" t="s">
        <v>47</v>
      </c>
      <c r="C8" s="4">
        <f>80*0.3</f>
        <v>24</v>
      </c>
      <c r="D8" s="4">
        <f>200/50</f>
        <v>4</v>
      </c>
      <c r="E8" s="4">
        <v>2</v>
      </c>
      <c r="F8" s="4">
        <v>2</v>
      </c>
      <c r="G8" s="4">
        <v>80</v>
      </c>
      <c r="H8" s="4">
        <f>Table2456[[#This Row],[Cost per Unit (OASE)]]*Table2456[[#This Row],[Quantity]]</f>
        <v>1920</v>
      </c>
      <c r="I8" s="12">
        <f>Table2456[[#This Row],[Cost per Unit(Rokkas)]]*Table2456[[#This Row],[Quantity]]</f>
        <v>320</v>
      </c>
      <c r="J8" s="12">
        <f>Table2456[[#This Row],[Cost per Unit (BSG)]]*Table2456[[#This Row],[Quantity]]</f>
        <v>160</v>
      </c>
      <c r="K8" s="35">
        <f>Table2456[[#This Row],[Cost per Unit(Phillipson)]]*Table2456[[#This Row],[Quantity]]</f>
        <v>160</v>
      </c>
    </row>
    <row r="9" spans="1:11" x14ac:dyDescent="0.3">
      <c r="A9" s="6" t="s">
        <v>32</v>
      </c>
      <c r="B9" s="6" t="s">
        <v>48</v>
      </c>
      <c r="C9" s="4">
        <v>1.8</v>
      </c>
      <c r="D9" s="4">
        <v>4</v>
      </c>
      <c r="E9" s="4">
        <v>2</v>
      </c>
      <c r="F9" s="4">
        <v>0</v>
      </c>
      <c r="G9" s="4">
        <v>8000</v>
      </c>
      <c r="H9" s="4">
        <f>Table2456[[#This Row],[Cost per Unit (OASE)]]*Table2456[[#This Row],[Quantity]]</f>
        <v>14400</v>
      </c>
      <c r="I9" s="12">
        <f>Table2456[[#This Row],[Cost per Unit(Rokkas)]]*Table2456[[#This Row],[Quantity]]</f>
        <v>32000</v>
      </c>
      <c r="J9" s="12">
        <f>Table2456[[#This Row],[Cost per Unit (BSG)]]*Table2456[[#This Row],[Quantity]]</f>
        <v>16000</v>
      </c>
      <c r="K9" s="35">
        <f>Table2456[[#This Row],[Cost per Unit(Phillipson)]]*Table2456[[#This Row],[Quantity]]</f>
        <v>0</v>
      </c>
    </row>
    <row r="10" spans="1:11" x14ac:dyDescent="0.3">
      <c r="A10" s="6" t="s">
        <v>32</v>
      </c>
      <c r="B10" s="6" t="s">
        <v>128</v>
      </c>
      <c r="C10" s="4">
        <f>2.1+2</f>
        <v>4.0999999999999996</v>
      </c>
      <c r="D10" s="4">
        <f>2+250/50</f>
        <v>7</v>
      </c>
      <c r="E10" s="4">
        <f>2.7+2</f>
        <v>4.7</v>
      </c>
      <c r="F10" s="4">
        <f>5+2</f>
        <v>7</v>
      </c>
      <c r="G10" s="4">
        <v>64000</v>
      </c>
      <c r="H10" s="4">
        <f>Table2456[[#This Row],[Cost per Unit (OASE)]]*Table2456[[#This Row],[Quantity]]</f>
        <v>262400</v>
      </c>
      <c r="I10" s="12">
        <f>Table2456[[#This Row],[Cost per Unit(Rokkas)]]*Table2456[[#This Row],[Quantity]]</f>
        <v>448000</v>
      </c>
      <c r="J10" s="12">
        <f>Table2456[[#This Row],[Cost per Unit (BSG)]]*Table2456[[#This Row],[Quantity]]</f>
        <v>300800</v>
      </c>
      <c r="K10" s="35">
        <f>Table2456[[#This Row],[Cost per Unit(Phillipson)]]*Table2456[[#This Row],[Quantity]]</f>
        <v>448000</v>
      </c>
    </row>
    <row r="11" spans="1:11" x14ac:dyDescent="0.3">
      <c r="A11" s="6"/>
      <c r="B11" s="6"/>
      <c r="C11" s="4"/>
      <c r="D11" s="4"/>
      <c r="E11" s="8"/>
      <c r="F11" s="36"/>
    </row>
    <row r="14" spans="1:11" x14ac:dyDescent="0.3">
      <c r="A14" t="s">
        <v>49</v>
      </c>
      <c r="B14" t="s">
        <v>35</v>
      </c>
      <c r="C14" t="s">
        <v>36</v>
      </c>
      <c r="D14" t="s">
        <v>37</v>
      </c>
      <c r="E14" t="s">
        <v>34</v>
      </c>
      <c r="J14" s="31"/>
    </row>
    <row r="15" spans="1:11" ht="15" thickBot="1" x14ac:dyDescent="0.35">
      <c r="A15" t="s">
        <v>85</v>
      </c>
      <c r="B15" s="9">
        <f>SUM(H2:H7)</f>
        <v>7164</v>
      </c>
      <c r="C15" s="9">
        <f>SUM(H8:H8)</f>
        <v>1920</v>
      </c>
      <c r="D15" s="10">
        <f>SUM(H9:H10)</f>
        <v>276800</v>
      </c>
      <c r="E15" s="5">
        <f>SUM(B15:D15)</f>
        <v>285884</v>
      </c>
      <c r="F15" s="5"/>
      <c r="J15" s="28"/>
    </row>
    <row r="16" spans="1:11" ht="15.6" thickTop="1" thickBot="1" x14ac:dyDescent="0.35">
      <c r="A16" t="s">
        <v>89</v>
      </c>
      <c r="B16">
        <f>SUM(I2:I7)</f>
        <v>19000</v>
      </c>
      <c r="C16">
        <f>SUM(I8)</f>
        <v>320</v>
      </c>
      <c r="D16">
        <f>SUM(I9:I10)</f>
        <v>480000</v>
      </c>
      <c r="E16" s="5">
        <f>SUM(B16:D16)</f>
        <v>499320</v>
      </c>
      <c r="F16" s="5"/>
      <c r="J16" s="29"/>
    </row>
    <row r="17" spans="1:10" ht="15.6" thickTop="1" thickBot="1" x14ac:dyDescent="0.35">
      <c r="A17" t="s">
        <v>110</v>
      </c>
      <c r="B17">
        <f>SUM(J2:J7)</f>
        <v>28200</v>
      </c>
      <c r="C17">
        <f>SUM(J8)</f>
        <v>160</v>
      </c>
      <c r="D17">
        <f>SUM(J9:J10)</f>
        <v>316800</v>
      </c>
      <c r="E17" s="5">
        <f>SUM(B17:D17)</f>
        <v>345160</v>
      </c>
      <c r="F17" s="5"/>
      <c r="J17" s="28"/>
    </row>
    <row r="18" spans="1:10" ht="15.6" thickTop="1" thickBot="1" x14ac:dyDescent="0.35">
      <c r="A18" t="s">
        <v>6</v>
      </c>
      <c r="B18">
        <f>SUM(K2:K7)</f>
        <v>4800</v>
      </c>
      <c r="C18" s="24">
        <f>SUM(K8)</f>
        <v>160</v>
      </c>
      <c r="D18" s="24">
        <f>SUM(K10:K11)</f>
        <v>448000</v>
      </c>
      <c r="E18" s="5">
        <f>SUM(B18:D18)</f>
        <v>452960</v>
      </c>
      <c r="J18" s="29"/>
    </row>
    <row r="19" spans="1:10" ht="15" thickTop="1" x14ac:dyDescent="0.3">
      <c r="J19" s="28"/>
    </row>
    <row r="20" spans="1:10" x14ac:dyDescent="0.3">
      <c r="J20" s="29"/>
    </row>
    <row r="21" spans="1:10" x14ac:dyDescent="0.3">
      <c r="J21" s="28"/>
    </row>
    <row r="22" spans="1:10" x14ac:dyDescent="0.3">
      <c r="J22" s="29"/>
    </row>
    <row r="23" spans="1:10" x14ac:dyDescent="0.3">
      <c r="J23" s="28"/>
    </row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11" sqref="G11"/>
    </sheetView>
  </sheetViews>
  <sheetFormatPr defaultRowHeight="14.4" x14ac:dyDescent="0.3"/>
  <cols>
    <col min="1" max="1" width="29.33203125" customWidth="1"/>
    <col min="2" max="2" width="38" customWidth="1"/>
    <col min="3" max="3" width="21.33203125" customWidth="1"/>
    <col min="4" max="4" width="18" customWidth="1"/>
    <col min="5" max="5" width="17.88671875" customWidth="1"/>
    <col min="6" max="6" width="30.33203125" style="24" customWidth="1"/>
    <col min="8" max="8" width="18.8867187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108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v>0</v>
      </c>
      <c r="F2" s="4">
        <v>55</v>
      </c>
      <c r="G2" s="4">
        <v>240</v>
      </c>
      <c r="H2" s="4">
        <f>Table247[[#This Row],[Cost per Unit (OASE)]]*Table247[[#This Row],[Quantity]]</f>
        <v>19200</v>
      </c>
      <c r="I2" s="12">
        <f>Table247[[#This Row],[Cost per Unit (Rokkas)]]*Table247[[#This Row],[Quantity]]</f>
        <v>33600</v>
      </c>
      <c r="J2" s="12">
        <f>Table247[[#This Row],[Cost per Unit (BSG)]]*Table247[[#This Row],[Quantity]]</f>
        <v>0</v>
      </c>
      <c r="K2" s="35">
        <f>Table247[[#This Row],[Cost per Unit(Phillipson)]]*Table247[[#This Row],[Quantity]]</f>
        <v>13200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300</v>
      </c>
      <c r="F3" s="4">
        <v>0</v>
      </c>
      <c r="G3" s="4">
        <v>800</v>
      </c>
      <c r="H3" s="4">
        <f>Table247[[#This Row],[Cost per Unit (OASE)]]*Table247[[#This Row],[Quantity]]</f>
        <v>9600</v>
      </c>
      <c r="I3" s="12">
        <f>Table247[[#This Row],[Cost per Unit (Rokkas)]]*Table247[[#This Row],[Quantity]]</f>
        <v>3200</v>
      </c>
      <c r="J3" s="12">
        <f>Table247[[#This Row],[Cost per Unit (BSG)]]*Table247[[#This Row],[Quantity]]</f>
        <v>240000</v>
      </c>
      <c r="K3" s="35">
        <f>Table247[[#This Row],[Cost per Unit(Phillipson)]]*Table247[[#This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4500</v>
      </c>
      <c r="H4" s="4">
        <f>Table247[[#This Row],[Cost per Unit (OASE)]]*Table247[[#This Row],[Quantity]]</f>
        <v>50</v>
      </c>
      <c r="I4" s="12">
        <f>Table247[[#This Row],[Cost per Unit (Rokkas)]]*Table247[[#This Row],[Quantity]]</f>
        <v>0</v>
      </c>
      <c r="J4" s="12">
        <f>Table247[[#This Row],[Cost per Unit (BSG)]]*Table247[[#This Row],[Quantity]]</f>
        <v>0</v>
      </c>
      <c r="K4" s="35">
        <f>Table247[[#This Row],[Cost per Unit(Phillipson)]]*Table247[[#This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v>3000</v>
      </c>
      <c r="E5" s="4">
        <v>200</v>
      </c>
      <c r="F5" s="4">
        <v>0</v>
      </c>
      <c r="G5" s="4">
        <v>1</v>
      </c>
      <c r="H5" s="4">
        <f>Table247[[#This Row],[Cost per Unit (OASE)]]*Table247[[#This Row],[Quantity]]</f>
        <v>200</v>
      </c>
      <c r="I5" s="12">
        <f>Table247[[#This Row],[Cost per Unit (Rokkas)]]*Table247[[#This Row],[Quantity]]</f>
        <v>3000</v>
      </c>
      <c r="J5" s="12">
        <f>Table247[[#This Row],[Cost per Unit (BSG)]]*Table247[[#This Row],[Quantity]]</f>
        <v>200</v>
      </c>
      <c r="K5" s="35">
        <f>Table247[[#This Row],[Cost per Unit(Phillipson)]]*Table247[[#This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v>0</v>
      </c>
      <c r="F6" s="4">
        <v>0</v>
      </c>
      <c r="G6" s="4">
        <v>248</v>
      </c>
      <c r="H6" s="4">
        <f>Table247[[#This Row],[Cost per Unit (OASE)]]*Table247[[#This Row],[Quantity]]</f>
        <v>446.40000000000003</v>
      </c>
      <c r="I6" s="12">
        <f>Table247[[#This Row],[Cost per Unit (Rokkas)]]*Table247[[#This Row],[Quantity]]</f>
        <v>2480</v>
      </c>
      <c r="J6" s="12">
        <f>Table247[[#This Row],[Cost per Unit (BSG)]]*Table247[[#This Row],[Quantity]]</f>
        <v>0</v>
      </c>
      <c r="K6" s="35">
        <f>Table247[[#This Row],[Cost per Unit(Phillipson)]]*Table247[[#This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v>4</v>
      </c>
      <c r="E7" s="4">
        <v>200</v>
      </c>
      <c r="F7" s="4">
        <v>4</v>
      </c>
      <c r="G7" s="4">
        <v>248</v>
      </c>
      <c r="H7" s="4">
        <f>Table247[[#This Row],[Cost per Unit (OASE)]]*Table247[[#This Row],[Quantity]]</f>
        <v>2976</v>
      </c>
      <c r="I7" s="12">
        <f>Table247[[#This Row],[Cost per Unit (Rokkas)]]*Table247[[#This Row],[Quantity]]</f>
        <v>992</v>
      </c>
      <c r="J7" s="12">
        <f>Table247[[#This Row],[Cost per Unit (BSG)]]*Table247[[#This Row],[Quantity]]</f>
        <v>49600</v>
      </c>
      <c r="K7" s="35">
        <f>Table247[[#This Row],[Cost per Unit(Phillipson)]]*Table247[[#This Row],[Quantity]]</f>
        <v>992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v>2</v>
      </c>
      <c r="F8" s="4">
        <v>0</v>
      </c>
      <c r="G8" s="4">
        <v>928</v>
      </c>
      <c r="H8" s="4">
        <f>Table247[[#This Row],[Cost per Unit (OASE)]]*Table247[[#This Row],[Quantity]]</f>
        <v>1670.4</v>
      </c>
      <c r="I8" s="12">
        <f>Table247[[#This Row],[Cost per Unit (Rokkas)]]*Table247[[#This Row],[Quantity]]</f>
        <v>9280</v>
      </c>
      <c r="J8" s="12">
        <f>Table247[[#This Row],[Cost per Unit (BSG)]]*Table247[[#This Row],[Quantity]]</f>
        <v>1856</v>
      </c>
      <c r="K8" s="35">
        <f>Table247[[#This Row],[Cost per Unit(Phillipson)]]*Table247[[#This Row],[Quantity]]</f>
        <v>0</v>
      </c>
    </row>
    <row r="9" spans="1:11" x14ac:dyDescent="0.3">
      <c r="A9" s="6" t="s">
        <v>32</v>
      </c>
      <c r="B9" s="6" t="s">
        <v>29</v>
      </c>
      <c r="C9" s="4">
        <v>1.8</v>
      </c>
      <c r="D9" s="4">
        <v>0</v>
      </c>
      <c r="E9" s="4">
        <v>2</v>
      </c>
      <c r="F9" s="4">
        <v>0</v>
      </c>
      <c r="G9" s="4">
        <v>8000</v>
      </c>
      <c r="H9" s="4">
        <f>Table247[[#This Row],[Cost per Unit (OASE)]]*Table247[[#This Row],[Quantity]]</f>
        <v>14400</v>
      </c>
      <c r="I9" s="12">
        <f>Table247[[#This Row],[Cost per Unit (Rokkas)]]*Table247[[#This Row],[Quantity]]</f>
        <v>0</v>
      </c>
      <c r="J9" s="12">
        <f>Table247[[#This Row],[Cost per Unit (BSG)]]*Table247[[#This Row],[Quantity]]</f>
        <v>16000</v>
      </c>
      <c r="K9" s="35">
        <f>Table247[[#This Row],[Cost per Unit(Phillipson)]]*Table247[[#This Row],[Quantity]]</f>
        <v>0</v>
      </c>
    </row>
    <row r="10" spans="1:11" x14ac:dyDescent="0.3">
      <c r="A10" s="6" t="s">
        <v>32</v>
      </c>
      <c r="B10" s="6" t="s">
        <v>40</v>
      </c>
      <c r="C10" s="4">
        <f>1.8+2</f>
        <v>3.8</v>
      </c>
      <c r="D10" s="4">
        <f>4+2</f>
        <v>6</v>
      </c>
      <c r="E10" s="4">
        <f>2.7+2</f>
        <v>4.7</v>
      </c>
      <c r="F10" s="4">
        <f>5+2</f>
        <v>7</v>
      </c>
      <c r="G10" s="4">
        <v>64000</v>
      </c>
      <c r="H10" s="4">
        <f>Table247[[#This Row],[Cost per Unit (OASE)]]*Table247[[#This Row],[Quantity]]</f>
        <v>243200</v>
      </c>
      <c r="I10" s="12">
        <f>Table247[[#This Row],[Cost per Unit (Rokkas)]]*Table247[[#This Row],[Quantity]]</f>
        <v>384000</v>
      </c>
      <c r="J10" s="12">
        <f>Table247[[#This Row],[Cost per Unit (BSG)]]*Table247[[#This Row],[Quantity]]</f>
        <v>300800</v>
      </c>
      <c r="K10" s="35">
        <f>Table247[[#This Row],[Cost per Unit(Phillipson)]]*Table247[[#This Row],[Quantity]]</f>
        <v>448000</v>
      </c>
    </row>
    <row r="11" spans="1:11" x14ac:dyDescent="0.3">
      <c r="A11" s="6"/>
      <c r="B11" s="6"/>
      <c r="C11" s="4"/>
      <c r="D11" s="4"/>
      <c r="E11" s="8"/>
      <c r="F11" s="36"/>
    </row>
    <row r="16" spans="1:11" x14ac:dyDescent="0.3">
      <c r="A16" t="s">
        <v>84</v>
      </c>
      <c r="B16" t="s">
        <v>35</v>
      </c>
      <c r="C16" t="s">
        <v>36</v>
      </c>
      <c r="D16" t="s">
        <v>37</v>
      </c>
      <c r="E16" t="s">
        <v>34</v>
      </c>
    </row>
    <row r="17" spans="1:6" ht="15" thickBot="1" x14ac:dyDescent="0.35">
      <c r="A17" t="s">
        <v>85</v>
      </c>
      <c r="B17" s="9">
        <f>SUM(H2:H5)</f>
        <v>29050</v>
      </c>
      <c r="C17" s="9">
        <f>SUM(H6:H8)</f>
        <v>5092.8</v>
      </c>
      <c r="D17" s="10">
        <f>SUM(H9:H10)</f>
        <v>257600</v>
      </c>
      <c r="E17" s="5">
        <f>SUM(B17:D17)</f>
        <v>291742.8</v>
      </c>
      <c r="F17" s="5"/>
    </row>
    <row r="18" spans="1:6" ht="15.6" thickTop="1" thickBot="1" x14ac:dyDescent="0.35">
      <c r="A18" t="s">
        <v>86</v>
      </c>
      <c r="B18">
        <f>SUM(I2:I5)</f>
        <v>39800</v>
      </c>
      <c r="C18">
        <f>SUM(I6:I8)</f>
        <v>12752</v>
      </c>
      <c r="D18">
        <f>SUM(I9:I10)</f>
        <v>384000</v>
      </c>
      <c r="E18" s="5">
        <f>SUM(B18:D18)</f>
        <v>436552</v>
      </c>
      <c r="F18" s="5"/>
    </row>
    <row r="19" spans="1:6" ht="15.6" thickTop="1" thickBot="1" x14ac:dyDescent="0.35">
      <c r="A19" t="s">
        <v>110</v>
      </c>
      <c r="B19">
        <f>SUM(J2:J5)</f>
        <v>240200</v>
      </c>
      <c r="C19">
        <f>SUM(J6:J8)</f>
        <v>51456</v>
      </c>
      <c r="D19">
        <f>SUM(J9:J10)</f>
        <v>316800</v>
      </c>
      <c r="E19" s="5">
        <f>SUM(B19:D19)</f>
        <v>608456</v>
      </c>
      <c r="F19" s="5"/>
    </row>
    <row r="20" spans="1:6" ht="15.6" thickTop="1" thickBot="1" x14ac:dyDescent="0.35">
      <c r="A20" t="s">
        <v>6</v>
      </c>
      <c r="B20" s="24">
        <f>SUM(K2:K5)</f>
        <v>13200</v>
      </c>
      <c r="C20" s="24">
        <f>SUM(K6:K8)</f>
        <v>992</v>
      </c>
      <c r="D20" s="24">
        <f>SUM(K9:K10)</f>
        <v>448000</v>
      </c>
      <c r="E20" s="5">
        <f>SUM(B20:D20)</f>
        <v>462192</v>
      </c>
    </row>
    <row r="21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D1" workbookViewId="0">
      <selection activeCell="G11" sqref="G11"/>
    </sheetView>
  </sheetViews>
  <sheetFormatPr defaultRowHeight="14.4" x14ac:dyDescent="0.3"/>
  <cols>
    <col min="1" max="1" width="38.5546875" customWidth="1"/>
    <col min="2" max="2" width="37.44140625" customWidth="1"/>
    <col min="3" max="3" width="28.88671875" customWidth="1"/>
    <col min="4" max="4" width="32.44140625" customWidth="1"/>
    <col min="5" max="5" width="34.33203125" customWidth="1"/>
    <col min="6" max="6" width="34.33203125" style="24" customWidth="1"/>
    <col min="7" max="7" width="16" customWidth="1"/>
    <col min="8" max="8" width="17.44140625" customWidth="1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124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63</v>
      </c>
      <c r="C2" s="4">
        <v>80</v>
      </c>
      <c r="D2" s="4">
        <f>3500/50</f>
        <v>70</v>
      </c>
      <c r="E2" s="4">
        <f>57600/4/50</f>
        <v>288</v>
      </c>
      <c r="F2" s="4">
        <v>50</v>
      </c>
      <c r="G2" s="4">
        <v>60</v>
      </c>
      <c r="H2" s="4">
        <f>Table29[[#This Row],[Cost per Unit (OASE)]]*Table29[[#This Row],[Quantity]]</f>
        <v>4800</v>
      </c>
      <c r="I2" s="12">
        <f t="shared" ref="I2:I11" si="0">D2*G2</f>
        <v>4200</v>
      </c>
      <c r="J2" s="12">
        <f>Table29[[#This Row],[Cost per Unit(BSG)]]*Table29[[#This Row],[Quantity]]</f>
        <v>17280</v>
      </c>
      <c r="K2" s="35">
        <f>Table29[[#This Row],[Cost per Unit (Phillipson)]]*Table29[[#This Row],[Quantity]]</f>
        <v>3000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f>200/50</f>
        <v>4</v>
      </c>
      <c r="E3" s="4">
        <v>0</v>
      </c>
      <c r="F3" s="4">
        <v>0</v>
      </c>
      <c r="G3" s="4">
        <v>220</v>
      </c>
      <c r="H3" s="4">
        <f>Table29[[#This Row],[Cost per Unit (OASE)]]*Table29[[#This Row],[Quantity]]</f>
        <v>2640</v>
      </c>
      <c r="I3" s="12">
        <f t="shared" si="0"/>
        <v>880</v>
      </c>
      <c r="J3" s="12">
        <f>Table29[[#This Row],[Cost per Unit(BSG)]]*Table29[[#This Row],[Quantity]]</f>
        <v>0</v>
      </c>
      <c r="K3" s="35">
        <f>Table29[[#This Row],[Cost per Unit (Phillipson)]]*Table29[[#This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4500</v>
      </c>
      <c r="H4" s="4">
        <f>Table29[[#This Row],[Cost per Unit (OASE)]]*Table29[[#This Row],[Quantity]]</f>
        <v>50</v>
      </c>
      <c r="I4" s="12">
        <f t="shared" si="0"/>
        <v>0</v>
      </c>
      <c r="J4" s="12">
        <f>Table29[[#This Row],[Cost per Unit(BSG)]]*Table29[[#This Row],[Quantity]]</f>
        <v>0</v>
      </c>
      <c r="K4" s="35">
        <f>Table29[[#This Row],[Cost per Unit (Phillipson)]]*Table29[[#This Row],[Quantity]]</f>
        <v>0</v>
      </c>
    </row>
    <row r="5" spans="1:11" x14ac:dyDescent="0.3">
      <c r="A5" s="6" t="s">
        <v>27</v>
      </c>
      <c r="B5" s="6" t="s">
        <v>26</v>
      </c>
      <c r="C5" s="4">
        <v>200</v>
      </c>
      <c r="D5" s="4">
        <f>150000/50</f>
        <v>3000</v>
      </c>
      <c r="E5" s="4">
        <f>5000/50</f>
        <v>100</v>
      </c>
      <c r="F5" s="4">
        <v>0</v>
      </c>
      <c r="G5" s="4">
        <v>1</v>
      </c>
      <c r="H5" s="4">
        <f>Table29[[#This Row],[Cost per Unit (OASE)]]*Table29[[#This Row],[Quantity]]</f>
        <v>200</v>
      </c>
      <c r="I5" s="12">
        <f t="shared" si="0"/>
        <v>3000</v>
      </c>
      <c r="J5" s="12">
        <f>Table29[[#This Row],[Cost per Unit(BSG)]]*Table29[[#This Row],[Quantity]]</f>
        <v>100</v>
      </c>
      <c r="K5" s="35">
        <f>Table29[[#This Row],[Cost per Unit (Phillipson)]]*Table29[[#This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f>500/50</f>
        <v>10</v>
      </c>
      <c r="E6" s="4">
        <f>70/50</f>
        <v>1.4</v>
      </c>
      <c r="F6" s="4">
        <v>0</v>
      </c>
      <c r="G6" s="4">
        <v>450</v>
      </c>
      <c r="H6" s="4">
        <f>Table29[[#This Row],[Cost per Unit (OASE)]]*Table29[[#This Row],[Quantity]]</f>
        <v>810</v>
      </c>
      <c r="I6" s="12">
        <f t="shared" si="0"/>
        <v>4500</v>
      </c>
      <c r="J6" s="12">
        <f>Table29[[#This Row],[Cost per Unit(BSG)]]*Table29[[#This Row],[Quantity]]</f>
        <v>630</v>
      </c>
      <c r="K6" s="35">
        <f>Table29[[#This Row],[Cost per Unit (Phillipson)]]*Table29[[#This Row],[Quantity]]</f>
        <v>0</v>
      </c>
    </row>
    <row r="7" spans="1:11" x14ac:dyDescent="0.3">
      <c r="A7" s="6" t="s">
        <v>28</v>
      </c>
      <c r="B7" s="6" t="s">
        <v>39</v>
      </c>
      <c r="C7" s="4">
        <v>12</v>
      </c>
      <c r="D7" s="4">
        <f>200/50</f>
        <v>4</v>
      </c>
      <c r="E7" s="4">
        <v>0</v>
      </c>
      <c r="F7" s="4">
        <v>0</v>
      </c>
      <c r="G7" s="4">
        <v>450</v>
      </c>
      <c r="H7" s="4">
        <f>Table29[[#This Row],[Cost per Unit (OASE)]]*Table29[[#This Row],[Quantity]]</f>
        <v>5400</v>
      </c>
      <c r="I7" s="12">
        <f t="shared" si="0"/>
        <v>1800</v>
      </c>
      <c r="J7" s="12">
        <f>Table29[[#This Row],[Cost per Unit(BSG)]]*Table29[[#This Row],[Quantity]]</f>
        <v>0</v>
      </c>
      <c r="K7" s="35">
        <f>Table29[[#This Row],[Cost per Unit (Phillipson)]]*Table29[[#This Row],[Quantity]]</f>
        <v>0</v>
      </c>
    </row>
    <row r="8" spans="1:11" x14ac:dyDescent="0.3">
      <c r="A8" s="6" t="s">
        <v>30</v>
      </c>
      <c r="B8" s="6" t="s">
        <v>31</v>
      </c>
      <c r="C8" s="4">
        <v>1</v>
      </c>
      <c r="D8" s="4">
        <f>100/50</f>
        <v>2</v>
      </c>
      <c r="E8" s="4">
        <f>80/50</f>
        <v>1.6</v>
      </c>
      <c r="F8" s="4">
        <v>5</v>
      </c>
      <c r="G8" s="4">
        <f>928*4</f>
        <v>3712</v>
      </c>
      <c r="H8" s="4">
        <f>Table29[[#This Row],[Cost per Unit (OASE)]]*Table29[[#This Row],[Quantity]]</f>
        <v>3712</v>
      </c>
      <c r="I8" s="12">
        <f t="shared" si="0"/>
        <v>7424</v>
      </c>
      <c r="J8" s="12">
        <f>Table29[[#This Row],[Cost per Unit(BSG)]]*Table29[[#This Row],[Quantity]]</f>
        <v>5939.2000000000007</v>
      </c>
      <c r="K8" s="35">
        <f>Table29[[#This Row],[Cost per Unit (Phillipson)]]*Table29[[#This Row],[Quantity]]</f>
        <v>18560</v>
      </c>
    </row>
    <row r="9" spans="1:11" x14ac:dyDescent="0.3">
      <c r="A9" s="6" t="s">
        <v>30</v>
      </c>
      <c r="B9" s="6" t="s">
        <v>64</v>
      </c>
      <c r="C9" s="4">
        <v>1.2</v>
      </c>
      <c r="D9" s="4">
        <v>10</v>
      </c>
      <c r="E9" s="4">
        <v>1.4</v>
      </c>
      <c r="F9" s="4">
        <v>0</v>
      </c>
      <c r="G9" s="4">
        <v>928</v>
      </c>
      <c r="H9" s="4">
        <f>Table29[[#This Row],[Cost per Unit (OASE)]]*Table29[[#This Row],[Quantity]]</f>
        <v>1113.5999999999999</v>
      </c>
      <c r="I9" s="12">
        <f t="shared" si="0"/>
        <v>9280</v>
      </c>
      <c r="J9" s="12">
        <f>Table29[[#This Row],[Cost per Unit(BSG)]]*Table29[[#This Row],[Quantity]]</f>
        <v>1299.1999999999998</v>
      </c>
      <c r="K9" s="35">
        <f>Table29[[#This Row],[Cost per Unit (Phillipson)]]*Table29[[#This Row],[Quantity]]</f>
        <v>0</v>
      </c>
    </row>
    <row r="10" spans="1:11" x14ac:dyDescent="0.3">
      <c r="A10" s="6" t="s">
        <v>30</v>
      </c>
      <c r="B10" s="6" t="s">
        <v>114</v>
      </c>
      <c r="C10" s="4">
        <f>12+(100/4)</f>
        <v>37</v>
      </c>
      <c r="D10" s="4">
        <f>(15000/4)/50</f>
        <v>75</v>
      </c>
      <c r="E10" s="4">
        <f>(1200+(13500/4))/50</f>
        <v>91.5</v>
      </c>
      <c r="F10" s="4">
        <v>10</v>
      </c>
      <c r="G10" s="4">
        <f>928*4</f>
        <v>3712</v>
      </c>
      <c r="H10" s="4">
        <f>Table29[[#This Row],[Cost per Unit (OASE)]]*Table29[[#This Row],[Quantity]]</f>
        <v>137344</v>
      </c>
      <c r="I10" s="12">
        <f t="shared" si="0"/>
        <v>278400</v>
      </c>
      <c r="J10" s="12">
        <f>Table29[[#This Row],[Cost per Unit(BSG)]]*Table29[[#This Row],[Quantity]]</f>
        <v>339648</v>
      </c>
      <c r="K10" s="35">
        <f>Table29[[#This Row],[Cost per Unit (Phillipson)]]*Table29[[#This Row],[Quantity]]</f>
        <v>37120</v>
      </c>
    </row>
    <row r="11" spans="1:11" x14ac:dyDescent="0.3">
      <c r="A11" s="6" t="s">
        <v>32</v>
      </c>
      <c r="B11" s="6" t="s">
        <v>66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8">
        <f>Table29[[#This Row],[Cost per Unit (OASE)]]*Table29[[#This Row],[Quantity]]</f>
        <v>0</v>
      </c>
      <c r="I11" s="12">
        <f t="shared" si="0"/>
        <v>0</v>
      </c>
      <c r="J11" s="12">
        <f>Table29[[#This Row],[Cost per Unit(BSG)]]*Table29[[#This Row],[Quantity]]</f>
        <v>0</v>
      </c>
      <c r="K11" s="35">
        <f>Table29[[#This Row],[Cost per Unit (Phillipson)]]*Table29[[#This Row],[Quantity]]</f>
        <v>0</v>
      </c>
    </row>
    <row r="12" spans="1:11" x14ac:dyDescent="0.3">
      <c r="A12" s="6"/>
      <c r="B12" s="6"/>
      <c r="C12" s="4"/>
      <c r="D12" s="4"/>
      <c r="E12" s="4"/>
      <c r="F12" s="12"/>
    </row>
    <row r="13" spans="1:11" x14ac:dyDescent="0.3">
      <c r="A13" s="6"/>
      <c r="B13" s="6"/>
      <c r="C13" s="4"/>
      <c r="D13" s="4"/>
      <c r="E13" s="4"/>
      <c r="F13" s="12"/>
    </row>
    <row r="15" spans="1:11" x14ac:dyDescent="0.3">
      <c r="A15" t="s">
        <v>84</v>
      </c>
      <c r="B15" s="19" t="s">
        <v>35</v>
      </c>
      <c r="C15" s="19" t="s">
        <v>36</v>
      </c>
      <c r="D15" s="19" t="s">
        <v>37</v>
      </c>
      <c r="E15" s="19" t="s">
        <v>34</v>
      </c>
    </row>
    <row r="16" spans="1:11" ht="15" thickBot="1" x14ac:dyDescent="0.35">
      <c r="A16" t="s">
        <v>85</v>
      </c>
      <c r="B16" s="20">
        <f>SUM(H1:H5)</f>
        <v>7690</v>
      </c>
      <c r="C16" s="20">
        <f>SUM(H5:H10)</f>
        <v>148579.6</v>
      </c>
      <c r="D16" s="10">
        <f>SUM(H11)</f>
        <v>0</v>
      </c>
      <c r="E16" s="5">
        <f>SUM(B16:D16)</f>
        <v>156269.6</v>
      </c>
      <c r="F16" s="5"/>
    </row>
    <row r="17" spans="1:6" ht="15.6" thickTop="1" thickBot="1" x14ac:dyDescent="0.35">
      <c r="A17" t="s">
        <v>86</v>
      </c>
      <c r="B17">
        <f>SUM(I2:I5)</f>
        <v>8080</v>
      </c>
      <c r="C17">
        <f>SUM(I6:I10)</f>
        <v>301404</v>
      </c>
      <c r="D17">
        <v>0</v>
      </c>
      <c r="E17" s="5">
        <f>SUM(B17:D17)</f>
        <v>309484</v>
      </c>
      <c r="F17" s="5"/>
    </row>
    <row r="18" spans="1:6" ht="15.6" thickTop="1" thickBot="1" x14ac:dyDescent="0.35">
      <c r="A18" t="s">
        <v>110</v>
      </c>
      <c r="B18">
        <f>SUM(J2:J5)</f>
        <v>17380</v>
      </c>
      <c r="C18">
        <f>SUM(J6:J10)</f>
        <v>347516.4</v>
      </c>
      <c r="D18">
        <v>0</v>
      </c>
      <c r="E18" s="5">
        <f>SUM(B18:D18)</f>
        <v>364896.4</v>
      </c>
      <c r="F18" s="5"/>
    </row>
    <row r="19" spans="1:6" ht="15.6" thickTop="1" thickBot="1" x14ac:dyDescent="0.35">
      <c r="A19" t="s">
        <v>6</v>
      </c>
      <c r="B19" s="24">
        <f>SUM(K2:K5)</f>
        <v>3000</v>
      </c>
      <c r="C19" s="24">
        <f>SUM(K6:K10)</f>
        <v>55680</v>
      </c>
      <c r="D19" s="24">
        <v>0</v>
      </c>
      <c r="E19" s="5">
        <f>SUM(B19:D19)</f>
        <v>58680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28" sqref="B28"/>
    </sheetView>
  </sheetViews>
  <sheetFormatPr defaultColWidth="9.109375" defaultRowHeight="14.4" x14ac:dyDescent="0.3"/>
  <cols>
    <col min="1" max="1" width="29.33203125" style="13" customWidth="1"/>
    <col min="2" max="2" width="38" style="13" customWidth="1"/>
    <col min="3" max="3" width="21.33203125" style="13" customWidth="1"/>
    <col min="4" max="4" width="18" style="13" customWidth="1"/>
    <col min="5" max="5" width="17.88671875" style="13" customWidth="1"/>
    <col min="6" max="6" width="17.88671875" style="24" customWidth="1"/>
    <col min="7" max="7" width="24.44140625" style="13" customWidth="1"/>
    <col min="8" max="8" width="25.5546875" style="13" customWidth="1"/>
    <col min="9" max="16384" width="9.109375" style="13"/>
  </cols>
  <sheetData>
    <row r="1" spans="1:11" x14ac:dyDescent="0.3">
      <c r="A1" s="7" t="s">
        <v>18</v>
      </c>
      <c r="B1" s="7" t="s">
        <v>19</v>
      </c>
      <c r="C1" s="7" t="s">
        <v>20</v>
      </c>
      <c r="D1" s="7" t="s">
        <v>82</v>
      </c>
      <c r="E1" s="7" t="s">
        <v>111</v>
      </c>
      <c r="F1" s="7" t="s">
        <v>123</v>
      </c>
      <c r="G1" s="7" t="s">
        <v>21</v>
      </c>
      <c r="H1" s="7" t="s">
        <v>22</v>
      </c>
      <c r="I1" s="7" t="s">
        <v>83</v>
      </c>
      <c r="J1" s="7" t="s">
        <v>109</v>
      </c>
      <c r="K1" s="34" t="s">
        <v>122</v>
      </c>
    </row>
    <row r="2" spans="1:11" x14ac:dyDescent="0.3">
      <c r="A2" s="6" t="s">
        <v>27</v>
      </c>
      <c r="B2" s="6" t="s">
        <v>38</v>
      </c>
      <c r="C2" s="4">
        <v>80</v>
      </c>
      <c r="D2" s="4">
        <f>7000/50</f>
        <v>140</v>
      </c>
      <c r="E2" s="4">
        <f>60000/4/50</f>
        <v>300</v>
      </c>
      <c r="F2" s="4">
        <v>55</v>
      </c>
      <c r="G2" s="4">
        <v>120</v>
      </c>
      <c r="H2" s="4">
        <f>Table2410[[#This Row],[Cost per Unit (OASE)]]*Table2410[[#This Row],[Quantity]]</f>
        <v>9600</v>
      </c>
      <c r="I2" s="12">
        <f>Table2410[[#This Row],[Cost per Unit (Rokkas)]]*Table2410[[#This Row],[Quantity]]</f>
        <v>16800</v>
      </c>
      <c r="J2" s="12">
        <f>Table2410[[#This Row],[Cost per Unit(BSG)]]*Table2410[[#This Row],[Quantity]]</f>
        <v>36000</v>
      </c>
      <c r="K2" s="35">
        <f>Table2410[[#This Row],[Cost per Unit(Phillipson)]]*Table2410[[#This Row],[Quantity]]</f>
        <v>6600</v>
      </c>
    </row>
    <row r="3" spans="1:11" x14ac:dyDescent="0.3">
      <c r="A3" s="6" t="s">
        <v>27</v>
      </c>
      <c r="B3" s="6" t="s">
        <v>39</v>
      </c>
      <c r="C3" s="4">
        <v>12</v>
      </c>
      <c r="D3" s="4">
        <v>4</v>
      </c>
      <c r="E3" s="4">
        <v>0</v>
      </c>
      <c r="F3" s="4">
        <v>0</v>
      </c>
      <c r="G3" s="4">
        <v>400</v>
      </c>
      <c r="H3" s="4">
        <f>Table2410[[#This Row],[Cost per Unit (OASE)]]*Table2410[[#This Row],[Quantity]]</f>
        <v>4800</v>
      </c>
      <c r="I3" s="12">
        <f>Table2410[[#This Row],[Cost per Unit (Rokkas)]]*Table2410[[#This Row],[Quantity]]</f>
        <v>1600</v>
      </c>
      <c r="J3" s="12">
        <f>Table2410[[#This Row],[Cost per Unit(BSG)]]*Table2410[[#This Row],[Quantity]]</f>
        <v>0</v>
      </c>
      <c r="K3" s="35">
        <f>Table2410[[#This Row],[Cost per Unit(Phillipson)]]*Table2410[[#This Row],[Quantity]]</f>
        <v>0</v>
      </c>
    </row>
    <row r="4" spans="1:11" x14ac:dyDescent="0.3">
      <c r="A4" s="6" t="s">
        <v>27</v>
      </c>
      <c r="B4" s="6" t="s">
        <v>25</v>
      </c>
      <c r="C4" s="4">
        <f>0.1/9</f>
        <v>1.1111111111111112E-2</v>
      </c>
      <c r="D4" s="4">
        <v>0</v>
      </c>
      <c r="E4" s="4">
        <v>0</v>
      </c>
      <c r="F4" s="4">
        <v>0</v>
      </c>
      <c r="G4" s="4">
        <v>3600</v>
      </c>
      <c r="H4" s="4">
        <f>Table2410[[#This Row],[Cost per Unit (OASE)]]*Table2410[[#This Row],[Quantity]]</f>
        <v>40</v>
      </c>
      <c r="I4" s="12">
        <f>Table2410[[#This Row],[Cost per Unit (Rokkas)]]*Table2410[[#This Row],[Quantity]]</f>
        <v>0</v>
      </c>
      <c r="J4" s="12">
        <f>Table2410[[#This Row],[Cost per Unit(BSG)]]*Table2410[[#This Row],[Quantity]]</f>
        <v>0</v>
      </c>
      <c r="K4" s="35">
        <f>Table2410[[#This Row],[Cost per Unit(Phillipson)]]*Table2410[[#This Row],[Quantity]]</f>
        <v>0</v>
      </c>
    </row>
    <row r="5" spans="1:11" x14ac:dyDescent="0.3">
      <c r="A5" s="6" t="s">
        <v>27</v>
      </c>
      <c r="B5" s="6" t="s">
        <v>26</v>
      </c>
      <c r="C5" s="4">
        <v>400</v>
      </c>
      <c r="D5" s="4">
        <v>3000</v>
      </c>
      <c r="E5" s="4">
        <v>100</v>
      </c>
      <c r="F5" s="4">
        <v>0</v>
      </c>
      <c r="G5" s="4">
        <v>1</v>
      </c>
      <c r="H5" s="4">
        <f>Table2410[[#This Row],[Cost per Unit (OASE)]]*Table2410[[#This Row],[Quantity]]</f>
        <v>400</v>
      </c>
      <c r="I5" s="12">
        <f>Table2410[[#This Row],[Cost per Unit (Rokkas)]]*Table2410[[#This Row],[Quantity]]</f>
        <v>3000</v>
      </c>
      <c r="J5" s="12">
        <f>Table2410[[#This Row],[Cost per Unit(BSG)]]*Table2410[[#This Row],[Quantity]]</f>
        <v>100</v>
      </c>
      <c r="K5" s="35">
        <f>Table2410[[#This Row],[Cost per Unit(Phillipson)]]*Table2410[[#This Row],[Quantity]]</f>
        <v>0</v>
      </c>
    </row>
    <row r="6" spans="1:11" x14ac:dyDescent="0.3">
      <c r="A6" s="6" t="s">
        <v>28</v>
      </c>
      <c r="B6" s="6" t="s">
        <v>29</v>
      </c>
      <c r="C6" s="4">
        <v>1.8</v>
      </c>
      <c r="D6" s="4">
        <v>10</v>
      </c>
      <c r="E6" s="4">
        <f>70/50</f>
        <v>1.4</v>
      </c>
      <c r="F6" s="4">
        <v>0</v>
      </c>
      <c r="G6" s="4">
        <v>248</v>
      </c>
      <c r="H6" s="4">
        <f>Table2410[[#This Row],[Cost per Unit (OASE)]]*Table2410[[#This Row],[Quantity]]</f>
        <v>446.40000000000003</v>
      </c>
      <c r="I6" s="12">
        <f>Table2410[[#This Row],[Cost per Unit (Rokkas)]]*Table2410[[#This Row],[Quantity]]</f>
        <v>2480</v>
      </c>
      <c r="J6" s="12">
        <f>Table2410[[#This Row],[Cost per Unit(BSG)]]*Table2410[[#This Row],[Quantity]]</f>
        <v>347.2</v>
      </c>
      <c r="K6" s="35">
        <f>Table2410[[#This Row],[Cost per Unit(Phillipson)]]*Table2410[[#This Row],[Quantity]]</f>
        <v>0</v>
      </c>
    </row>
    <row r="7" spans="1:11" x14ac:dyDescent="0.3">
      <c r="A7" s="6" t="s">
        <v>28</v>
      </c>
      <c r="B7" s="6" t="s">
        <v>24</v>
      </c>
      <c r="C7" s="4">
        <v>4</v>
      </c>
      <c r="D7" s="4">
        <v>4</v>
      </c>
      <c r="E7" s="4">
        <v>0</v>
      </c>
      <c r="F7" s="4">
        <v>20</v>
      </c>
      <c r="G7" s="4">
        <v>248</v>
      </c>
      <c r="H7" s="4">
        <f>Table2410[[#This Row],[Cost per Unit (OASE)]]*Table2410[[#This Row],[Quantity]]</f>
        <v>992</v>
      </c>
      <c r="I7" s="12">
        <f>Table2410[[#This Row],[Cost per Unit (Rokkas)]]*Table2410[[#This Row],[Quantity]]</f>
        <v>992</v>
      </c>
      <c r="J7" s="12">
        <f>Table2410[[#This Row],[Cost per Unit(BSG)]]*Table2410[[#This Row],[Quantity]]</f>
        <v>0</v>
      </c>
      <c r="K7" s="35">
        <f>Table2410[[#This Row],[Cost per Unit(Phillipson)]]*Table2410[[#This Row],[Quantity]]</f>
        <v>4960</v>
      </c>
    </row>
    <row r="8" spans="1:11" x14ac:dyDescent="0.3">
      <c r="A8" s="6" t="s">
        <v>30</v>
      </c>
      <c r="B8" s="6" t="s">
        <v>29</v>
      </c>
      <c r="C8" s="4">
        <v>1.8</v>
      </c>
      <c r="D8" s="4">
        <v>10</v>
      </c>
      <c r="E8" s="4">
        <f>80/50</f>
        <v>1.6</v>
      </c>
      <c r="F8" s="4">
        <v>0</v>
      </c>
      <c r="G8" s="4">
        <v>1856</v>
      </c>
      <c r="H8" s="4">
        <f>Table2410[[#This Row],[Cost per Unit (OASE)]]*Table2410[[#This Row],[Quantity]]</f>
        <v>3340.8</v>
      </c>
      <c r="I8" s="12">
        <f>Table2410[[#This Row],[Cost per Unit (Rokkas)]]*Table2410[[#This Row],[Quantity]]</f>
        <v>18560</v>
      </c>
      <c r="J8" s="12">
        <f>Table2410[[#This Row],[Cost per Unit(BSG)]]*Table2410[[#This Row],[Quantity]]</f>
        <v>2969.6000000000004</v>
      </c>
      <c r="K8" s="35">
        <f>Table2410[[#This Row],[Cost per Unit(Phillipson)]]*Table2410[[#This Row],[Quantity]]</f>
        <v>0</v>
      </c>
    </row>
    <row r="9" spans="1:11" x14ac:dyDescent="0.3">
      <c r="A9" s="6" t="s">
        <v>32</v>
      </c>
      <c r="B9" s="6" t="s">
        <v>65</v>
      </c>
      <c r="C9" s="4">
        <f>10</f>
        <v>10</v>
      </c>
      <c r="D9" s="4">
        <v>10</v>
      </c>
      <c r="E9" s="4">
        <f>24</f>
        <v>24</v>
      </c>
      <c r="F9" s="4">
        <v>10</v>
      </c>
      <c r="G9" s="4">
        <v>16000</v>
      </c>
      <c r="H9" s="4">
        <f>Table2410[[#This Row],[Cost per Unit (OASE)]]*Table2410[[#This Row],[Quantity]]</f>
        <v>160000</v>
      </c>
      <c r="I9" s="12">
        <f>Table2410[[#This Row],[Cost per Unit (Rokkas)]]*Table2410[[#This Row],[Quantity]]</f>
        <v>160000</v>
      </c>
      <c r="J9" s="12">
        <f>Table2410[[#This Row],[Cost per Unit(BSG)]]*Table2410[[#This Row],[Quantity]]</f>
        <v>384000</v>
      </c>
      <c r="K9" s="35">
        <f>Table2410[[#This Row],[Cost per Unit(Phillipson)]]*Table2410[[#This Row],[Quantity]]</f>
        <v>160000</v>
      </c>
    </row>
    <row r="10" spans="1:11" x14ac:dyDescent="0.3">
      <c r="A10" s="6" t="s">
        <v>32</v>
      </c>
      <c r="B10" s="6" t="s">
        <v>40</v>
      </c>
      <c r="C10" s="4">
        <v>2.2999999999999998</v>
      </c>
      <c r="D10" s="4">
        <v>4</v>
      </c>
      <c r="E10" s="4">
        <f>80/50</f>
        <v>1.6</v>
      </c>
      <c r="F10" s="4">
        <v>5</v>
      </c>
      <c r="G10" s="4">
        <v>16000</v>
      </c>
      <c r="H10" s="11">
        <f>Table2410[[#This Row],[Cost per Unit (OASE)]]*Table2410[[#This Row],[Quantity]]</f>
        <v>36800</v>
      </c>
      <c r="I10" s="12">
        <f>Table2410[[#This Row],[Cost per Unit (Rokkas)]]*Table2410[[#This Row],[Quantity]]</f>
        <v>64000</v>
      </c>
      <c r="J10" s="12">
        <f>Table2410[[#This Row],[Cost per Unit(BSG)]]*Table2410[[#This Row],[Quantity]]</f>
        <v>25600</v>
      </c>
      <c r="K10" s="35">
        <f>Table2410[[#This Row],[Cost per Unit(Phillipson)]]*Table2410[[#This Row],[Quantity]]</f>
        <v>80000</v>
      </c>
    </row>
    <row r="15" spans="1:11" x14ac:dyDescent="0.3">
      <c r="A15" s="13" t="s">
        <v>84</v>
      </c>
      <c r="B15" s="13" t="s">
        <v>35</v>
      </c>
      <c r="C15" s="13" t="s">
        <v>36</v>
      </c>
      <c r="D15" s="13" t="s">
        <v>37</v>
      </c>
      <c r="E15" s="13" t="s">
        <v>34</v>
      </c>
    </row>
    <row r="16" spans="1:11" ht="15" thickBot="1" x14ac:dyDescent="0.35">
      <c r="A16" s="13" t="s">
        <v>85</v>
      </c>
      <c r="B16" s="14">
        <f>SUM(H2:H5)</f>
        <v>14840</v>
      </c>
      <c r="C16" s="14">
        <f>SUM(H6:H8)</f>
        <v>4779.2000000000007</v>
      </c>
      <c r="D16" s="10">
        <f>SUM(H9:H10)</f>
        <v>196800</v>
      </c>
      <c r="E16" s="5">
        <f>SUM(B16:D16)</f>
        <v>216419.20000000001</v>
      </c>
      <c r="F16" s="5"/>
    </row>
    <row r="17" spans="1:6" ht="15.6" thickTop="1" thickBot="1" x14ac:dyDescent="0.35">
      <c r="A17" s="13" t="s">
        <v>86</v>
      </c>
      <c r="B17" s="13">
        <f>SUM(I2:I5)</f>
        <v>21400</v>
      </c>
      <c r="C17" s="13">
        <f>SUM(I6:I8)</f>
        <v>22032</v>
      </c>
      <c r="D17" s="13">
        <f>SUM(I9:I10)</f>
        <v>224000</v>
      </c>
      <c r="E17" s="5">
        <f>SUM(B17:D17)</f>
        <v>267432</v>
      </c>
      <c r="F17" s="5"/>
    </row>
    <row r="18" spans="1:6" ht="15.6" thickTop="1" thickBot="1" x14ac:dyDescent="0.35">
      <c r="A18" s="13" t="s">
        <v>110</v>
      </c>
      <c r="B18" s="13">
        <f>SUM(J2:J5)</f>
        <v>36100</v>
      </c>
      <c r="C18" s="13">
        <f>SUM(J6:J8)</f>
        <v>3316.8</v>
      </c>
      <c r="D18" s="13">
        <f>SUM(J9:J10)</f>
        <v>409600</v>
      </c>
      <c r="E18" s="5">
        <f>SUM(B18:D18)</f>
        <v>449016.8</v>
      </c>
      <c r="F18" s="5"/>
    </row>
    <row r="19" spans="1:6" ht="15.6" thickTop="1" thickBot="1" x14ac:dyDescent="0.35">
      <c r="A19" s="13" t="s">
        <v>6</v>
      </c>
      <c r="B19" s="24">
        <f>SUM(K2:K5)</f>
        <v>6600</v>
      </c>
      <c r="C19" s="24">
        <f>SUM(K6:K8)</f>
        <v>4960</v>
      </c>
      <c r="D19" s="24">
        <f>SUM(K9:K10)</f>
        <v>240000</v>
      </c>
      <c r="E19" s="5">
        <f>SUM(B19:D19)</f>
        <v>251560</v>
      </c>
    </row>
    <row r="20" spans="1:6" ht="15" thickTop="1" x14ac:dyDescent="0.3"/>
  </sheetData>
  <pageMargins left="0.7" right="0.7" top="0.75" bottom="0.75" header="0.3" footer="0.3"/>
  <pageSetup paperSize="9" orientation="portrait" verticalDpi="0" r:id="rId1"/>
  <headerFooter>
    <oddFooter>&amp;LUnrestricted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Papers and Reports</vt:lpstr>
      <vt:lpstr>Results_Visual</vt:lpstr>
      <vt:lpstr>FTTCab GPON 26 Mbps</vt:lpstr>
      <vt:lpstr>FTTB XGPON 50 Mbps</vt:lpstr>
      <vt:lpstr>FTTB WR-WDMPON 50 Mbps</vt:lpstr>
      <vt:lpstr>FTTH WR-WDMPON 100 Mbps</vt:lpstr>
      <vt:lpstr>FTTH XGPON 100 Mbps</vt:lpstr>
      <vt:lpstr>FTTCab_GPON_100</vt:lpstr>
      <vt:lpstr>FTTB_XGPON_100</vt:lpstr>
      <vt:lpstr>FTTB_WRWDM_100</vt:lpstr>
      <vt:lpstr>FTTCab_Hybridpon_25</vt:lpstr>
      <vt:lpstr>FTTB_Hybridpon_50</vt:lpstr>
      <vt:lpstr>FTTH_Hybridpon_100</vt:lpstr>
      <vt:lpstr>FTTC_Hybridpon_100</vt:lpstr>
      <vt:lpstr>FTTB_Hybridpon_100</vt:lpstr>
      <vt:lpstr>CAPEX_Euros_OASE</vt:lpstr>
      <vt:lpstr>CAPEX_Euros_Rokkas</vt:lpstr>
      <vt:lpstr>CAPEX_Euros_BSG</vt:lpstr>
      <vt:lpstr>CAPEX_Euros_Phillipson</vt:lpstr>
    </vt:vector>
  </TitlesOfParts>
  <Company>Technische Universität München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Patri, Sai Kireet</dc:creator>
  <cp:keywords>C_Unrestricted</cp:keywords>
  <cp:lastModifiedBy>Ahmadzay</cp:lastModifiedBy>
  <dcterms:created xsi:type="dcterms:W3CDTF">2018-06-18T12:55:08Z</dcterms:created>
  <dcterms:modified xsi:type="dcterms:W3CDTF">2018-07-01T12:40:38Z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</Properties>
</file>