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drawings/drawing2.xml" ContentType="application/vnd.openxmlformats-officedocument.drawing+xml"/>
  <Override PartName="/xl/tables/table2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27795" windowHeight="14055" firstSheet="7" activeTab="14"/>
  </bookViews>
  <sheets>
    <sheet name="FTTC_GPON_25_PIVOT" sheetId="4" r:id="rId1"/>
    <sheet name="FTTC_GPON_25" sheetId="2" r:id="rId2"/>
    <sheet name="FTTB_XGPON_50" sheetId="3" r:id="rId3"/>
    <sheet name="FTTB_DWDM_50" sheetId="5" r:id="rId4"/>
    <sheet name="FTTH_DWDM_100" sheetId="6" r:id="rId5"/>
    <sheet name="FTTH_XGPON_100" sheetId="7" r:id="rId6"/>
    <sheet name="FTTC_GPON_100" sheetId="8" r:id="rId7"/>
    <sheet name="FTTB_XGPON_100" sheetId="9" r:id="rId8"/>
    <sheet name="FTTB_DWDM_100" sheetId="10" r:id="rId9"/>
    <sheet name="FTTC_Hybridpon_25" sheetId="11" r:id="rId10"/>
    <sheet name="FTTB_Hybridpon_50" sheetId="12" r:id="rId11"/>
    <sheet name="FTTH_Hybridpon_100" sheetId="13" r:id="rId12"/>
    <sheet name="FTTC_Hybridpon_100" sheetId="14" r:id="rId13"/>
    <sheet name="FTTB_Hybridpon_100" sheetId="15" r:id="rId14"/>
    <sheet name="OPEX" sheetId="16" r:id="rId15"/>
  </sheet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J53" i="16" l="1"/>
  <c r="J52" i="16"/>
  <c r="J51" i="16"/>
  <c r="J50" i="16"/>
  <c r="J49" i="16"/>
  <c r="J48" i="16"/>
  <c r="J47" i="16"/>
  <c r="J46" i="16"/>
  <c r="J45" i="16"/>
  <c r="J44" i="16"/>
  <c r="J43" i="16"/>
  <c r="J42" i="16"/>
  <c r="J41" i="16"/>
  <c r="L10" i="8" l="1"/>
  <c r="H3" i="8"/>
  <c r="H4" i="8"/>
  <c r="H5" i="8"/>
  <c r="H6" i="8"/>
  <c r="H7" i="8"/>
  <c r="H9" i="8"/>
  <c r="H10" i="8"/>
  <c r="M61" i="16" l="1"/>
  <c r="M60" i="16"/>
  <c r="M59" i="16"/>
  <c r="M58" i="16"/>
  <c r="M57" i="16"/>
  <c r="M56" i="16"/>
  <c r="M55" i="16"/>
  <c r="M54" i="16"/>
  <c r="M53" i="16"/>
  <c r="M51" i="16"/>
  <c r="M50" i="16"/>
  <c r="M49" i="16"/>
  <c r="Q33" i="16"/>
  <c r="P33" i="16"/>
  <c r="O33" i="16"/>
  <c r="N33" i="16"/>
  <c r="M33" i="16"/>
  <c r="L33" i="16"/>
  <c r="J33" i="16"/>
  <c r="G33" i="16"/>
  <c r="F33" i="16"/>
  <c r="E33" i="16"/>
  <c r="E2" i="2"/>
  <c r="M22" i="15"/>
  <c r="M21" i="15"/>
  <c r="N20" i="14"/>
  <c r="N19" i="14"/>
  <c r="P21" i="13"/>
  <c r="P20" i="13"/>
  <c r="P19" i="13"/>
  <c r="P23" i="13"/>
  <c r="P21" i="12"/>
  <c r="P20" i="12"/>
  <c r="P23" i="11"/>
  <c r="P22" i="11"/>
  <c r="M23" i="10"/>
  <c r="M22" i="10"/>
  <c r="M23" i="9"/>
  <c r="M22" i="9"/>
  <c r="M23" i="7"/>
  <c r="L4" i="7"/>
  <c r="L4" i="6"/>
  <c r="M4" i="6" s="1"/>
  <c r="O4" i="6" s="1"/>
  <c r="L6" i="6"/>
  <c r="L3" i="6"/>
  <c r="N24" i="5"/>
  <c r="N23" i="5"/>
  <c r="N28" i="3"/>
  <c r="N27" i="3"/>
  <c r="I28" i="2"/>
  <c r="I27" i="2"/>
  <c r="H18" i="15"/>
  <c r="I18" i="15" s="1"/>
  <c r="B18" i="15"/>
  <c r="C18" i="15" s="1"/>
  <c r="J18" i="15" s="1"/>
  <c r="I17" i="15"/>
  <c r="H17" i="15"/>
  <c r="B17" i="15"/>
  <c r="C17" i="15" s="1"/>
  <c r="J17" i="15" s="1"/>
  <c r="H16" i="15"/>
  <c r="I16" i="15" s="1"/>
  <c r="C16" i="15"/>
  <c r="J16" i="15" s="1"/>
  <c r="J19" i="15" s="1"/>
  <c r="B16" i="15"/>
  <c r="S9" i="15"/>
  <c r="T9" i="15" s="1"/>
  <c r="R9" i="15"/>
  <c r="W9" i="15" s="1"/>
  <c r="N9" i="15"/>
  <c r="L9" i="15"/>
  <c r="M9" i="15" s="1"/>
  <c r="O9" i="15" s="1"/>
  <c r="I9" i="15"/>
  <c r="F9" i="15"/>
  <c r="H9" i="15" s="1"/>
  <c r="W8" i="15"/>
  <c r="T8" i="15"/>
  <c r="S8" i="15"/>
  <c r="R8" i="15"/>
  <c r="N8" i="15"/>
  <c r="L8" i="15"/>
  <c r="M8" i="15" s="1"/>
  <c r="O8" i="15" s="1"/>
  <c r="I8" i="15"/>
  <c r="F8" i="15"/>
  <c r="H8" i="15" s="1"/>
  <c r="T7" i="15"/>
  <c r="W7" i="15" s="1"/>
  <c r="S7" i="15"/>
  <c r="R7" i="15"/>
  <c r="N7" i="15"/>
  <c r="O7" i="15" s="1"/>
  <c r="M7" i="15"/>
  <c r="I7" i="15"/>
  <c r="F7" i="15"/>
  <c r="H7" i="15" s="1"/>
  <c r="S6" i="15"/>
  <c r="T6" i="15" s="1"/>
  <c r="R6" i="15"/>
  <c r="W6" i="15" s="1"/>
  <c r="N6" i="15"/>
  <c r="M6" i="15"/>
  <c r="O6" i="15" s="1"/>
  <c r="I6" i="15"/>
  <c r="H6" i="15"/>
  <c r="F6" i="15"/>
  <c r="C6" i="15"/>
  <c r="W5" i="15"/>
  <c r="T5" i="15"/>
  <c r="S5" i="15"/>
  <c r="R5" i="15"/>
  <c r="O5" i="15"/>
  <c r="N5" i="15"/>
  <c r="M5" i="15"/>
  <c r="F5" i="15"/>
  <c r="H5" i="15" s="1"/>
  <c r="S4" i="15"/>
  <c r="T4" i="15" s="1"/>
  <c r="R4" i="15"/>
  <c r="W4" i="15" s="1"/>
  <c r="N4" i="15"/>
  <c r="L4" i="15"/>
  <c r="M4" i="15" s="1"/>
  <c r="O4" i="15" s="1"/>
  <c r="F4" i="15"/>
  <c r="H4" i="15" s="1"/>
  <c r="C4" i="15"/>
  <c r="W3" i="15"/>
  <c r="T3" i="15"/>
  <c r="S3" i="15"/>
  <c r="R3" i="15"/>
  <c r="N3" i="15"/>
  <c r="L3" i="15"/>
  <c r="M3" i="15" s="1"/>
  <c r="O3" i="15" s="1"/>
  <c r="I3" i="15"/>
  <c r="F3" i="15"/>
  <c r="H3" i="15" s="1"/>
  <c r="T2" i="15"/>
  <c r="W2" i="15" s="1"/>
  <c r="S2" i="15"/>
  <c r="R2" i="15"/>
  <c r="N2" i="15"/>
  <c r="L2" i="15"/>
  <c r="M2" i="15" s="1"/>
  <c r="I2" i="15"/>
  <c r="F2" i="15"/>
  <c r="H2" i="15" s="1"/>
  <c r="D9" i="14"/>
  <c r="D8" i="14"/>
  <c r="H19" i="14"/>
  <c r="I19" i="14" s="1"/>
  <c r="C19" i="14"/>
  <c r="J19" i="14" s="1"/>
  <c r="B19" i="14"/>
  <c r="I18" i="14"/>
  <c r="H18" i="14"/>
  <c r="B18" i="14"/>
  <c r="C18" i="14" s="1"/>
  <c r="J18" i="14" s="1"/>
  <c r="I17" i="14"/>
  <c r="H17" i="14"/>
  <c r="B17" i="14"/>
  <c r="C17" i="14" s="1"/>
  <c r="J17" i="14" s="1"/>
  <c r="S10" i="14"/>
  <c r="T10" i="14" s="1"/>
  <c r="R10" i="14"/>
  <c r="W10" i="14" s="1"/>
  <c r="N10" i="14"/>
  <c r="M10" i="14"/>
  <c r="O10" i="14" s="1"/>
  <c r="H10" i="14"/>
  <c r="F10" i="14"/>
  <c r="S9" i="14"/>
  <c r="T9" i="14" s="1"/>
  <c r="R9" i="14"/>
  <c r="N9" i="14"/>
  <c r="M9" i="14"/>
  <c r="O9" i="14" s="1"/>
  <c r="L9" i="14"/>
  <c r="I9" i="14"/>
  <c r="F9" i="14"/>
  <c r="H9" i="14" s="1"/>
  <c r="S8" i="14"/>
  <c r="T8" i="14" s="1"/>
  <c r="R8" i="14"/>
  <c r="W8" i="14" s="1"/>
  <c r="N8" i="14"/>
  <c r="L8" i="14"/>
  <c r="M8" i="14" s="1"/>
  <c r="O8" i="14" s="1"/>
  <c r="I8" i="14"/>
  <c r="F8" i="14"/>
  <c r="H8" i="14" s="1"/>
  <c r="S7" i="14"/>
  <c r="T7" i="14" s="1"/>
  <c r="R7" i="14"/>
  <c r="N7" i="14"/>
  <c r="L7" i="14"/>
  <c r="M7" i="14" s="1"/>
  <c r="O7" i="14" s="1"/>
  <c r="I7" i="14"/>
  <c r="F7" i="14"/>
  <c r="H7" i="14" s="1"/>
  <c r="T6" i="14"/>
  <c r="S6" i="14"/>
  <c r="R6" i="14"/>
  <c r="N6" i="14"/>
  <c r="O6" i="14" s="1"/>
  <c r="M6" i="14"/>
  <c r="I6" i="14"/>
  <c r="F6" i="14"/>
  <c r="H6" i="14" s="1"/>
  <c r="S5" i="14"/>
  <c r="T5" i="14" s="1"/>
  <c r="R5" i="14"/>
  <c r="W5" i="14" s="1"/>
  <c r="N5" i="14"/>
  <c r="M5" i="14"/>
  <c r="O5" i="14" s="1"/>
  <c r="I5" i="14"/>
  <c r="F5" i="14"/>
  <c r="H5" i="14" s="1"/>
  <c r="T4" i="14"/>
  <c r="S4" i="14"/>
  <c r="R4" i="14"/>
  <c r="N4" i="14"/>
  <c r="L4" i="14"/>
  <c r="M4" i="14" s="1"/>
  <c r="O4" i="14" s="1"/>
  <c r="F4" i="14"/>
  <c r="H4" i="14" s="1"/>
  <c r="S3" i="14"/>
  <c r="T3" i="14" s="1"/>
  <c r="R3" i="14"/>
  <c r="W3" i="14" s="1"/>
  <c r="N3" i="14"/>
  <c r="L3" i="14"/>
  <c r="M3" i="14" s="1"/>
  <c r="O3" i="14" s="1"/>
  <c r="I3" i="14"/>
  <c r="F3" i="14"/>
  <c r="H3" i="14" s="1"/>
  <c r="S2" i="14"/>
  <c r="T2" i="14" s="1"/>
  <c r="R2" i="14"/>
  <c r="N2" i="14"/>
  <c r="L2" i="14"/>
  <c r="M2" i="14" s="1"/>
  <c r="O2" i="14" s="1"/>
  <c r="I2" i="14"/>
  <c r="F2" i="14"/>
  <c r="H2" i="14" s="1"/>
  <c r="H18" i="13"/>
  <c r="I18" i="13" s="1"/>
  <c r="B18" i="13"/>
  <c r="C18" i="13" s="1"/>
  <c r="J18" i="13" s="1"/>
  <c r="I17" i="13"/>
  <c r="H17" i="13"/>
  <c r="C17" i="13"/>
  <c r="J17" i="13" s="1"/>
  <c r="B17" i="13"/>
  <c r="I16" i="13"/>
  <c r="H16" i="13"/>
  <c r="C16" i="13"/>
  <c r="J16" i="13" s="1"/>
  <c r="B16" i="13"/>
  <c r="T9" i="13"/>
  <c r="S9" i="13"/>
  <c r="R9" i="13"/>
  <c r="N9" i="13"/>
  <c r="I9" i="13"/>
  <c r="F9" i="13"/>
  <c r="H9" i="13" s="1"/>
  <c r="S8" i="13"/>
  <c r="T8" i="13" s="1"/>
  <c r="R8" i="13"/>
  <c r="N8" i="13"/>
  <c r="M8" i="13"/>
  <c r="O8" i="13" s="1"/>
  <c r="I8" i="13"/>
  <c r="F8" i="13"/>
  <c r="H8" i="13" s="1"/>
  <c r="T7" i="13"/>
  <c r="S7" i="13"/>
  <c r="R7" i="13"/>
  <c r="W7" i="13" s="1"/>
  <c r="O7" i="13"/>
  <c r="N7" i="13"/>
  <c r="M7" i="13"/>
  <c r="I7" i="13"/>
  <c r="F7" i="13"/>
  <c r="H7" i="13" s="1"/>
  <c r="S6" i="13"/>
  <c r="T6" i="13" s="1"/>
  <c r="R6" i="13"/>
  <c r="W6" i="13" s="1"/>
  <c r="N6" i="13"/>
  <c r="M6" i="13"/>
  <c r="O6" i="13" s="1"/>
  <c r="I6" i="13"/>
  <c r="F6" i="13"/>
  <c r="H6" i="13" s="1"/>
  <c r="C6" i="13"/>
  <c r="S5" i="13"/>
  <c r="T5" i="13" s="1"/>
  <c r="R5" i="13"/>
  <c r="W5" i="13" s="1"/>
  <c r="N5" i="13"/>
  <c r="M5" i="13"/>
  <c r="O5" i="13" s="1"/>
  <c r="H5" i="13"/>
  <c r="F5" i="13"/>
  <c r="S4" i="13"/>
  <c r="T4" i="13" s="1"/>
  <c r="R4" i="13"/>
  <c r="N4" i="13"/>
  <c r="M4" i="13"/>
  <c r="O4" i="13" s="1"/>
  <c r="L4" i="13"/>
  <c r="F4" i="13"/>
  <c r="H4" i="13" s="1"/>
  <c r="C4" i="13"/>
  <c r="S3" i="13"/>
  <c r="T3" i="13" s="1"/>
  <c r="R3" i="13"/>
  <c r="N3" i="13"/>
  <c r="L3" i="13"/>
  <c r="M3" i="13" s="1"/>
  <c r="O3" i="13" s="1"/>
  <c r="I3" i="13"/>
  <c r="F3" i="13"/>
  <c r="H3" i="13" s="1"/>
  <c r="W2" i="13"/>
  <c r="T2" i="13"/>
  <c r="S2" i="13"/>
  <c r="R2" i="13"/>
  <c r="N2" i="13"/>
  <c r="L2" i="13"/>
  <c r="M2" i="13" s="1"/>
  <c r="O2" i="13" s="1"/>
  <c r="I2" i="13"/>
  <c r="F2" i="13"/>
  <c r="H2" i="13" s="1"/>
  <c r="H10" i="13" s="1"/>
  <c r="J19" i="12"/>
  <c r="B18" i="12"/>
  <c r="C18" i="12" s="1"/>
  <c r="J18" i="12" s="1"/>
  <c r="H18" i="12"/>
  <c r="I18" i="12" s="1"/>
  <c r="H17" i="12"/>
  <c r="I17" i="12" s="1"/>
  <c r="C17" i="12"/>
  <c r="B17" i="12"/>
  <c r="I16" i="12"/>
  <c r="H16" i="12"/>
  <c r="B16" i="12"/>
  <c r="C16" i="12" s="1"/>
  <c r="J16" i="12" s="1"/>
  <c r="W9" i="9"/>
  <c r="R9" i="11"/>
  <c r="W9" i="11" s="1"/>
  <c r="W11" i="11" s="1"/>
  <c r="W3" i="12"/>
  <c r="W4" i="12"/>
  <c r="W5" i="12"/>
  <c r="W6" i="12"/>
  <c r="W7" i="12"/>
  <c r="W8" i="12"/>
  <c r="W9" i="12"/>
  <c r="W2" i="12"/>
  <c r="R9" i="12"/>
  <c r="R3" i="12"/>
  <c r="R4" i="12"/>
  <c r="R5" i="12"/>
  <c r="R6" i="12"/>
  <c r="R7" i="12"/>
  <c r="R8" i="12"/>
  <c r="R2" i="12"/>
  <c r="O10" i="12"/>
  <c r="S3" i="12"/>
  <c r="T3" i="12" s="1"/>
  <c r="S4" i="12"/>
  <c r="T4" i="12" s="1"/>
  <c r="S5" i="12"/>
  <c r="T5" i="12" s="1"/>
  <c r="S6" i="12"/>
  <c r="T6" i="12" s="1"/>
  <c r="S7" i="12"/>
  <c r="T7" i="12" s="1"/>
  <c r="S8" i="12"/>
  <c r="T8" i="12" s="1"/>
  <c r="S9" i="12"/>
  <c r="T9" i="12" s="1"/>
  <c r="S2" i="12"/>
  <c r="T2" i="12" s="1"/>
  <c r="N3" i="12"/>
  <c r="N4" i="12"/>
  <c r="N5" i="12"/>
  <c r="N6" i="12"/>
  <c r="N7" i="12"/>
  <c r="N8" i="12"/>
  <c r="N9" i="12"/>
  <c r="N2" i="12"/>
  <c r="M4" i="12"/>
  <c r="O4" i="12" s="1"/>
  <c r="M5" i="12"/>
  <c r="O5" i="12" s="1"/>
  <c r="M6" i="12"/>
  <c r="O6" i="12" s="1"/>
  <c r="M7" i="12"/>
  <c r="O7" i="12" s="1"/>
  <c r="M2" i="12"/>
  <c r="O2" i="12" s="1"/>
  <c r="L9" i="12"/>
  <c r="M9" i="12" s="1"/>
  <c r="O9" i="12" s="1"/>
  <c r="L8" i="12"/>
  <c r="M8" i="12" s="1"/>
  <c r="O8" i="12" s="1"/>
  <c r="L4" i="12"/>
  <c r="L3" i="12"/>
  <c r="M3" i="12" s="1"/>
  <c r="O3" i="12" s="1"/>
  <c r="L2" i="12"/>
  <c r="I9" i="12"/>
  <c r="I8" i="12"/>
  <c r="I7" i="12"/>
  <c r="I6" i="12"/>
  <c r="I3" i="12"/>
  <c r="I2" i="12"/>
  <c r="H3" i="12"/>
  <c r="H4" i="12"/>
  <c r="H5" i="12"/>
  <c r="H6" i="12"/>
  <c r="H7" i="12"/>
  <c r="H8" i="12"/>
  <c r="H9" i="12"/>
  <c r="H2" i="12"/>
  <c r="F3" i="12"/>
  <c r="F4" i="12"/>
  <c r="F5" i="12"/>
  <c r="F6" i="12"/>
  <c r="F7" i="12"/>
  <c r="F8" i="12"/>
  <c r="F9" i="12"/>
  <c r="F2" i="12"/>
  <c r="C6" i="12"/>
  <c r="C4" i="12"/>
  <c r="J20" i="11"/>
  <c r="J18" i="11"/>
  <c r="J19" i="11"/>
  <c r="J17" i="11"/>
  <c r="I18" i="11"/>
  <c r="I19" i="11"/>
  <c r="I17" i="11"/>
  <c r="H18" i="11"/>
  <c r="H19" i="11"/>
  <c r="H17" i="11"/>
  <c r="C18" i="11"/>
  <c r="C19" i="11"/>
  <c r="C17" i="11"/>
  <c r="B19" i="11"/>
  <c r="B18" i="11"/>
  <c r="B17" i="11"/>
  <c r="O11" i="11"/>
  <c r="T4" i="11"/>
  <c r="T6" i="11"/>
  <c r="T8" i="11"/>
  <c r="T10" i="11"/>
  <c r="S3" i="11"/>
  <c r="T3" i="11" s="1"/>
  <c r="S4" i="11"/>
  <c r="S5" i="11"/>
  <c r="T5" i="11" s="1"/>
  <c r="S6" i="11"/>
  <c r="S7" i="11"/>
  <c r="T7" i="11" s="1"/>
  <c r="W7" i="11" s="1"/>
  <c r="S8" i="11"/>
  <c r="S9" i="11"/>
  <c r="T9" i="11" s="1"/>
  <c r="S10" i="11"/>
  <c r="S2" i="11"/>
  <c r="T2" i="11" s="1"/>
  <c r="W2" i="11" s="1"/>
  <c r="R3" i="11"/>
  <c r="W3" i="11" s="1"/>
  <c r="R4" i="11"/>
  <c r="W4" i="11" s="1"/>
  <c r="R5" i="11"/>
  <c r="W5" i="11" s="1"/>
  <c r="R6" i="11"/>
  <c r="W6" i="11" s="1"/>
  <c r="R7" i="11"/>
  <c r="R8" i="11"/>
  <c r="W8" i="11" s="1"/>
  <c r="R10" i="11"/>
  <c r="W10" i="11" s="1"/>
  <c r="R2" i="11"/>
  <c r="O3" i="11"/>
  <c r="O6" i="11"/>
  <c r="O7" i="11"/>
  <c r="O10" i="11"/>
  <c r="N3" i="11"/>
  <c r="N4" i="11"/>
  <c r="N5" i="11"/>
  <c r="N6" i="11"/>
  <c r="N7" i="11"/>
  <c r="N8" i="11"/>
  <c r="N9" i="11"/>
  <c r="N10" i="11"/>
  <c r="N2" i="11"/>
  <c r="M3" i="11"/>
  <c r="M4" i="11"/>
  <c r="O4" i="11" s="1"/>
  <c r="M5" i="11"/>
  <c r="O5" i="11" s="1"/>
  <c r="M6" i="11"/>
  <c r="M7" i="11"/>
  <c r="M9" i="11"/>
  <c r="O9" i="11" s="1"/>
  <c r="M10" i="11"/>
  <c r="L9" i="11"/>
  <c r="L8" i="11"/>
  <c r="M8" i="11" s="1"/>
  <c r="O8" i="11" s="1"/>
  <c r="L7" i="11"/>
  <c r="L4" i="11"/>
  <c r="L3" i="11"/>
  <c r="L2" i="11"/>
  <c r="M2" i="11" s="1"/>
  <c r="O2" i="11" s="1"/>
  <c r="I9" i="11"/>
  <c r="I8" i="11"/>
  <c r="I7" i="11"/>
  <c r="I6" i="11"/>
  <c r="I5" i="11"/>
  <c r="I3" i="11"/>
  <c r="I2" i="11"/>
  <c r="H3" i="11"/>
  <c r="H5" i="11"/>
  <c r="H7" i="11"/>
  <c r="H9" i="11"/>
  <c r="H2" i="11"/>
  <c r="F3" i="11"/>
  <c r="F4" i="11"/>
  <c r="H4" i="11" s="1"/>
  <c r="F5" i="11"/>
  <c r="F6" i="11"/>
  <c r="H6" i="11" s="1"/>
  <c r="F7" i="11"/>
  <c r="F8" i="11"/>
  <c r="H8" i="11" s="1"/>
  <c r="F9" i="11"/>
  <c r="F10" i="11"/>
  <c r="H10" i="11" s="1"/>
  <c r="F2" i="11"/>
  <c r="D5" i="10"/>
  <c r="D4" i="10"/>
  <c r="D3" i="10"/>
  <c r="C8" i="10"/>
  <c r="C6" i="10"/>
  <c r="H19" i="10"/>
  <c r="I19" i="10" s="1"/>
  <c r="B19" i="10"/>
  <c r="C19" i="10" s="1"/>
  <c r="J19" i="10" s="1"/>
  <c r="H18" i="10"/>
  <c r="I18" i="10" s="1"/>
  <c r="C18" i="10"/>
  <c r="J18" i="10" s="1"/>
  <c r="J20" i="10" s="1"/>
  <c r="B18" i="10"/>
  <c r="S10" i="10"/>
  <c r="T10" i="10" s="1"/>
  <c r="R10" i="10"/>
  <c r="N10" i="10"/>
  <c r="L10" i="10"/>
  <c r="M10" i="10" s="1"/>
  <c r="O10" i="10" s="1"/>
  <c r="I10" i="10"/>
  <c r="F10" i="10"/>
  <c r="H10" i="10" s="1"/>
  <c r="S9" i="10"/>
  <c r="T9" i="10" s="1"/>
  <c r="R9" i="10"/>
  <c r="N9" i="10"/>
  <c r="L9" i="10"/>
  <c r="M9" i="10" s="1"/>
  <c r="O9" i="10" s="1"/>
  <c r="I9" i="10"/>
  <c r="F9" i="10"/>
  <c r="H9" i="10" s="1"/>
  <c r="S8" i="10"/>
  <c r="T8" i="10" s="1"/>
  <c r="W8" i="10" s="1"/>
  <c r="R8" i="10"/>
  <c r="O8" i="10"/>
  <c r="N8" i="10"/>
  <c r="M8" i="10"/>
  <c r="I8" i="10"/>
  <c r="F8" i="10"/>
  <c r="H8" i="10" s="1"/>
  <c r="T7" i="10"/>
  <c r="W7" i="10" s="1"/>
  <c r="S7" i="10"/>
  <c r="R7" i="10"/>
  <c r="N7" i="10"/>
  <c r="O7" i="10" s="1"/>
  <c r="M7" i="10"/>
  <c r="F7" i="10"/>
  <c r="H7" i="10" s="1"/>
  <c r="S6" i="10"/>
  <c r="T6" i="10" s="1"/>
  <c r="W6" i="10" s="1"/>
  <c r="R6" i="10"/>
  <c r="N6" i="10"/>
  <c r="L6" i="10"/>
  <c r="M6" i="10" s="1"/>
  <c r="O6" i="10" s="1"/>
  <c r="H6" i="10"/>
  <c r="F6" i="10"/>
  <c r="T5" i="10"/>
  <c r="W5" i="10" s="1"/>
  <c r="S5" i="10"/>
  <c r="R5" i="10"/>
  <c r="N5" i="10"/>
  <c r="O5" i="10" s="1"/>
  <c r="M5" i="10"/>
  <c r="F5" i="10"/>
  <c r="H5" i="10" s="1"/>
  <c r="S4" i="10"/>
  <c r="T4" i="10" s="1"/>
  <c r="W4" i="10" s="1"/>
  <c r="R4" i="10"/>
  <c r="N4" i="10"/>
  <c r="L4" i="10"/>
  <c r="M4" i="10" s="1"/>
  <c r="O4" i="10" s="1"/>
  <c r="H4" i="10"/>
  <c r="F4" i="10"/>
  <c r="S3" i="10"/>
  <c r="T3" i="10" s="1"/>
  <c r="W3" i="10" s="1"/>
  <c r="R3" i="10"/>
  <c r="N3" i="10"/>
  <c r="L3" i="10"/>
  <c r="M3" i="10" s="1"/>
  <c r="O3" i="10" s="1"/>
  <c r="I3" i="10"/>
  <c r="F3" i="10"/>
  <c r="H3" i="10" s="1"/>
  <c r="S2" i="10"/>
  <c r="T2" i="10" s="1"/>
  <c r="R2" i="10"/>
  <c r="N2" i="10"/>
  <c r="L2" i="10"/>
  <c r="M2" i="10" s="1"/>
  <c r="O2" i="10" s="1"/>
  <c r="F2" i="10"/>
  <c r="H2" i="10" s="1"/>
  <c r="D7" i="9"/>
  <c r="D6" i="9"/>
  <c r="F6" i="9" s="1"/>
  <c r="H6" i="9" s="1"/>
  <c r="D3" i="9"/>
  <c r="R3" i="9" s="1"/>
  <c r="D2" i="9"/>
  <c r="L2" i="9" s="1"/>
  <c r="M2" i="9" s="1"/>
  <c r="O2" i="9" s="1"/>
  <c r="C9" i="9"/>
  <c r="C4" i="9"/>
  <c r="G22" i="9"/>
  <c r="H22" i="9" s="1"/>
  <c r="G21" i="9"/>
  <c r="H21" i="9" s="1"/>
  <c r="G20" i="9"/>
  <c r="H20" i="9" s="1"/>
  <c r="B17" i="9"/>
  <c r="B22" i="9" s="1"/>
  <c r="I22" i="9" s="1"/>
  <c r="B16" i="9"/>
  <c r="B21" i="9" s="1"/>
  <c r="I21" i="9" s="1"/>
  <c r="B15" i="9"/>
  <c r="B20" i="9" s="1"/>
  <c r="I20" i="9" s="1"/>
  <c r="V10" i="9"/>
  <c r="S10" i="9"/>
  <c r="T10" i="9" s="1"/>
  <c r="R10" i="9"/>
  <c r="N10" i="9"/>
  <c r="L10" i="9"/>
  <c r="M10" i="9" s="1"/>
  <c r="O10" i="9" s="1"/>
  <c r="I10" i="9"/>
  <c r="F10" i="9"/>
  <c r="H10" i="9" s="1"/>
  <c r="V9" i="9"/>
  <c r="S9" i="9"/>
  <c r="T9" i="9" s="1"/>
  <c r="R9" i="9"/>
  <c r="N9" i="9"/>
  <c r="L9" i="9"/>
  <c r="M9" i="9" s="1"/>
  <c r="O9" i="9" s="1"/>
  <c r="I9" i="9"/>
  <c r="F9" i="9"/>
  <c r="H9" i="9" s="1"/>
  <c r="V8" i="9"/>
  <c r="S8" i="9"/>
  <c r="T8" i="9" s="1"/>
  <c r="R8" i="9"/>
  <c r="N8" i="9"/>
  <c r="L8" i="9"/>
  <c r="M8" i="9" s="1"/>
  <c r="O8" i="9" s="1"/>
  <c r="I8" i="9"/>
  <c r="F8" i="9"/>
  <c r="H8" i="9" s="1"/>
  <c r="V7" i="9"/>
  <c r="S7" i="9"/>
  <c r="T7" i="9" s="1"/>
  <c r="R7" i="9"/>
  <c r="N7" i="9"/>
  <c r="L7" i="9"/>
  <c r="M7" i="9" s="1"/>
  <c r="O7" i="9" s="1"/>
  <c r="F7" i="9"/>
  <c r="H7" i="9" s="1"/>
  <c r="V6" i="9"/>
  <c r="T6" i="9"/>
  <c r="S6" i="9"/>
  <c r="R6" i="9"/>
  <c r="W6" i="9" s="1"/>
  <c r="N6" i="9"/>
  <c r="L6" i="9"/>
  <c r="M6" i="9" s="1"/>
  <c r="O6" i="9" s="1"/>
  <c r="I6" i="9"/>
  <c r="V5" i="9"/>
  <c r="T5" i="9"/>
  <c r="S5" i="9"/>
  <c r="R5" i="9"/>
  <c r="W5" i="9" s="1"/>
  <c r="N5" i="9"/>
  <c r="L5" i="9"/>
  <c r="M5" i="9" s="1"/>
  <c r="O5" i="9" s="1"/>
  <c r="F5" i="9"/>
  <c r="H5" i="9" s="1"/>
  <c r="V4" i="9"/>
  <c r="S4" i="9"/>
  <c r="T4" i="9" s="1"/>
  <c r="R4" i="9"/>
  <c r="N4" i="9"/>
  <c r="L4" i="9"/>
  <c r="M4" i="9" s="1"/>
  <c r="O4" i="9" s="1"/>
  <c r="H4" i="9"/>
  <c r="F4" i="9"/>
  <c r="V3" i="9"/>
  <c r="T3" i="9"/>
  <c r="S3" i="9"/>
  <c r="N3" i="9"/>
  <c r="L3" i="9"/>
  <c r="M3" i="9" s="1"/>
  <c r="O3" i="9" s="1"/>
  <c r="F3" i="9"/>
  <c r="H3" i="9" s="1"/>
  <c r="V2" i="9"/>
  <c r="S2" i="9"/>
  <c r="T2" i="9" s="1"/>
  <c r="N2" i="9"/>
  <c r="F2" i="9"/>
  <c r="H2" i="9" s="1"/>
  <c r="D8" i="8"/>
  <c r="R8" i="8" s="1"/>
  <c r="D10" i="8"/>
  <c r="M10" i="8" s="1"/>
  <c r="O10" i="8" s="1"/>
  <c r="D7" i="8"/>
  <c r="L7" i="8" s="1"/>
  <c r="M7" i="8" s="1"/>
  <c r="D6" i="8"/>
  <c r="D3" i="8"/>
  <c r="R3" i="8" s="1"/>
  <c r="C10" i="8"/>
  <c r="C4" i="8"/>
  <c r="I17" i="8"/>
  <c r="K17" i="8" s="1"/>
  <c r="H17" i="8"/>
  <c r="J17" i="8" s="1"/>
  <c r="B17" i="8"/>
  <c r="I16" i="8"/>
  <c r="K16" i="8" s="1"/>
  <c r="H16" i="8"/>
  <c r="J16" i="8" s="1"/>
  <c r="B16" i="8"/>
  <c r="I15" i="8"/>
  <c r="K15" i="8" s="1"/>
  <c r="H15" i="8"/>
  <c r="J15" i="8" s="1"/>
  <c r="E15" i="8"/>
  <c r="B15" i="8"/>
  <c r="Z10" i="8"/>
  <c r="Y10" i="8"/>
  <c r="V10" i="8"/>
  <c r="S10" i="8"/>
  <c r="T10" i="8" s="1"/>
  <c r="R10" i="8"/>
  <c r="N10" i="8"/>
  <c r="F10" i="8"/>
  <c r="Z9" i="8"/>
  <c r="Y9" i="8"/>
  <c r="V9" i="8"/>
  <c r="S9" i="8"/>
  <c r="T9" i="8" s="1"/>
  <c r="R9" i="8"/>
  <c r="N9" i="8"/>
  <c r="L9" i="8"/>
  <c r="M9" i="8" s="1"/>
  <c r="O9" i="8" s="1"/>
  <c r="F9" i="8"/>
  <c r="Z8" i="8"/>
  <c r="Y8" i="8"/>
  <c r="V8" i="8"/>
  <c r="S8" i="8"/>
  <c r="T8" i="8" s="1"/>
  <c r="N8" i="8"/>
  <c r="Z7" i="8"/>
  <c r="Y7" i="8"/>
  <c r="V7" i="8"/>
  <c r="S7" i="8"/>
  <c r="T7" i="8" s="1"/>
  <c r="N7" i="8"/>
  <c r="Z6" i="8"/>
  <c r="Y6" i="8"/>
  <c r="V6" i="8"/>
  <c r="S6" i="8"/>
  <c r="T6" i="8" s="1"/>
  <c r="R6" i="8"/>
  <c r="N6" i="8"/>
  <c r="M6" i="8"/>
  <c r="O6" i="8" s="1"/>
  <c r="F6" i="8"/>
  <c r="Z5" i="8"/>
  <c r="Y5" i="8"/>
  <c r="V5" i="8"/>
  <c r="W5" i="8" s="1"/>
  <c r="T5" i="8"/>
  <c r="S5" i="8"/>
  <c r="R5" i="8"/>
  <c r="O5" i="8"/>
  <c r="N5" i="8"/>
  <c r="M5" i="8"/>
  <c r="F5" i="8"/>
  <c r="Z4" i="8"/>
  <c r="Y4" i="8"/>
  <c r="V4" i="8"/>
  <c r="S4" i="8"/>
  <c r="T4" i="8" s="1"/>
  <c r="R4" i="8"/>
  <c r="N4" i="8"/>
  <c r="L4" i="8"/>
  <c r="M4" i="8" s="1"/>
  <c r="O4" i="8" s="1"/>
  <c r="F4" i="8"/>
  <c r="Z3" i="8"/>
  <c r="Y3" i="8"/>
  <c r="V3" i="8"/>
  <c r="S3" i="8"/>
  <c r="T3" i="8" s="1"/>
  <c r="N3" i="8"/>
  <c r="Z2" i="8"/>
  <c r="Y2" i="8"/>
  <c r="V2" i="8"/>
  <c r="S2" i="8"/>
  <c r="T2" i="8" s="1"/>
  <c r="R2" i="8"/>
  <c r="N2" i="8"/>
  <c r="M2" i="8"/>
  <c r="O2" i="8" s="1"/>
  <c r="L2" i="8"/>
  <c r="G2" i="8"/>
  <c r="F2" i="8"/>
  <c r="L7" i="7"/>
  <c r="B17" i="6"/>
  <c r="B17" i="7"/>
  <c r="L3" i="7"/>
  <c r="L5" i="7"/>
  <c r="M5" i="7" s="1"/>
  <c r="O5" i="7" s="1"/>
  <c r="M6" i="7"/>
  <c r="O6" i="7" s="1"/>
  <c r="M9" i="7"/>
  <c r="O9" i="7" s="1"/>
  <c r="M10" i="7"/>
  <c r="O10" i="7" s="1"/>
  <c r="L2" i="7"/>
  <c r="D8" i="7"/>
  <c r="R8" i="7" s="1"/>
  <c r="D7" i="7"/>
  <c r="D6" i="7"/>
  <c r="D3" i="7"/>
  <c r="D2" i="7"/>
  <c r="F2" i="7" s="1"/>
  <c r="H2" i="7" s="1"/>
  <c r="I4" i="6"/>
  <c r="I5" i="6"/>
  <c r="I6" i="6"/>
  <c r="I7" i="6"/>
  <c r="I8" i="6"/>
  <c r="I9" i="6"/>
  <c r="I10" i="6"/>
  <c r="I3" i="6"/>
  <c r="W4" i="6"/>
  <c r="W6" i="6"/>
  <c r="W7" i="6"/>
  <c r="W8" i="6"/>
  <c r="W9" i="6"/>
  <c r="W10" i="6"/>
  <c r="T3" i="6"/>
  <c r="T4" i="6"/>
  <c r="T5" i="6"/>
  <c r="T6" i="6"/>
  <c r="T7" i="6"/>
  <c r="T8" i="6"/>
  <c r="T9" i="6"/>
  <c r="T10" i="6"/>
  <c r="T2" i="6"/>
  <c r="S3" i="6"/>
  <c r="S4" i="6"/>
  <c r="S5" i="6"/>
  <c r="S6" i="6"/>
  <c r="S7" i="6"/>
  <c r="S8" i="6"/>
  <c r="S9" i="6"/>
  <c r="S10" i="6"/>
  <c r="R3" i="6"/>
  <c r="W3" i="6" s="1"/>
  <c r="R4" i="6"/>
  <c r="R5" i="6"/>
  <c r="W5" i="6" s="1"/>
  <c r="R6" i="6"/>
  <c r="R7" i="6"/>
  <c r="R8" i="6"/>
  <c r="R9" i="6"/>
  <c r="R10" i="6"/>
  <c r="S2" i="6"/>
  <c r="R2" i="6"/>
  <c r="W2" i="6" s="1"/>
  <c r="O5" i="6"/>
  <c r="O6" i="6"/>
  <c r="O7" i="6"/>
  <c r="O8" i="6"/>
  <c r="O9" i="6"/>
  <c r="O10" i="6"/>
  <c r="O2" i="6"/>
  <c r="M3" i="6"/>
  <c r="O3" i="6" s="1"/>
  <c r="M5" i="6"/>
  <c r="M6" i="6"/>
  <c r="M7" i="6"/>
  <c r="M8" i="6"/>
  <c r="M9" i="6"/>
  <c r="M10" i="6"/>
  <c r="M2" i="6"/>
  <c r="H22" i="7"/>
  <c r="G22" i="7"/>
  <c r="I21" i="7"/>
  <c r="H21" i="7"/>
  <c r="G21" i="7"/>
  <c r="B21" i="7"/>
  <c r="H20" i="7"/>
  <c r="G20" i="7"/>
  <c r="B22" i="7"/>
  <c r="I22" i="7" s="1"/>
  <c r="B16" i="7"/>
  <c r="B15" i="7"/>
  <c r="B20" i="7" s="1"/>
  <c r="I20" i="7" s="1"/>
  <c r="V10" i="7"/>
  <c r="T10" i="7"/>
  <c r="S10" i="7"/>
  <c r="R10" i="7"/>
  <c r="N10" i="7"/>
  <c r="I10" i="7"/>
  <c r="F10" i="7"/>
  <c r="H10" i="7" s="1"/>
  <c r="V9" i="7"/>
  <c r="T9" i="7"/>
  <c r="S9" i="7"/>
  <c r="R9" i="7"/>
  <c r="N9" i="7"/>
  <c r="I9" i="7"/>
  <c r="F9" i="7"/>
  <c r="H9" i="7" s="1"/>
  <c r="V8" i="7"/>
  <c r="T8" i="7"/>
  <c r="S8" i="7"/>
  <c r="N8" i="7"/>
  <c r="I8" i="7"/>
  <c r="V7" i="7"/>
  <c r="T7" i="7"/>
  <c r="S7" i="7"/>
  <c r="R7" i="7"/>
  <c r="N7" i="7"/>
  <c r="M7" i="7"/>
  <c r="O7" i="7" s="1"/>
  <c r="F7" i="7"/>
  <c r="H7" i="7" s="1"/>
  <c r="V6" i="7"/>
  <c r="T6" i="7"/>
  <c r="S6" i="7"/>
  <c r="R6" i="7"/>
  <c r="N6" i="7"/>
  <c r="I6" i="7"/>
  <c r="F6" i="7"/>
  <c r="H6" i="7" s="1"/>
  <c r="V5" i="7"/>
  <c r="T5" i="7"/>
  <c r="S5" i="7"/>
  <c r="R5" i="7"/>
  <c r="N5" i="7"/>
  <c r="F5" i="7"/>
  <c r="H5" i="7" s="1"/>
  <c r="V4" i="7"/>
  <c r="S4" i="7"/>
  <c r="T4" i="7" s="1"/>
  <c r="R4" i="7"/>
  <c r="N4" i="7"/>
  <c r="M4" i="7"/>
  <c r="O4" i="7" s="1"/>
  <c r="F4" i="7"/>
  <c r="H4" i="7" s="1"/>
  <c r="V3" i="7"/>
  <c r="S3" i="7"/>
  <c r="T3" i="7" s="1"/>
  <c r="R3" i="7"/>
  <c r="N3" i="7"/>
  <c r="M3" i="7"/>
  <c r="O3" i="7" s="1"/>
  <c r="F3" i="7"/>
  <c r="H3" i="7" s="1"/>
  <c r="V2" i="7"/>
  <c r="T2" i="7"/>
  <c r="S2" i="7"/>
  <c r="R2" i="7"/>
  <c r="N2" i="7"/>
  <c r="B19" i="5"/>
  <c r="C19" i="5" s="1"/>
  <c r="J19" i="5" s="1"/>
  <c r="J20" i="5" s="1"/>
  <c r="J17" i="6"/>
  <c r="J18" i="6" s="1"/>
  <c r="J16" i="6"/>
  <c r="C17" i="6"/>
  <c r="H17" i="6"/>
  <c r="I17" i="6" s="1"/>
  <c r="H16" i="6"/>
  <c r="I16" i="6" s="1"/>
  <c r="C16" i="6"/>
  <c r="B16" i="6"/>
  <c r="H3" i="6"/>
  <c r="H4" i="6"/>
  <c r="H5" i="6"/>
  <c r="H6" i="6"/>
  <c r="H7" i="6"/>
  <c r="H8" i="6"/>
  <c r="H9" i="6"/>
  <c r="H10" i="6"/>
  <c r="H2" i="6"/>
  <c r="N10" i="6"/>
  <c r="L10" i="6"/>
  <c r="N9" i="6"/>
  <c r="L9" i="6"/>
  <c r="N8" i="6"/>
  <c r="N7" i="6"/>
  <c r="N6" i="6"/>
  <c r="N5" i="6"/>
  <c r="N4" i="6"/>
  <c r="N3" i="6"/>
  <c r="N2" i="6"/>
  <c r="L2" i="6"/>
  <c r="J18" i="5"/>
  <c r="I19" i="5"/>
  <c r="I18" i="5"/>
  <c r="H19" i="5"/>
  <c r="H18" i="5"/>
  <c r="C18" i="5"/>
  <c r="B18" i="5"/>
  <c r="O11" i="5"/>
  <c r="T4" i="5"/>
  <c r="W4" i="5" s="1"/>
  <c r="T6" i="5"/>
  <c r="W6" i="5" s="1"/>
  <c r="T8" i="5"/>
  <c r="W8" i="5" s="1"/>
  <c r="T10" i="5"/>
  <c r="W10" i="5" s="1"/>
  <c r="S3" i="5"/>
  <c r="T3" i="5" s="1"/>
  <c r="W3" i="5" s="1"/>
  <c r="S4" i="5"/>
  <c r="S5" i="5"/>
  <c r="T5" i="5" s="1"/>
  <c r="W5" i="5" s="1"/>
  <c r="S6" i="5"/>
  <c r="S7" i="5"/>
  <c r="T7" i="5" s="1"/>
  <c r="W7" i="5" s="1"/>
  <c r="S8" i="5"/>
  <c r="S9" i="5"/>
  <c r="T9" i="5" s="1"/>
  <c r="W9" i="5" s="1"/>
  <c r="S10" i="5"/>
  <c r="S2" i="5"/>
  <c r="T2" i="5" s="1"/>
  <c r="W2" i="5" s="1"/>
  <c r="W11" i="5" s="1"/>
  <c r="R3" i="2"/>
  <c r="R4" i="2"/>
  <c r="R5" i="2"/>
  <c r="R6" i="2"/>
  <c r="R7" i="2"/>
  <c r="R8" i="2"/>
  <c r="R9" i="2"/>
  <c r="R10" i="2"/>
  <c r="R2" i="2"/>
  <c r="R3" i="3"/>
  <c r="R4" i="3"/>
  <c r="R5" i="3"/>
  <c r="R6" i="3"/>
  <c r="R7" i="3"/>
  <c r="R8" i="3"/>
  <c r="R9" i="3"/>
  <c r="R10" i="3"/>
  <c r="R2" i="3"/>
  <c r="R3" i="5"/>
  <c r="R4" i="5"/>
  <c r="R5" i="5"/>
  <c r="R6" i="5"/>
  <c r="R7" i="5"/>
  <c r="R8" i="5"/>
  <c r="R9" i="5"/>
  <c r="R10" i="5"/>
  <c r="R2" i="5"/>
  <c r="O3" i="5"/>
  <c r="O5" i="5"/>
  <c r="O7" i="5"/>
  <c r="O9" i="5"/>
  <c r="O2" i="5"/>
  <c r="N3" i="5"/>
  <c r="N4" i="5"/>
  <c r="N5" i="5"/>
  <c r="N6" i="5"/>
  <c r="N7" i="5"/>
  <c r="N8" i="5"/>
  <c r="N9" i="5"/>
  <c r="N10" i="5"/>
  <c r="N2" i="5"/>
  <c r="N2" i="3"/>
  <c r="N3" i="3"/>
  <c r="N4" i="3"/>
  <c r="N5" i="3"/>
  <c r="N6" i="3"/>
  <c r="N7" i="3"/>
  <c r="N8" i="3"/>
  <c r="N9" i="3"/>
  <c r="N10" i="3"/>
  <c r="M3" i="5"/>
  <c r="M4" i="5"/>
  <c r="O4" i="5" s="1"/>
  <c r="M5" i="5"/>
  <c r="M6" i="5"/>
  <c r="O6" i="5" s="1"/>
  <c r="M7" i="5"/>
  <c r="M8" i="5"/>
  <c r="O8" i="5" s="1"/>
  <c r="M9" i="5"/>
  <c r="M10" i="5"/>
  <c r="O10" i="5" s="1"/>
  <c r="M2" i="5"/>
  <c r="L10" i="5"/>
  <c r="L9" i="5"/>
  <c r="L6" i="5"/>
  <c r="L4" i="5"/>
  <c r="L2" i="5"/>
  <c r="L3" i="5"/>
  <c r="I10" i="5"/>
  <c r="I9" i="5"/>
  <c r="I9" i="3"/>
  <c r="I8" i="5"/>
  <c r="I3" i="5"/>
  <c r="H3" i="5"/>
  <c r="H4" i="5"/>
  <c r="H5" i="5"/>
  <c r="H6" i="5"/>
  <c r="H7" i="5"/>
  <c r="H8" i="5"/>
  <c r="H9" i="5"/>
  <c r="H10" i="5"/>
  <c r="H11" i="5" s="1"/>
  <c r="N22" i="5" s="1"/>
  <c r="H2" i="5"/>
  <c r="F3" i="5"/>
  <c r="F4" i="5"/>
  <c r="F5" i="5"/>
  <c r="F6" i="5"/>
  <c r="F7" i="5"/>
  <c r="F8" i="5"/>
  <c r="F9" i="5"/>
  <c r="F10" i="5"/>
  <c r="F2" i="5"/>
  <c r="C8" i="5"/>
  <c r="C6" i="5"/>
  <c r="H10" i="12" l="1"/>
  <c r="H11" i="6"/>
  <c r="N21" i="6"/>
  <c r="W11" i="6"/>
  <c r="M17" i="5"/>
  <c r="K33" i="16"/>
  <c r="I33" i="16"/>
  <c r="M23" i="15"/>
  <c r="M24" i="15"/>
  <c r="P22" i="13"/>
  <c r="P24" i="13" s="1"/>
  <c r="M25" i="10"/>
  <c r="L3" i="8"/>
  <c r="M3" i="8" s="1"/>
  <c r="O3" i="8" s="1"/>
  <c r="L16" i="8"/>
  <c r="O7" i="8"/>
  <c r="W3" i="8"/>
  <c r="F3" i="8"/>
  <c r="F8" i="8"/>
  <c r="H8" i="8" s="1"/>
  <c r="L15" i="8"/>
  <c r="L17" i="8"/>
  <c r="L20" i="8" s="1"/>
  <c r="O11" i="6"/>
  <c r="N25" i="5"/>
  <c r="N26" i="5"/>
  <c r="N27" i="5" s="1"/>
  <c r="H10" i="15"/>
  <c r="M20" i="15" s="1"/>
  <c r="O2" i="15"/>
  <c r="W10" i="15"/>
  <c r="O10" i="15"/>
  <c r="H11" i="11"/>
  <c r="W2" i="14"/>
  <c r="W4" i="14"/>
  <c r="W9" i="14"/>
  <c r="W7" i="14"/>
  <c r="W6" i="14"/>
  <c r="O11" i="14"/>
  <c r="H11" i="14"/>
  <c r="N18" i="14" s="1"/>
  <c r="N22" i="14" s="1"/>
  <c r="J20" i="14"/>
  <c r="W9" i="13"/>
  <c r="W4" i="13"/>
  <c r="W8" i="13"/>
  <c r="W3" i="13"/>
  <c r="W10" i="13" s="1"/>
  <c r="J19" i="13"/>
  <c r="L9" i="13"/>
  <c r="M9" i="13" s="1"/>
  <c r="O9" i="13" s="1"/>
  <c r="O10" i="13" s="1"/>
  <c r="J17" i="12"/>
  <c r="W10" i="12"/>
  <c r="H11" i="10"/>
  <c r="M21" i="10" s="1"/>
  <c r="M24" i="10" s="1"/>
  <c r="W2" i="10"/>
  <c r="W10" i="10"/>
  <c r="W9" i="10"/>
  <c r="O11" i="10"/>
  <c r="H11" i="9"/>
  <c r="M21" i="9" s="1"/>
  <c r="I2" i="9"/>
  <c r="R2" i="9"/>
  <c r="W2" i="9" s="1"/>
  <c r="W3" i="9"/>
  <c r="O11" i="9"/>
  <c r="W4" i="9"/>
  <c r="W7" i="9"/>
  <c r="W8" i="9"/>
  <c r="W10" i="9"/>
  <c r="I23" i="9"/>
  <c r="L8" i="8"/>
  <c r="M8" i="8" s="1"/>
  <c r="O8" i="8" s="1"/>
  <c r="W10" i="8"/>
  <c r="W8" i="8"/>
  <c r="H2" i="8"/>
  <c r="F7" i="8"/>
  <c r="R7" i="8"/>
  <c r="W7" i="8" s="1"/>
  <c r="W9" i="8"/>
  <c r="W2" i="8"/>
  <c r="W4" i="8"/>
  <c r="W6" i="8"/>
  <c r="O11" i="8"/>
  <c r="P25" i="8" s="1"/>
  <c r="I23" i="7"/>
  <c r="I2" i="7"/>
  <c r="M8" i="7"/>
  <c r="O8" i="7" s="1"/>
  <c r="M2" i="7"/>
  <c r="O2" i="7" s="1"/>
  <c r="O11" i="7" s="1"/>
  <c r="F8" i="7"/>
  <c r="H8" i="7" s="1"/>
  <c r="W10" i="7"/>
  <c r="W4" i="7"/>
  <c r="W2" i="7"/>
  <c r="W6" i="7"/>
  <c r="W7" i="7"/>
  <c r="W8" i="7"/>
  <c r="W3" i="7"/>
  <c r="W5" i="7"/>
  <c r="W9" i="7"/>
  <c r="H11" i="7"/>
  <c r="M22" i="7" s="1"/>
  <c r="M16" i="15" l="1"/>
  <c r="N21" i="14"/>
  <c r="N23" i="14" s="1"/>
  <c r="M16" i="12"/>
  <c r="P19" i="12"/>
  <c r="P16" i="11"/>
  <c r="P21" i="11"/>
  <c r="M26" i="10"/>
  <c r="M26" i="9"/>
  <c r="M25" i="9"/>
  <c r="M24" i="9"/>
  <c r="N22" i="6"/>
  <c r="N24" i="6" s="1"/>
  <c r="O16" i="6"/>
  <c r="N23" i="6"/>
  <c r="M25" i="15"/>
  <c r="W11" i="14"/>
  <c r="P16" i="14" s="1"/>
  <c r="M16" i="13"/>
  <c r="W11" i="10"/>
  <c r="M17" i="10" s="1"/>
  <c r="W11" i="9"/>
  <c r="M18" i="9" s="1"/>
  <c r="H11" i="8"/>
  <c r="W11" i="8"/>
  <c r="P26" i="8" s="1"/>
  <c r="W11" i="7"/>
  <c r="P23" i="12" l="1"/>
  <c r="P24" i="12" s="1"/>
  <c r="P22" i="12"/>
  <c r="P26" i="11"/>
  <c r="P24" i="11"/>
  <c r="P25" i="11"/>
  <c r="M18" i="7"/>
  <c r="M24" i="7"/>
  <c r="M52" i="16"/>
  <c r="N25" i="6"/>
  <c r="N26" i="6" s="1"/>
  <c r="H33" i="16"/>
  <c r="Q19" i="8"/>
  <c r="P24" i="8"/>
  <c r="M25" i="7" l="1"/>
  <c r="M26" i="7"/>
  <c r="M27" i="7" s="1"/>
  <c r="P27" i="8"/>
  <c r="P28" i="8"/>
  <c r="P29" i="8" l="1"/>
  <c r="I23" i="3"/>
  <c r="I21" i="3"/>
  <c r="I22" i="3"/>
  <c r="I20" i="3"/>
  <c r="H21" i="3"/>
  <c r="H22" i="3"/>
  <c r="H20" i="3"/>
  <c r="G21" i="3"/>
  <c r="G22" i="3"/>
  <c r="G20" i="3"/>
  <c r="B17" i="3" l="1"/>
  <c r="B22" i="3" s="1"/>
  <c r="B16" i="3"/>
  <c r="B21" i="3" s="1"/>
  <c r="B15" i="3"/>
  <c r="B20" i="3" s="1"/>
  <c r="B17" i="2"/>
  <c r="B16" i="2"/>
  <c r="L16" i="2" s="1"/>
  <c r="B15" i="2"/>
  <c r="L10" i="3"/>
  <c r="M10" i="3" s="1"/>
  <c r="L9" i="3"/>
  <c r="M9" i="3" s="1"/>
  <c r="L8" i="3"/>
  <c r="L7" i="3"/>
  <c r="M7" i="3" s="1"/>
  <c r="O7" i="3" s="1"/>
  <c r="L6" i="3"/>
  <c r="M6" i="3" s="1"/>
  <c r="L5" i="3"/>
  <c r="L3" i="3"/>
  <c r="L2" i="3"/>
  <c r="M2" i="3" s="1"/>
  <c r="O2" i="3" s="1"/>
  <c r="V3" i="3"/>
  <c r="V4" i="3"/>
  <c r="V5" i="3"/>
  <c r="V6" i="3"/>
  <c r="V7" i="3"/>
  <c r="V8" i="3"/>
  <c r="V9" i="3"/>
  <c r="V10" i="3"/>
  <c r="V2" i="3"/>
  <c r="T7" i="3"/>
  <c r="W7" i="3" s="1"/>
  <c r="S3" i="3"/>
  <c r="T3" i="3" s="1"/>
  <c r="S4" i="3"/>
  <c r="T4" i="3" s="1"/>
  <c r="S5" i="3"/>
  <c r="T5" i="3" s="1"/>
  <c r="W5" i="3" s="1"/>
  <c r="S6" i="3"/>
  <c r="T6" i="3" s="1"/>
  <c r="S7" i="3"/>
  <c r="S8" i="3"/>
  <c r="T8" i="3" s="1"/>
  <c r="W8" i="3" s="1"/>
  <c r="S9" i="3"/>
  <c r="T9" i="3" s="1"/>
  <c r="W9" i="3" s="1"/>
  <c r="S10" i="3"/>
  <c r="T10" i="3" s="1"/>
  <c r="W10" i="3" s="1"/>
  <c r="S2" i="3"/>
  <c r="T2" i="3" s="1"/>
  <c r="O8" i="3"/>
  <c r="N2" i="2"/>
  <c r="M3" i="3"/>
  <c r="M5" i="3"/>
  <c r="O5" i="3" s="1"/>
  <c r="M8" i="3"/>
  <c r="L4" i="3"/>
  <c r="M4" i="3" s="1"/>
  <c r="O4" i="3" s="1"/>
  <c r="I10" i="3"/>
  <c r="I8" i="3"/>
  <c r="I6" i="3"/>
  <c r="I2" i="3"/>
  <c r="G2" i="2"/>
  <c r="F3" i="3"/>
  <c r="H3" i="3" s="1"/>
  <c r="F4" i="3"/>
  <c r="H4" i="3" s="1"/>
  <c r="F5" i="3"/>
  <c r="H5" i="3" s="1"/>
  <c r="F6" i="3"/>
  <c r="H6" i="3" s="1"/>
  <c r="F7" i="3"/>
  <c r="H7" i="3" s="1"/>
  <c r="F8" i="3"/>
  <c r="H8" i="3" s="1"/>
  <c r="F9" i="3"/>
  <c r="H9" i="3" s="1"/>
  <c r="F10" i="3"/>
  <c r="H10" i="3" s="1"/>
  <c r="F2" i="3"/>
  <c r="H2" i="3" s="1"/>
  <c r="E8" i="4"/>
  <c r="F8" i="4" s="1"/>
  <c r="J16" i="2"/>
  <c r="K17" i="2"/>
  <c r="I16" i="2"/>
  <c r="K16" i="2" s="1"/>
  <c r="I17" i="2"/>
  <c r="I15" i="2"/>
  <c r="K15" i="2" s="1"/>
  <c r="H16" i="2"/>
  <c r="H17" i="2"/>
  <c r="J17" i="2" s="1"/>
  <c r="L17" i="2" s="1"/>
  <c r="H15" i="2"/>
  <c r="J15" i="2" s="1"/>
  <c r="E15" i="2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2" i="2"/>
  <c r="Y3" i="2"/>
  <c r="Z3" i="2"/>
  <c r="Y4" i="2"/>
  <c r="Z4" i="2"/>
  <c r="Y5" i="2"/>
  <c r="Z5" i="2"/>
  <c r="Y6" i="2"/>
  <c r="Z6" i="2"/>
  <c r="Y7" i="2"/>
  <c r="Z7" i="2"/>
  <c r="Y8" i="2"/>
  <c r="Z8" i="2"/>
  <c r="Y9" i="2"/>
  <c r="Z9" i="2"/>
  <c r="Y10" i="2"/>
  <c r="Z10" i="2"/>
  <c r="Z2" i="2"/>
  <c r="Y2" i="2"/>
  <c r="V3" i="2"/>
  <c r="V4" i="2"/>
  <c r="V5" i="2"/>
  <c r="V6" i="2"/>
  <c r="V7" i="2"/>
  <c r="V8" i="2"/>
  <c r="V9" i="2"/>
  <c r="V10" i="2"/>
  <c r="V2" i="2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10" i="2"/>
  <c r="T10" i="2" s="1"/>
  <c r="S2" i="2"/>
  <c r="T2" i="2" s="1"/>
  <c r="N3" i="2"/>
  <c r="N4" i="2"/>
  <c r="N5" i="2"/>
  <c r="N6" i="2"/>
  <c r="N7" i="2"/>
  <c r="N8" i="2"/>
  <c r="N9" i="2"/>
  <c r="N10" i="2"/>
  <c r="M5" i="2"/>
  <c r="M6" i="2"/>
  <c r="M10" i="2"/>
  <c r="L9" i="2"/>
  <c r="M9" i="2" s="1"/>
  <c r="L8" i="2"/>
  <c r="M8" i="2" s="1"/>
  <c r="L7" i="2"/>
  <c r="M7" i="2" s="1"/>
  <c r="L3" i="2"/>
  <c r="M3" i="2" s="1"/>
  <c r="L4" i="2"/>
  <c r="M4" i="2" s="1"/>
  <c r="L2" i="2"/>
  <c r="M2" i="2" s="1"/>
  <c r="L15" i="2" l="1"/>
  <c r="O3" i="3"/>
  <c r="W4" i="3"/>
  <c r="O8" i="2"/>
  <c r="H2" i="2"/>
  <c r="W2" i="3"/>
  <c r="W3" i="3"/>
  <c r="O9" i="3"/>
  <c r="H11" i="3"/>
  <c r="N26" i="3" s="1"/>
  <c r="W6" i="3"/>
  <c r="O6" i="3"/>
  <c r="O10" i="3"/>
  <c r="L20" i="2"/>
  <c r="O11" i="3"/>
  <c r="H11" i="2"/>
  <c r="O3" i="2"/>
  <c r="O7" i="2"/>
  <c r="O5" i="2"/>
  <c r="O4" i="2"/>
  <c r="O6" i="2"/>
  <c r="O10" i="2"/>
  <c r="O2" i="2"/>
  <c r="O9" i="2"/>
  <c r="W9" i="2"/>
  <c r="W4" i="2"/>
  <c r="W5" i="2"/>
  <c r="W2" i="2"/>
  <c r="W3" i="2"/>
  <c r="W6" i="2"/>
  <c r="W7" i="2"/>
  <c r="W10" i="2"/>
  <c r="W8" i="2"/>
  <c r="N30" i="3" l="1"/>
  <c r="N29" i="3"/>
  <c r="N31" i="3" s="1"/>
  <c r="I26" i="2"/>
  <c r="W11" i="3"/>
  <c r="M18" i="3" s="1"/>
  <c r="W11" i="2"/>
  <c r="Q19" i="2" s="1"/>
  <c r="O11" i="2"/>
  <c r="I30" i="2" l="1"/>
  <c r="I29" i="2"/>
  <c r="I31" i="2" s="1"/>
</calcChain>
</file>

<file path=xl/sharedStrings.xml><?xml version="1.0" encoding="utf-8"?>
<sst xmlns="http://schemas.openxmlformats.org/spreadsheetml/2006/main" count="873" uniqueCount="113">
  <si>
    <t>Position of component</t>
  </si>
  <si>
    <t>Component Name</t>
  </si>
  <si>
    <t>Cost per Unit (OASE)</t>
  </si>
  <si>
    <t>Central Office</t>
  </si>
  <si>
    <t>GPON OLT Card(8*2.5Gbps)</t>
  </si>
  <si>
    <t>Pluggable B+</t>
  </si>
  <si>
    <t>Switching Cost</t>
  </si>
  <si>
    <t>Additional</t>
  </si>
  <si>
    <t>RN1</t>
  </si>
  <si>
    <t>Power Splitter 1:8</t>
  </si>
  <si>
    <t>RN2</t>
  </si>
  <si>
    <t>GPON ONT</t>
  </si>
  <si>
    <t>1:32 DSLAM+Cabinet</t>
  </si>
  <si>
    <t>Building</t>
  </si>
  <si>
    <t>NA</t>
  </si>
  <si>
    <t>Quantity</t>
  </si>
  <si>
    <t>MTTR</t>
  </si>
  <si>
    <t>FIT</t>
  </si>
  <si>
    <t>Energy consumption in W</t>
  </si>
  <si>
    <t>Installation Time in hours</t>
  </si>
  <si>
    <t>Yearly Energy Consumption in kWh</t>
  </si>
  <si>
    <t>CU/kWh</t>
  </si>
  <si>
    <t>Energy Cost per year in CU</t>
  </si>
  <si>
    <t>Mean dist in km from CO</t>
  </si>
  <si>
    <t>Avg Travel Speed</t>
  </si>
  <si>
    <t>Failures per year</t>
  </si>
  <si>
    <t>Travel Time</t>
  </si>
  <si>
    <t>Twice Travel Time</t>
  </si>
  <si>
    <t>Total Time to Repair(h)</t>
  </si>
  <si>
    <t>No. Of technicians</t>
  </si>
  <si>
    <t>Cost per hour</t>
  </si>
  <si>
    <t>FM Cost</t>
  </si>
  <si>
    <t>FM Penalty Residential</t>
  </si>
  <si>
    <t>FM Penalty Business</t>
  </si>
  <si>
    <t>FM Penalty ITS</t>
  </si>
  <si>
    <t>Column1</t>
  </si>
  <si>
    <t>Total Floor Space</t>
  </si>
  <si>
    <t>Floor Space per component</t>
  </si>
  <si>
    <t>Rent per sqm per year</t>
  </si>
  <si>
    <t>Total Rent cost per year</t>
  </si>
  <si>
    <t>Fiber</t>
  </si>
  <si>
    <t>Fiber Type</t>
  </si>
  <si>
    <t>No. Of persons</t>
  </si>
  <si>
    <t>FF</t>
  </si>
  <si>
    <t>DF</t>
  </si>
  <si>
    <t>Copper</t>
  </si>
  <si>
    <t>Worst case distance</t>
  </si>
  <si>
    <t>Mean distance</t>
  </si>
  <si>
    <t>Mean Travel Time</t>
  </si>
  <si>
    <t>Worst Travel Time</t>
  </si>
  <si>
    <t>TTTR Worst</t>
  </si>
  <si>
    <t>TTTR Mean</t>
  </si>
  <si>
    <t>FM Cost per year</t>
  </si>
  <si>
    <t>Total</t>
  </si>
  <si>
    <t>Total OPEX per year</t>
  </si>
  <si>
    <t>Row Labels</t>
  </si>
  <si>
    <t>Grand Total</t>
  </si>
  <si>
    <t>Sum of Total Rent cost per year</t>
  </si>
  <si>
    <t>Sum of Energy Cost per year in CU</t>
  </si>
  <si>
    <t>Sum of FM Cost</t>
  </si>
  <si>
    <t>XGPON OLT Card(6*10Gbps)</t>
  </si>
  <si>
    <t>Pluggable Nom1</t>
  </si>
  <si>
    <t>1:8 Mini DSLAM</t>
  </si>
  <si>
    <t>XGPON ONT</t>
  </si>
  <si>
    <t>LMF</t>
  </si>
  <si>
    <t>Length</t>
  </si>
  <si>
    <t>FIT/km</t>
  </si>
  <si>
    <t>Travel Speed</t>
  </si>
  <si>
    <t>Cost</t>
  </si>
  <si>
    <t>No. Of tech</t>
  </si>
  <si>
    <t>FM cost</t>
  </si>
  <si>
    <t>Total OPEX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</si>
  <si>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</si>
  <si>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</si>
  <si>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</si>
  <si>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</si>
  <si>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</si>
  <si>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</si>
  <si>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</si>
  <si>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WDMPON ONT</t>
  </si>
  <si>
    <t>1:8 Power Splitter</t>
  </si>
  <si>
    <t>WR-WDMPON ONT+Install Cost</t>
  </si>
  <si>
    <t>GPON OLT Card(6*10Gbps)</t>
  </si>
  <si>
    <t>1:4 Power Splitter</t>
  </si>
  <si>
    <t>1:6 Mini DSLAM+Cabinet</t>
  </si>
  <si>
    <t>NIL</t>
  </si>
  <si>
    <t>EDFA</t>
  </si>
  <si>
    <t>1:4 Mini DSLAM+Cabinet</t>
  </si>
  <si>
    <t>HybridPON ONT</t>
  </si>
  <si>
    <t>1:16 DSLAM</t>
  </si>
  <si>
    <t>Buildings</t>
  </si>
  <si>
    <t>1:16 Power Splitter</t>
  </si>
  <si>
    <t>1:6 Mini DSLAM</t>
  </si>
  <si>
    <t>OPEX</t>
  </si>
  <si>
    <t>Rent</t>
  </si>
  <si>
    <t>Energy</t>
  </si>
  <si>
    <t>Fault Maintenance</t>
  </si>
  <si>
    <t>Marketing</t>
  </si>
  <si>
    <t>Operations</t>
  </si>
  <si>
    <t>Component</t>
  </si>
  <si>
    <t>FTTC_GPON_25</t>
  </si>
  <si>
    <t>FTTB_XGPON_50</t>
  </si>
  <si>
    <t>FTTB_DWDM_50</t>
  </si>
  <si>
    <t>FTTH_DWDM_100</t>
  </si>
  <si>
    <t>FTTH_XGPON_100</t>
  </si>
  <si>
    <t>FTTC_GPON_100</t>
  </si>
  <si>
    <t>FTTB_XGPON_100</t>
  </si>
  <si>
    <t>FTTC_Hybridpon_25</t>
  </si>
  <si>
    <t>FTTB_DWDM_100</t>
  </si>
  <si>
    <t>FTTB_Hybridpon_50</t>
  </si>
  <si>
    <t>FTTH_Hybridpon_100</t>
  </si>
  <si>
    <t>FTTB_Hybridpon_100</t>
  </si>
  <si>
    <t>FTTC_Hybridpon_100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</si>
</sst>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rgb="FF0061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 style="thin">
        <color theme="5"/>
      </left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/>
  </cellStyleXfs>
  <cellXfs count="33">
    <xf numFmtId="0" fontId="0" fillId="0" borderId="0" xfId="0"/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2" fillId="3" borderId="1" xfId="2"/>
    <xf numFmtId="0" fontId="0" fillId="0" borderId="0" xfId="0"/>
    <xf numFmtId="0" fontId="2" fillId="3" borderId="1" xfId="2"/>
    <xf numFmtId="0" fontId="4" fillId="4" borderId="2" xfId="0" applyFont="1" applyFill="1" applyBorder="1"/>
    <xf numFmtId="0" fontId="5" fillId="0" borderId="3" xfId="0" applyFont="1" applyBorder="1"/>
    <xf numFmtId="0" fontId="0" fillId="5" borderId="4" xfId="0" applyFont="1" applyFill="1" applyBorder="1"/>
    <xf numFmtId="0" fontId="0" fillId="0" borderId="4" xfId="0" applyFont="1" applyBorder="1"/>
    <xf numFmtId="0" fontId="5" fillId="0" borderId="5" xfId="0" applyFont="1" applyBorder="1"/>
    <xf numFmtId="0" fontId="0" fillId="0" borderId="0" xfId="0" applyFill="1" applyBorder="1"/>
    <xf numFmtId="0" fontId="5" fillId="5" borderId="6" xfId="0" applyFont="1" applyFill="1" applyBorder="1"/>
    <xf numFmtId="0" fontId="5" fillId="5" borderId="7" xfId="0" applyFont="1" applyFill="1" applyBorder="1"/>
    <xf numFmtId="0" fontId="0" fillId="5" borderId="7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0" fillId="0" borderId="7" xfId="0" applyFont="1" applyBorder="1"/>
    <xf numFmtId="0" fontId="1" fillId="2" borderId="0" xfId="0" applyFont="1" applyFill="1"/>
    <xf numFmtId="0" fontId="5" fillId="5" borderId="8" xfId="0" applyFont="1" applyFill="1" applyBorder="1"/>
    <xf numFmtId="0" fontId="0" fillId="5" borderId="8" xfId="0" applyFont="1" applyFill="1" applyBorder="1"/>
    <xf numFmtId="0" fontId="0" fillId="0" borderId="0" xfId="0" applyBorder="1"/>
    <xf numFmtId="0" fontId="0" fillId="0" borderId="8" xfId="0" applyFont="1" applyBorder="1"/>
    <xf numFmtId="0" fontId="5" fillId="0" borderId="8" xfId="0" applyFont="1" applyBorder="1"/>
    <xf numFmtId="0" fontId="5" fillId="0" borderId="9" xfId="0" applyFont="1" applyBorder="1"/>
    <xf numFmtId="0" fontId="5" fillId="5" borderId="4" xfId="0" applyFont="1" applyFill="1" applyBorder="1"/>
    <xf numFmtId="0" fontId="6" fillId="5" borderId="10" xfId="0" applyFont="1" applyFill="1" applyBorder="1"/>
    <xf numFmtId="0" fontId="7" fillId="0" borderId="8" xfId="0" applyFont="1" applyBorder="1"/>
    <xf numFmtId="0" fontId="8" fillId="6" borderId="0" xfId="0" applyFont="1" applyFill="1"/>
  </cellXfs>
  <cellStyles count="4">
    <cellStyle name="Good" xfId="1" builtinId="26"/>
    <cellStyle name="Input" xfId="2" builtinId="20"/>
    <cellStyle name="Normal" xfId="0" builtinId="0"/>
    <cellStyle name="Standard 2" xfId="3"/>
  </cellStyles>
  <dxfs count="16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5"/>
        </left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5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4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836032"/>
        <c:axId val="80007104"/>
      </c:barChart>
      <c:catAx>
        <c:axId val="41836032"/>
        <c:scaling>
          <c:orientation val="minMax"/>
        </c:scaling>
        <c:delete val="0"/>
        <c:axPos val="b"/>
        <c:majorTickMark val="out"/>
        <c:minorTickMark val="none"/>
        <c:tickLblPos val="nextTo"/>
        <c:crossAx val="80007104"/>
        <c:crosses val="autoZero"/>
        <c:auto val="1"/>
        <c:lblAlgn val="ctr"/>
        <c:lblOffset val="100"/>
        <c:noMultiLvlLbl val="0"/>
      </c:catAx>
      <c:valAx>
        <c:axId val="8000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836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11115.468565056002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OPEX!$E$31:$Q$31</c:f>
              <c:numCache>
                <c:formatCode>General</c:formatCode>
                <c:ptCount val="13"/>
                <c:pt idx="0">
                  <c:v>860.85009459689138</c:v>
                </c:pt>
                <c:pt idx="1">
                  <c:v>1951.3314148312002</c:v>
                </c:pt>
                <c:pt idx="2">
                  <c:v>1975.3759844882859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2276.0587554388112</c:v>
                </c:pt>
                <c:pt idx="6">
                  <c:v>2130.6635446429923</c:v>
                </c:pt>
                <c:pt idx="7">
                  <c:v>2152.6914807682861</c:v>
                </c:pt>
                <c:pt idx="8">
                  <c:v>1682.2708800678593</c:v>
                </c:pt>
                <c:pt idx="9">
                  <c:v>2001.2442901880002</c:v>
                </c:pt>
                <c:pt idx="10">
                  <c:v>541.95602366962737</c:v>
                </c:pt>
                <c:pt idx="11">
                  <c:v>2116.9453018054592</c:v>
                </c:pt>
                <c:pt idx="12">
                  <c:v>2236.0927196696271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OPEX!$E$32:$Q$32</c:f>
              <c:numCache>
                <c:formatCode>General</c:formatCode>
                <c:ptCount val="13"/>
                <c:pt idx="0">
                  <c:v>1205.1901324356479</c:v>
                </c:pt>
                <c:pt idx="1">
                  <c:v>2731.8639807636805</c:v>
                </c:pt>
                <c:pt idx="2">
                  <c:v>2765.5263782836005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3186.482257614336</c:v>
                </c:pt>
                <c:pt idx="6">
                  <c:v>2982.9289625001893</c:v>
                </c:pt>
                <c:pt idx="7">
                  <c:v>3013.7680730756006</c:v>
                </c:pt>
                <c:pt idx="8">
                  <c:v>2355.179232095003</c:v>
                </c:pt>
                <c:pt idx="9">
                  <c:v>2801.7420062632004</c:v>
                </c:pt>
                <c:pt idx="10">
                  <c:v>758.73843313747841</c:v>
                </c:pt>
                <c:pt idx="11">
                  <c:v>2963.7234225276429</c:v>
                </c:pt>
                <c:pt idx="12">
                  <c:v>3130.5298075374781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55347456"/>
        <c:axId val="62621376"/>
      </c:barChart>
      <c:catAx>
        <c:axId val="15534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21376"/>
        <c:crosses val="autoZero"/>
        <c:auto val="1"/>
        <c:lblAlgn val="ctr"/>
        <c:lblOffset val="100"/>
        <c:noMultiLvlLbl val="0"/>
      </c:catAx>
      <c:valAx>
        <c:axId val="626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3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13</xdr:row>
      <xdr:rowOff>100012</xdr:rowOff>
    </xdr:from>
    <xdr:to>
      <xdr:col>3</xdr:col>
      <xdr:colOff>2038350</xdr:colOff>
      <xdr:row>27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843915</xdr:colOff>
      <xdr:row>2</xdr:row>
      <xdr:rowOff>152400</xdr:rowOff>
    </xdr:from>
    <xdr:to>
      <xdr:col>16</xdr:col>
      <xdr:colOff>241935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2AF6944-48DA-45D6-93A4-52064D7B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, Sai Kireet" refreshedDate="43276.827178819447" createdVersion="4" refreshedVersion="4" minRefreshableVersion="3" recordCount="9">
  <cacheSource type="worksheet">
    <worksheetSource name="Table2"/>
  </cacheSource>
  <cacheFields count="27">
    <cacheField name="Position of component" numFmtId="0">
      <sharedItems count="4">
        <s v="Central Office"/>
        <s v="RN1"/>
        <s v="RN2"/>
        <s v="Building"/>
      </sharedItems>
    </cacheField>
    <cacheField name="Component Name" numFmtId="0">
      <sharedItems count="8">
        <s v="GPON OLT Card(8*2.5Gbps)"/>
        <s v="Pluggable B+"/>
        <s v="Switching Cost"/>
        <s v="Additional"/>
        <s v="Power Splitter 1:8"/>
        <s v="GPON ONT"/>
        <s v="1:32 DSLAM+Cabinet"/>
        <s v="NA"/>
      </sharedItems>
    </cacheField>
    <cacheField name="Cost per Unit (OASE)" numFmtId="0">
      <sharedItems containsSemiMixedTypes="0" containsString="0" containsNumber="1" minValue="0" maxValue="200"/>
    </cacheField>
    <cacheField name="Quantity" numFmtId="0">
      <sharedItems containsSemiMixedTypes="0" containsString="0" containsNumber="1" containsInteger="1" minValue="1" maxValue="4877"/>
    </cacheField>
    <cacheField name="Floor Space per component" numFmtId="0">
      <sharedItems containsSemiMixedTypes="0" containsString="0" containsNumber="1" containsInteger="1" minValue="0" maxValue="20"/>
    </cacheField>
    <cacheField name="Total Floor Space" numFmtId="0">
      <sharedItems containsSemiMixedTypes="0" containsString="0" containsNumber="1" containsInteger="1" minValue="0" maxValue="2488"/>
    </cacheField>
    <cacheField name="Rent per sqm per year" numFmtId="0">
      <sharedItems containsSemiMixedTypes="0" containsString="0" containsNumber="1" minValue="0" maxValue="10.6"/>
    </cacheField>
    <cacheField name="Total Rent cost per year" numFmtId="0">
      <sharedItems containsSemiMixedTypes="0" containsString="0" containsNumber="1" containsInteger="1" minValue="0" maxValue="4976"/>
    </cacheField>
    <cacheField name="Installation Time in hours" numFmtId="0">
      <sharedItems containsSemiMixedTypes="0" containsString="0" containsNumber="1" minValue="0" maxValue="2488"/>
    </cacheField>
    <cacheField name="MTTR" numFmtId="0">
      <sharedItems containsSemiMixedTypes="0" containsString="0" containsNumber="1" containsInteger="1" minValue="0" maxValue="24"/>
    </cacheField>
    <cacheField name="FIT" numFmtId="0">
      <sharedItems containsSemiMixedTypes="0" containsString="0" containsNumber="1" containsInteger="1" minValue="0" maxValue="5000"/>
    </cacheField>
    <cacheField name="Energy consumption in W" numFmtId="0">
      <sharedItems containsSemiMixedTypes="0" containsString="0" containsNumber="1" minValue="0" maxValue="62200"/>
    </cacheField>
    <cacheField name="Yearly Energy Consumption in kWh" numFmtId="0">
      <sharedItems containsSemiMixedTypes="0" containsString="0" containsNumber="1" minValue="0" maxValue="544872"/>
    </cacheField>
    <cacheField name="CU/kWh" numFmtId="0">
      <sharedItems containsSemiMixedTypes="0" containsString="0" containsNumber="1" minValue="6.0960000000000007E-3" maxValue="6.0960000000000007E-3"/>
    </cacheField>
    <cacheField name="Energy Cost per year in CU" numFmtId="0">
      <sharedItems containsSemiMixedTypes="0" containsString="0" containsNumber="1" minValue="0" maxValue="3321.5397120000002"/>
    </cacheField>
    <cacheField name="Mean dist in km from CO" numFmtId="0">
      <sharedItems containsSemiMixedTypes="0" containsString="0" containsNumber="1" minValue="0" maxValue="2"/>
    </cacheField>
    <cacheField name="Avg Travel Speed" numFmtId="0">
      <sharedItems containsSemiMixedTypes="0" containsString="0" containsNumber="1" containsInteger="1" minValue="20" maxValue="20"/>
    </cacheField>
    <cacheField name="Failures per year" numFmtId="0">
      <sharedItems containsSemiMixedTypes="0" containsString="0" containsNumber="1" minValue="0" maxValue="5.4487199999999998"/>
    </cacheField>
    <cacheField name="Twice Travel Time" numFmtId="0">
      <sharedItems containsSemiMixedTypes="0" containsString="0" containsNumber="1" minValue="0" maxValue="0.2"/>
    </cacheField>
    <cacheField name="Total Time to Repair(h)" numFmtId="0">
      <sharedItems containsSemiMixedTypes="0" containsString="0" containsNumber="1" minValue="0" maxValue="24.15"/>
    </cacheField>
    <cacheField name="No. Of technicians" numFmtId="0">
      <sharedItems containsSemiMixedTypes="0" containsString="0" containsNumber="1" containsInteger="1" minValue="1" maxValue="1"/>
    </cacheField>
    <cacheField name="Cost per hour" numFmtId="0">
      <sharedItems containsSemiMixedTypes="0" containsString="0" containsNumber="1" minValue="3.8" maxValue="3.8"/>
    </cacheField>
    <cacheField name="FM Cost" numFmtId="0">
      <sharedItems containsSemiMixedTypes="0" containsString="0" containsNumber="1" minValue="0" maxValue="500.02903439999994"/>
    </cacheField>
    <cacheField name="FM Penalty Residential" numFmtId="0">
      <sharedItems containsSemiMixedTypes="0" containsString="0" containsNumber="1" containsInteger="1" minValue="0" maxValue="0"/>
    </cacheField>
    <cacheField name="FM Penalty Business" numFmtId="0">
      <sharedItems containsSemiMixedTypes="0" containsString="0" containsNumber="1" containsInteger="1" minValue="24" maxValue="24"/>
    </cacheField>
    <cacheField name="FM Penalty ITS" numFmtId="0">
      <sharedItems containsSemiMixedTypes="0" containsString="0" containsNumber="1" containsInteger="1" minValue="40" maxValue="40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40"/>
    <n v="40"/>
    <n v="5"/>
    <n v="200"/>
    <n v="10.6"/>
    <n v="2120"/>
    <n v="7.1666666666666661"/>
    <n v="2"/>
    <n v="256"/>
    <n v="60"/>
    <n v="525.6"/>
    <n v="6.0960000000000007E-3"/>
    <n v="3.2040576000000005"/>
    <n v="0"/>
    <n v="20"/>
    <n v="8.9702400000000009E-3"/>
    <n v="0"/>
    <n v="2"/>
    <n v="1"/>
    <n v="3.8"/>
    <n v="6.8173824000000008E-2"/>
    <n v="0"/>
    <n v="24"/>
    <n v="40"/>
    <m/>
  </r>
  <r>
    <x v="0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0"/>
    <n v="20"/>
    <n v="0"/>
    <n v="0"/>
    <n v="0"/>
    <n v="1"/>
    <n v="3.8"/>
    <n v="0"/>
    <n v="0"/>
    <n v="24"/>
    <n v="40"/>
    <m/>
  </r>
  <r>
    <x v="0"/>
    <x v="2"/>
    <n v="1.1111111111111112E-2"/>
    <n v="800"/>
    <n v="0"/>
    <n v="0"/>
    <n v="0"/>
    <n v="0"/>
    <n v="0"/>
    <n v="0"/>
    <n v="0"/>
    <n v="80"/>
    <n v="700.8"/>
    <n v="6.0960000000000007E-3"/>
    <n v="4.2720768000000007"/>
    <n v="0"/>
    <n v="20"/>
    <n v="0"/>
    <n v="0"/>
    <n v="0"/>
    <n v="1"/>
    <n v="3.8"/>
    <n v="0"/>
    <n v="0"/>
    <n v="24"/>
    <n v="40"/>
    <m/>
  </r>
  <r>
    <x v="0"/>
    <x v="3"/>
    <n v="200"/>
    <n v="1"/>
    <n v="20"/>
    <n v="20"/>
    <n v="10.6"/>
    <n v="212"/>
    <n v="1"/>
    <n v="0"/>
    <n v="0"/>
    <n v="0"/>
    <n v="0"/>
    <n v="6.0960000000000007E-3"/>
    <n v="0"/>
    <n v="0"/>
    <n v="20"/>
    <n v="0"/>
    <n v="0"/>
    <n v="0"/>
    <n v="1"/>
    <n v="3.8"/>
    <n v="0"/>
    <n v="0"/>
    <n v="24"/>
    <n v="40"/>
    <m/>
  </r>
  <r>
    <x v="1"/>
    <x v="4"/>
    <n v="1.8"/>
    <n v="312"/>
    <n v="0"/>
    <n v="0"/>
    <n v="0"/>
    <n v="0"/>
    <n v="52.166666666666664"/>
    <n v="6"/>
    <n v="120"/>
    <n v="0"/>
    <n v="0"/>
    <n v="6.0960000000000007E-3"/>
    <n v="0"/>
    <n v="0.5"/>
    <n v="20"/>
    <n v="3.2797439999999997E-2"/>
    <n v="0.05"/>
    <n v="6.05"/>
    <n v="1"/>
    <n v="3.8"/>
    <n v="0.75401314559999988"/>
    <n v="0"/>
    <n v="24"/>
    <n v="40"/>
    <m/>
  </r>
  <r>
    <x v="2"/>
    <x v="1"/>
    <n v="4"/>
    <n v="312"/>
    <n v="0"/>
    <n v="0"/>
    <n v="0"/>
    <n v="0"/>
    <n v="0"/>
    <n v="0"/>
    <n v="0"/>
    <n v="374.4"/>
    <n v="3279.7439999999997"/>
    <n v="6.0960000000000007E-3"/>
    <n v="19.993319423999999"/>
    <n v="1.5"/>
    <n v="20"/>
    <n v="0"/>
    <n v="0.15"/>
    <n v="0.15"/>
    <n v="1"/>
    <n v="3.8"/>
    <n v="0"/>
    <n v="0"/>
    <n v="24"/>
    <n v="40"/>
    <m/>
  </r>
  <r>
    <x v="2"/>
    <x v="5"/>
    <n v="1"/>
    <n v="2488"/>
    <n v="1"/>
    <n v="2488"/>
    <n v="0"/>
    <n v="0"/>
    <n v="2488"/>
    <n v="6"/>
    <n v="256"/>
    <n v="9952"/>
    <n v="87179.520000000004"/>
    <n v="6.0960000000000007E-3"/>
    <n v="531.44635392000009"/>
    <n v="1.5"/>
    <n v="20"/>
    <n v="0.55794892799999996"/>
    <n v="0.15"/>
    <n v="6.15"/>
    <n v="1"/>
    <n v="3.8"/>
    <n v="13.039266447359999"/>
    <n v="0"/>
    <n v="24"/>
    <n v="40"/>
    <m/>
  </r>
  <r>
    <x v="2"/>
    <x v="6"/>
    <n v="124"/>
    <n v="1244"/>
    <n v="1"/>
    <n v="1244"/>
    <n v="4"/>
    <n v="4976"/>
    <n v="207.83333333333331"/>
    <n v="24"/>
    <n v="5000"/>
    <n v="62200"/>
    <n v="544872"/>
    <n v="6.0960000000000007E-3"/>
    <n v="3321.5397120000002"/>
    <n v="1.5"/>
    <n v="20"/>
    <n v="5.4487199999999998"/>
    <n v="0.15"/>
    <n v="24.15"/>
    <n v="1"/>
    <n v="3.8"/>
    <n v="500.02903439999994"/>
    <n v="0"/>
    <n v="24"/>
    <n v="40"/>
    <m/>
  </r>
  <r>
    <x v="3"/>
    <x v="7"/>
    <n v="0"/>
    <n v="4877"/>
    <n v="0"/>
    <n v="0"/>
    <n v="0"/>
    <n v="0"/>
    <n v="0"/>
    <n v="0"/>
    <n v="0"/>
    <n v="0"/>
    <n v="0"/>
    <n v="6.0960000000000007E-3"/>
    <n v="0"/>
    <n v="2"/>
    <n v="20"/>
    <n v="0"/>
    <n v="0.2"/>
    <n v="0.2"/>
    <n v="1"/>
    <n v="3.8"/>
    <n v="0"/>
    <n v="0"/>
    <n v="24"/>
    <n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27">
    <pivotField axis="axisRow" showAll="0">
      <items count="5">
        <item sd="0" x="3"/>
        <item sd="0" x="0"/>
        <item sd="0" x="1"/>
        <item sd="0" x="2"/>
        <item t="default"/>
      </items>
    </pivotField>
    <pivotField axis="axisRow" showAll="0">
      <items count="9">
        <item x="6"/>
        <item x="3"/>
        <item x="0"/>
        <item x="5"/>
        <item x="7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Rent cost per year" fld="7" baseField="0" baseItem="0"/>
    <dataField name="Sum of FM Cost" fld="22" baseField="0" baseItem="0"/>
    <dataField name="Sum of Energy Cost per year in CU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24" name="Floor Space per component"/>
    <tableColumn id="25" name="Total Floor Space">
      <calculatedColumnFormula>Table2[[#This Row],[Floor Space per component]]*Table2[[#This Row],[Quantity]]</calculatedColumnFormula>
    </tableColumn>
    <tableColumn id="26" name="Rent per sqm per year"/>
    <tableColumn id="27" name="Total Rent cost per year" totalsRowFunction="custom" totalsRowDxfId="164" dataCellStyle="Good">
      <calculatedColumnFormula>Table2[[#This Row],[Rent per sqm per year]]*Table2[[#This Row],[Total Floor Space]]</calculatedColumnFormula>
      <totalsRowFormula>SUM(Table2[Total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63" dataCellStyle="Good">
      <calculatedColumnFormula>Table2[[#This Row],[Yearly Energy Consumption in kWh]]*Table2[[#This Row],[CU/kWh]]</calculatedColumnFormula>
      <totalsRowFormula>SUM(Table2[Energy Cost per year in CU])</totalsRowFormula>
    </tableColumn>
    <tableColumn id="12" name="Mean dist in km from CO"/>
    <tableColumn id="13" name="Avg Travel Speed"/>
    <tableColumn id="14" name="Failures per year">
      <calculatedColumnFormula>Table2[[#This Row],[Quantity]]*(Table2[[#This Row],[FIT]]*24*365)/1000000000</calculatedColumnFormula>
    </tableColumn>
    <tableColumn id="15" name="Twice Travel Time">
      <calculatedColumnFormula>2*Table2[[#This Row],[Mean dist in km from CO]]/Table2[[#This Row],[Avg Travel Speed]]</calculatedColumnFormula>
    </tableColumn>
    <tableColumn id="16" name="Total Time to Repair(h)">
      <calculatedColumnFormula>Table2[[#This Row],[MTTR]]+Table2[[#This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62" dataCellStyle="Good">
      <calculatedColumnFormula>Table2[[#This Row],[Cost per hour]]*Table2[[#This Row],[Total Time to Repair(h)]]*Table2[[#This Row],[Failures per year]]</calculatedColumnFormula>
      <totalsRowFormula>SUM(Table2[FM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19" displayName="Table19" ref="B1:W11" totalsRowCount="1">
  <autoFilter ref="B1:W10"/>
  <tableColumns count="22">
    <tableColumn id="1" name="Component Name" dataDxfId="123" totalsRowDxfId="122"/>
    <tableColumn id="2" name="Cost per Unit (OASE)" dataDxfId="121" totalsRowDxfId="120"/>
    <tableColumn id="3" name="Quantity" dataDxfId="119" totalsRowDxfId="118"/>
    <tableColumn id="4" name="Floor Space per component" totalsRowDxfId="117"/>
    <tableColumn id="5" name="Total Floor Space" totalsRowDxfId="116">
      <calculatedColumnFormula>E2*D2</calculatedColumnFormula>
    </tableColumn>
    <tableColumn id="6" name="Rent per sqm per year" totalsRowDxfId="115"/>
    <tableColumn id="7" name="Total Rent cost per year" totalsRowFunction="sum" totalsRowDxfId="114">
      <calculatedColumnFormula>G2*F2</calculatedColumnFormula>
    </tableColumn>
    <tableColumn id="8" name="Installation Time in hours" totalsRowDxfId="113"/>
    <tableColumn id="9" name="MTTR" totalsRowDxfId="112"/>
    <tableColumn id="10" name="FIT" totalsRowDxfId="111"/>
    <tableColumn id="11" name="Energy consumption in W" totalsRowDxfId="110"/>
    <tableColumn id="12" name="Yearly Energy Consumption in kWh" totalsRowDxfId="109">
      <calculatedColumnFormula>Table19[[#This Row],[Energy consumption in W]]*24*365/1000</calculatedColumnFormula>
    </tableColumn>
    <tableColumn id="13" name="CU/kWh" totalsRowDxfId="108">
      <calculatedColumnFormula>0.3048/50</calculatedColumnFormula>
    </tableColumn>
    <tableColumn id="14" name="Energy Cost per year in CU" totalsRowFunction="sum" totalsRowDxfId="107">
      <calculatedColumnFormula>Table19[[#This Row],[Yearly Energy Consumption in kWh]]*Table19[[#This Row],[CU/kWh]]</calculatedColumnFormula>
    </tableColumn>
    <tableColumn id="15" name="Mean dist in km from CO" totalsRowDxfId="106"/>
    <tableColumn id="16" name="Avg Travel Speed" totalsRowDxfId="105"/>
    <tableColumn id="17" name="Failures per year" totalsRowDxfId="104">
      <calculatedColumnFormula>Table19[[#This Row],[Quantity]]*Table19[[#This Row],[FIT]]*24*365/1000000000</calculatedColumnFormula>
    </tableColumn>
    <tableColumn id="18" name="Twice Travel Time" totalsRowDxfId="103">
      <calculatedColumnFormula>2*Table19[[#This Row],[Mean dist in km from CO]]/Table19[[#This Row],[Avg Travel Speed]]</calculatedColumnFormula>
    </tableColumn>
    <tableColumn id="19" name="Total Time to Repair(h)" totalsRowDxfId="102">
      <calculatedColumnFormula>Table19[[#This Row],[MTTR]]+Table19[[#This Row],[Twice Travel Time]]</calculatedColumnFormula>
    </tableColumn>
    <tableColumn id="20" name="No. Of technicians" totalsRowDxfId="101"/>
    <tableColumn id="21" name="Cost per hour" totalsRowDxfId="100"/>
    <tableColumn id="22" name="FM Cost" totalsRowFunction="custom" totalsRowDxfId="99">
      <calculatedColumnFormula>Table19[[#This Row],[Cost per hour]]*Table19[[#This Row],[No. Of technicians]]*Table19[[#This Row],[Total Time to Repair(h)]]*Table19[[#This Row],[Failures per year]]</calculatedColumnFormula>
      <totalsRowFormula>SUM(Table19[FM Cost])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Table141617" displayName="Table141617" ref="L20:M26" totalsRowCount="1">
  <autoFilter ref="L20:M25"/>
  <tableColumns count="2">
    <tableColumn id="1" name="Component"/>
    <tableColumn id="2" name="Cost" totalsRowFunction="custom">
      <totalsRowFormula>SUM(Table141617[Cost])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9" name="Table9" displayName="Table9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Table9[[#This Row],[Floor Space per component]]*Table9[[#This Row],[Quantity]]</calculatedColumnFormula>
    </tableColumn>
    <tableColumn id="7" name="Rent per sqm per year"/>
    <tableColumn id="8" name="Total Rent cost per year" totalsRowFunction="custom">
      <calculatedColumnFormula>Table9[[#This Row],[Total Floor Space]]*Table9[[#This Row],[Rent per sqm per year]]</calculatedColumnFormula>
      <totalsRowFormula>SUM(Table9[Total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Table9[[#This Row],[Yearly Energy Consumption in kWh]]*Table9[[#This Row],[CU/kWh]]</calculatedColumnFormula>
    </tableColumn>
    <tableColumn id="16" name="Mean dist in km from CO"/>
    <tableColumn id="17" name="Avg Travel Speed"/>
    <tableColumn id="18" name="Failures per year">
      <calculatedColumnFormula>Table9[[#This Row],[FIT]]*Table9[[#This Row],[Quantity]]*24*365/1000000000</calculatedColumnFormula>
    </tableColumn>
    <tableColumn id="19" name="Twice Travel Time">
      <calculatedColumnFormula>2*Table9[[#This Row],[Mean dist in km from CO]]/Table9[[#This Row],[Avg Travel Speed]]</calculatedColumnFormula>
    </tableColumn>
    <tableColumn id="20" name="Total Time to Repair(h)">
      <calculatedColumnFormula>Table9[[#This Row],[MTTR]]+Table9[[#This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Table9[[#This Row],[Failures per year]]*Table9[[#This Row],[Total Time to Repair(h)]]*Table9[[#This Row],[No. Of technicians]]*Table9[[#This Row],[Cost per hour]]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7" name="Table14161718" displayName="Table14161718" ref="O20:P26" totalsRowCount="1">
  <autoFilter ref="O20:P25"/>
  <tableColumns count="2">
    <tableColumn id="1" name="Component"/>
    <tableColumn id="2" name="Cost" totalsRowFunction="custom">
      <totalsRowFormula>SUM(Table14161718[Cost])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10" displayName="Table10" ref="A1:W10" totalsRowCount="1">
  <autoFilter ref="A1:W9"/>
  <tableColumns count="23">
    <tableColumn id="1" name="Position of component" dataDxfId="98" totalsRowDxfId="97"/>
    <tableColumn id="2" name="Component Name" dataDxfId="96" totalsRowDxfId="95"/>
    <tableColumn id="3" name="Cost per Unit (OASE)" dataDxfId="94" totalsRowDxfId="93"/>
    <tableColumn id="4" name="Quantity" dataDxfId="92" totalsRowDxfId="91"/>
    <tableColumn id="5" name="Floor Space per component" totalsRowDxfId="90"/>
    <tableColumn id="6" name="Total Floor Space" totalsRowDxfId="89">
      <calculatedColumnFormula>E2*D2</calculatedColumnFormula>
    </tableColumn>
    <tableColumn id="7" name="Rent per sqm per year" totalsRowDxfId="88"/>
    <tableColumn id="8" name="Total Rent cost per year" totalsRowFunction="custom" totalsRowDxfId="87">
      <calculatedColumnFormula>Table10[[#This Row],[Total Floor Space]]*Table10[[#This Row],[Rent per sqm per year]]</calculatedColumnFormula>
      <totalsRowFormula>SUM(Table10[Total Rent cost per year])</totalsRowFormula>
    </tableColumn>
    <tableColumn id="9" name="Installation Time in hours" totalsRowDxfId="86"/>
    <tableColumn id="10" name="MTTR" totalsRowDxfId="85"/>
    <tableColumn id="11" name="FIT" totalsRowDxfId="84"/>
    <tableColumn id="12" name="Energy consumption in W" totalsRowDxfId="83"/>
    <tableColumn id="13" name="Yearly Energy Consumption in kWh" totalsRowDxfId="82">
      <calculatedColumnFormula>Table10[[#This Row],[Energy consumption in W]]*24*365/1000</calculatedColumnFormula>
    </tableColumn>
    <tableColumn id="14" name="CU/kWh" totalsRowDxfId="81">
      <calculatedColumnFormula>0.3084/50</calculatedColumnFormula>
    </tableColumn>
    <tableColumn id="15" name="Energy Cost per year in CU" totalsRowFunction="sum" totalsRowDxfId="80">
      <calculatedColumnFormula>Table10[[#This Row],[Yearly Energy Consumption in kWh]]*Table10[[#This Row],[CU/kWh]]</calculatedColumnFormula>
    </tableColumn>
    <tableColumn id="16" name="Mean dist in km from CO" totalsRowDxfId="79"/>
    <tableColumn id="17" name="Avg Travel Speed" totalsRowDxfId="78"/>
    <tableColumn id="18" name="Failures per year" totalsRowDxfId="77">
      <calculatedColumnFormula>Table10[[#This Row],[FIT]]*Table10[[#This Row],[Quantity]]*24*365/1000000000</calculatedColumnFormula>
    </tableColumn>
    <tableColumn id="19" name="Twice Travel Time" totalsRowDxfId="76">
      <calculatedColumnFormula>2*Table10[[#This Row],[Mean dist in km from CO]]/Table10[[#This Row],[Avg Travel Speed]]</calculatedColumnFormula>
    </tableColumn>
    <tableColumn id="20" name="Total Time to Repair(h)" totalsRowDxfId="75">
      <calculatedColumnFormula>Table10[[#This Row],[MTTR]]+Table10[[#This Row],[Twice Travel Time]]</calculatedColumnFormula>
    </tableColumn>
    <tableColumn id="21" name="No. Of technicians" totalsRowDxfId="74"/>
    <tableColumn id="22" name="Cost per hour" totalsRowDxfId="73"/>
    <tableColumn id="23" name="FM Cost" totalsRowFunction="sum" totalsRowDxfId="72">
      <calculatedColumnFormula>Table10[[#This Row],[Failures per year]]*Table10[[#This Row],[Total Time to Repair(h)]]*Table10[[#This Row],[No. Of technicians]]*Table10[[#This Row],[Cost per hour]]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416171819" displayName="Table1416171819" ref="O18:P24" totalsRowCount="1">
  <autoFilter ref="O18:P23"/>
  <tableColumns count="2">
    <tableColumn id="1" name="Component"/>
    <tableColumn id="2" name="Cost" totalsRowFunction="custom">
      <totalsRowFormula>SUM(Table1416171819[Cost])</totalsRow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1" name="Table1012" displayName="Table1012" ref="A1:W10" totalsRowCount="1">
  <autoFilter ref="A1:W9"/>
  <tableColumns count="23">
    <tableColumn id="1" name="Position of component" dataDxfId="71" totalsRowDxfId="70"/>
    <tableColumn id="2" name="Component Name" dataDxfId="69" totalsRowDxfId="68"/>
    <tableColumn id="3" name="Cost per Unit (OASE)" dataDxfId="67" totalsRowDxfId="66"/>
    <tableColumn id="4" name="Quantity" dataDxfId="65" totalsRowDxfId="64"/>
    <tableColumn id="5" name="Floor Space per component" totalsRowDxfId="63"/>
    <tableColumn id="6" name="Total Floor Space" totalsRowDxfId="62">
      <calculatedColumnFormula>E2*D2</calculatedColumnFormula>
    </tableColumn>
    <tableColumn id="7" name="Rent per sqm per year" totalsRowDxfId="61"/>
    <tableColumn id="8" name="Total Rent cost per year" totalsRowFunction="custom" totalsRowDxfId="60">
      <calculatedColumnFormula>Table1012[[#This Row],[Total Floor Space]]*Table1012[[#This Row],[Rent per sqm per year]]</calculatedColumnFormula>
      <totalsRowFormula>SUM(Table1012[Total Rent cost per year])</totalsRowFormula>
    </tableColumn>
    <tableColumn id="9" name="Installation Time in hours" totalsRowDxfId="59"/>
    <tableColumn id="10" name="MTTR" totalsRowDxfId="58"/>
    <tableColumn id="11" name="FIT" totalsRowDxfId="57"/>
    <tableColumn id="12" name="Energy consumption in W" totalsRowDxfId="56"/>
    <tableColumn id="13" name="Yearly Energy Consumption in kWh" totalsRowDxfId="55">
      <calculatedColumnFormula>Table1012[[#This Row],[Energy consumption in W]]*24*365/1000</calculatedColumnFormula>
    </tableColumn>
    <tableColumn id="14" name="CU/kWh" totalsRowDxfId="54">
      <calculatedColumnFormula>0.3084/50</calculatedColumnFormula>
    </tableColumn>
    <tableColumn id="15" name="Energy Cost per year in CU" totalsRowFunction="sum" totalsRowDxfId="53">
      <calculatedColumnFormula>Table1012[[#This Row],[Yearly Energy Consumption in kWh]]*Table1012[[#This Row],[CU/kWh]]</calculatedColumnFormula>
    </tableColumn>
    <tableColumn id="16" name="Mean dist in km from CO" totalsRowDxfId="52"/>
    <tableColumn id="17" name="Avg Travel Speed" totalsRowDxfId="51"/>
    <tableColumn id="18" name="Failures per year" totalsRowDxfId="50">
      <calculatedColumnFormula>Table1012[[#This Row],[FIT]]*Table1012[[#This Row],[Quantity]]*24*365/1000000000</calculatedColumnFormula>
    </tableColumn>
    <tableColumn id="19" name="Twice Travel Time" totalsRowDxfId="49">
      <calculatedColumnFormula>2*Table1012[[#This Row],[Mean dist in km from CO]]/Table1012[[#This Row],[Avg Travel Speed]]</calculatedColumnFormula>
    </tableColumn>
    <tableColumn id="20" name="Total Time to Repair(h)" totalsRowDxfId="48">
      <calculatedColumnFormula>Table1012[[#This Row],[MTTR]]+Table1012[[#This Row],[Twice Travel Time]]</calculatedColumnFormula>
    </tableColumn>
    <tableColumn id="21" name="No. Of technicians" totalsRowDxfId="47"/>
    <tableColumn id="22" name="Cost per hour" totalsRowDxfId="46"/>
    <tableColumn id="23" name="FM Cost" totalsRowFunction="sum" totalsRowDxfId="45">
      <calculatedColumnFormula>Table1012[[#This Row],[Failures per year]]*Table1012[[#This Row],[Total Time to Repair(h)]]*Table1012[[#This Row],[No. Of technicians]]*Table1012[[#This Row],[Cost per hour]]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Table141617181920" displayName="Table141617181920" ref="O18:P24" totalsRowCount="1">
  <autoFilter ref="O18:P23"/>
  <tableColumns count="2">
    <tableColumn id="1" name="Component"/>
    <tableColumn id="2" name="Cost" totalsRowFunction="custom">
      <totalsRowFormula>SUM(Table141617181920[Cost])</totalsRow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913" displayName="Table913" ref="A1:W11" totalsRowCount="1">
  <autoFilter ref="A1:W10"/>
  <tableColumns count="23">
    <tableColumn id="1" name="Position of component"/>
    <tableColumn id="2" name="Component Name"/>
    <tableColumn id="3" name="Cost per Unit (OASE)"/>
    <tableColumn id="4" name="Quantity" dataDxfId="44"/>
    <tableColumn id="5" name="Floor Space per component"/>
    <tableColumn id="6" name="Total Floor Space">
      <calculatedColumnFormula>Table913[[#This Row],[Floor Space per component]]*Table913[[#This Row],[Quantity]]</calculatedColumnFormula>
    </tableColumn>
    <tableColumn id="7" name="Rent per sqm per year"/>
    <tableColumn id="8" name="Total Rent cost per year" totalsRowFunction="custom">
      <calculatedColumnFormula>Table913[[#This Row],[Total Floor Space]]*Table913[[#This Row],[Rent per sqm per year]]</calculatedColumnFormula>
      <totalsRowFormula>SUM(Table913[Total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Table913[[#This Row],[Energy consumption in W]]*24*365/1000</calculatedColumnFormula>
    </tableColumn>
    <tableColumn id="14" name="CU/kWh">
      <calculatedColumnFormula>0.3084/50</calculatedColumnFormula>
    </tableColumn>
    <tableColumn id="15" name="Energy Cost per year in CU" totalsRowFunction="sum">
      <calculatedColumnFormula>Table913[[#This Row],[Yearly Energy Consumption in kWh]]*Table913[[#This Row],[CU/kWh]]</calculatedColumnFormula>
    </tableColumn>
    <tableColumn id="16" name="Mean dist in km from CO"/>
    <tableColumn id="17" name="Avg Travel Speed"/>
    <tableColumn id="18" name="Failures per year">
      <calculatedColumnFormula>Table913[[#This Row],[FIT]]*Table913[[#This Row],[Quantity]]*24*365/1000000000</calculatedColumnFormula>
    </tableColumn>
    <tableColumn id="19" name="Twice Travel Time">
      <calculatedColumnFormula>2*Table913[[#This Row],[Mean dist in km from CO]]/Table913[[#This Row],[Avg Travel Speed]]</calculatedColumnFormula>
    </tableColumn>
    <tableColumn id="20" name="Total Time to Repair(h)">
      <calculatedColumnFormula>Table913[[#This Row],[MTTR]]+Table913[[#This Row],[Twice Travel Time]]</calculatedColumnFormula>
    </tableColumn>
    <tableColumn id="21" name="No. Of technicians"/>
    <tableColumn id="22" name="Cost per hour"/>
    <tableColumn id="23" name="FM Cost" totalsRowFunction="sum">
      <calculatedColumnFormula>Table913[[#This Row],[Failures per year]]*Table913[[#This Row],[Total Time to Repair(h)]]*Table913[[#This Row],[No. Of technicians]]*Table913[[#This Row],[Cost per hour]]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0" name="Table14161718192021" displayName="Table14161718192021" ref="M17:N23" totalsRowCount="1">
  <autoFilter ref="M17:N22"/>
  <tableColumns count="2">
    <tableColumn id="1" name="Component"/>
    <tableColumn id="2" name="Cost" totalsRowFunction="custom">
      <totalsRowFormula>SUM(Table14161718192021[Cost])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A11" totalsRowCount="1">
  <autoFilter ref="A1:AA10"/>
  <tableColumns count="27">
    <tableColumn id="1" name="Position of component"/>
    <tableColumn id="2" name="Component Name"/>
    <tableColumn id="3" name="Cost per Unit (OASE)"/>
    <tableColumn id="4" name="Quantity"/>
    <tableColumn id="5" name="Floor Space per component"/>
    <tableColumn id="6" name="Total Floor Space">
      <calculatedColumnFormula>Table3[[#This Row],[Floor Space per component]]*Table3[[#This Row],[Quantity]]</calculatedColumnFormula>
    </tableColumn>
    <tableColumn id="7" name="Rent per sqm per year"/>
    <tableColumn id="8" name="Total Rent cost per year" totalsRowFunction="custom">
      <calculatedColumnFormula>Table3[[#This Row],[Rent per sqm per year]]*Table3[[#This Row],[Total Floor Space]]</calculatedColumnFormula>
      <totalsRowFormula>SUM(Table3[Total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Table3[[#This Row],[Yearly Energy Consumption in kWh]]*Table3[[#This Row],[CU/kWh]]</calculatedColumnFormula>
    </tableColumn>
    <tableColumn id="16" name="Mean dist in km from CO"/>
    <tableColumn id="17" name="Avg Travel Speed"/>
    <tableColumn id="18" name="Failures per year">
      <calculatedColumnFormula>Table3[[#This Row],[Quantity]]*(Table3[[#This Row],[FIT]]*24*365)/1000000000</calculatedColumnFormula>
    </tableColumn>
    <tableColumn id="19" name="Twice Travel Time">
      <calculatedColumnFormula>2*Table3[[#This Row],[Mean dist in km from CO]]/Table3[[#This Row],[Avg Travel Speed]]</calculatedColumnFormula>
    </tableColumn>
    <tableColumn id="20" name="Total Time to Repair(h)">
      <calculatedColumnFormula>Table3[[#This Row],[MTTR]]+Table3[[#This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Table3[[#This Row],[Cost per hour]]*Table3[[#This Row],[Total Time to Repair(h)]]*Table3[[#This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3" name="Table1014" displayName="Table1014" ref="A1:W10" totalsRowCount="1">
  <autoFilter ref="A1:W9"/>
  <tableColumns count="23">
    <tableColumn id="1" name="Position of component" dataDxfId="43" totalsRowDxfId="42"/>
    <tableColumn id="2" name="Component Name" dataDxfId="41" totalsRowDxfId="40"/>
    <tableColumn id="3" name="Cost per Unit (OASE)" dataDxfId="39" totalsRowDxfId="38"/>
    <tableColumn id="4" name="Quantity" dataDxfId="37" totalsRowDxfId="36"/>
    <tableColumn id="5" name="Floor Space per component" totalsRowDxfId="35"/>
    <tableColumn id="6" name="Total Floor Space" totalsRowDxfId="34">
      <calculatedColumnFormula>E2*D2</calculatedColumnFormula>
    </tableColumn>
    <tableColumn id="7" name="Rent per sqm per year" totalsRowDxfId="33"/>
    <tableColumn id="8" name="Total Rent cost per year" totalsRowFunction="custom" totalsRowDxfId="32">
      <calculatedColumnFormula>Table1014[[#This Row],[Total Floor Space]]*Table1014[[#This Row],[Rent per sqm per year]]</calculatedColumnFormula>
      <totalsRowFormula>SUM(Table1014[Total Rent cost per year])</totalsRowFormula>
    </tableColumn>
    <tableColumn id="9" name="Installation Time in hours" totalsRowDxfId="31"/>
    <tableColumn id="10" name="MTTR" totalsRowDxfId="30"/>
    <tableColumn id="11" name="FIT" totalsRowDxfId="29"/>
    <tableColumn id="12" name="Energy consumption in W" totalsRowDxfId="28"/>
    <tableColumn id="13" name="Yearly Energy Consumption in kWh" totalsRowDxfId="27">
      <calculatedColumnFormula>Table1014[[#This Row],[Energy consumption in W]]*24*365/1000</calculatedColumnFormula>
    </tableColumn>
    <tableColumn id="14" name="CU/kWh" totalsRowDxfId="26">
      <calculatedColumnFormula>0.3084/50</calculatedColumnFormula>
    </tableColumn>
    <tableColumn id="15" name="Energy Cost per year in CU" totalsRowFunction="sum" totalsRowDxfId="25">
      <calculatedColumnFormula>Table1014[[#This Row],[Yearly Energy Consumption in kWh]]*Table1014[[#This Row],[CU/kWh]]</calculatedColumnFormula>
    </tableColumn>
    <tableColumn id="16" name="Mean dist in km from CO" totalsRowDxfId="24"/>
    <tableColumn id="17" name="Avg Travel Speed" totalsRowDxfId="23"/>
    <tableColumn id="18" name="Failures per year" totalsRowDxfId="22">
      <calculatedColumnFormula>Table1014[[#This Row],[FIT]]*Table1014[[#This Row],[Quantity]]*24*365/1000000000</calculatedColumnFormula>
    </tableColumn>
    <tableColumn id="19" name="Twice Travel Time" totalsRowDxfId="21">
      <calculatedColumnFormula>2*Table1014[[#This Row],[Mean dist in km from CO]]/Table1014[[#This Row],[Avg Travel Speed]]</calculatedColumnFormula>
    </tableColumn>
    <tableColumn id="20" name="Total Time to Repair(h)" totalsRowDxfId="20">
      <calculatedColumnFormula>Table1014[[#This Row],[MTTR]]+Table1014[[#This Row],[Twice Travel Time]]</calculatedColumnFormula>
    </tableColumn>
    <tableColumn id="21" name="No. Of technicians" totalsRowDxfId="19"/>
    <tableColumn id="22" name="Cost per hour" totalsRowDxfId="18"/>
    <tableColumn id="23" name="FM Cost" totalsRowFunction="sum" totalsRowDxfId="17">
      <calculatedColumnFormula>Table1014[[#This Row],[Failures per year]]*Table1014[[#This Row],[Total Time to Repair(h)]]*Table1014[[#This Row],[No. Of technicians]]*Table1014[[#This Row],[Cost per hour]]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1416171819202122" displayName="Table1416171819202122" ref="L19:M25" totalsRowCount="1">
  <autoFilter ref="L19:M24"/>
  <tableColumns count="2">
    <tableColumn id="1" name="Component"/>
    <tableColumn id="2" name="Cost" totalsRowFunction="custom">
      <totalsRowFormula>SUM(Table1416171819202122[Cost])</totalsRow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22" displayName="Table22" ref="D27:Q33" totalsRowCount="1">
  <autoFilter ref="D27:Q32"/>
  <tableColumns count="14">
    <tableColumn id="1" name="Component" totalsRowDxfId="16"/>
    <tableColumn id="2" name="FTTC_GPON_25" totalsRowFunction="custom" totalsRowDxfId="15">
      <totalsRowFormula>SUM(Table22[FTTC_GPON_25])</totalsRowFormula>
    </tableColumn>
    <tableColumn id="3" name="FTTB_XGPON_50" totalsRowFunction="sum" totalsRowDxfId="14"/>
    <tableColumn id="4" name="FTTB_DWDM_50" totalsRowFunction="sum" totalsRowDxfId="13"/>
    <tableColumn id="5" name="FTTH_DWDM_100" totalsRowFunction="sum" totalsRowDxfId="12"/>
    <tableColumn id="6" name="FTTH_XGPON_100" totalsRowFunction="sum" totalsRowDxfId="11"/>
    <tableColumn id="7" name="FTTC_GPON_100" totalsRowFunction="sum" totalsRowDxfId="10"/>
    <tableColumn id="8" name="FTTB_XGPON_100" totalsRowFunction="sum" dataDxfId="9" totalsRowDxfId="8"/>
    <tableColumn id="9" name="FTTB_DWDM_100" totalsRowFunction="sum" dataDxfId="7" totalsRowDxfId="6"/>
    <tableColumn id="10" name="FTTC_Hybridpon_25" totalsRowFunction="sum" dataDxfId="5" totalsRowDxfId="4"/>
    <tableColumn id="11" name="FTTB_Hybridpon_50" totalsRowFunction="sum" totalsRowDxfId="3"/>
    <tableColumn id="12" name="FTTH_Hybridpon_100" totalsRowFunction="sum" totalsRowDxfId="2"/>
    <tableColumn id="13" name="FTTC_Hybridpon_100" totalsRowFunction="sum" totalsRowDxfId="1"/>
    <tableColumn id="14" name="FTTB_Hybridpon_100" totalsRowFunction="sum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1:W11" totalsRowCount="1">
  <autoFilter ref="B1:W10"/>
  <tableColumns count="22">
    <tableColumn id="1" name="Component Name" dataDxfId="161" totalsRowDxfId="160"/>
    <tableColumn id="2" name="Cost per Unit (OASE)" dataDxfId="159" totalsRowDxfId="158"/>
    <tableColumn id="3" name="Quantity" dataDxfId="157" totalsRowDxfId="156"/>
    <tableColumn id="4" name="Floor Space per component" totalsRowDxfId="155"/>
    <tableColumn id="5" name="Total Floor Space" totalsRowDxfId="154">
      <calculatedColumnFormula>E2*D2</calculatedColumnFormula>
    </tableColumn>
    <tableColumn id="6" name="Rent per sqm per year" totalsRowDxfId="153"/>
    <tableColumn id="7" name="Total Rent cost per year" totalsRowFunction="sum" totalsRowDxfId="152">
      <calculatedColumnFormula>G2*F2</calculatedColumnFormula>
    </tableColumn>
    <tableColumn id="8" name="Installation Time in hours" totalsRowDxfId="151"/>
    <tableColumn id="9" name="MTTR" totalsRowDxfId="150"/>
    <tableColumn id="10" name="FIT" totalsRowDxfId="149"/>
    <tableColumn id="11" name="Energy consumption in W" totalsRowDxfId="148"/>
    <tableColumn id="12" name="Yearly Energy Consumption in kWh" totalsRowDxfId="147">
      <calculatedColumnFormula>Table1[[#This Row],[Energy consumption in W]]*24*365/1000</calculatedColumnFormula>
    </tableColumn>
    <tableColumn id="13" name="CU/kWh" totalsRowDxfId="146">
      <calculatedColumnFormula>0.3048/50</calculatedColumnFormula>
    </tableColumn>
    <tableColumn id="14" name="Energy Cost per year in CU" totalsRowFunction="sum" totalsRowDxfId="145">
      <calculatedColumnFormula>Table1[[#This Row],[Yearly Energy Consumption in kWh]]*Table1[[#This Row],[CU/kWh]]</calculatedColumnFormula>
    </tableColumn>
    <tableColumn id="15" name="Mean dist in km from CO" totalsRowDxfId="144"/>
    <tableColumn id="16" name="Avg Travel Speed" totalsRowDxfId="143"/>
    <tableColumn id="17" name="Failures per year" totalsRowDxfId="142">
      <calculatedColumnFormula>Table1[[#This Row],[Quantity]]*Table1[[#This Row],[FIT]]*24*365/1000000000</calculatedColumnFormula>
    </tableColumn>
    <tableColumn id="18" name="Twice Travel Time" totalsRowDxfId="141">
      <calculatedColumnFormula>2*Table1[[#This Row],[Mean dist in km from CO]]/Table1[[#This Row],[Avg Travel Speed]]</calculatedColumnFormula>
    </tableColumn>
    <tableColumn id="19" name="Total Time to Repair(h)" totalsRowDxfId="140">
      <calculatedColumnFormula>Table1[[#This Row],[MTTR]]+Table1[[#This Row],[Twice Travel Time]]</calculatedColumnFormula>
    </tableColumn>
    <tableColumn id="20" name="No. Of technicians" totalsRowDxfId="139"/>
    <tableColumn id="21" name="Cost per hour" totalsRowDxfId="138"/>
    <tableColumn id="22" name="FM Cost" totalsRowFunction="custom" totalsRowDxfId="137">
      <calculatedColumnFormula>Table1[[#This Row],[Cost per hour]]*Table1[[#This Row],[No. Of technicians]]*Table1[[#This Row],[Total Time to Repair(h)]]*Table1[[#This Row],[Failures per year]]</calculatedColumnFormula>
      <totalsRowFormula>SUM(Table1[FM Cost])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W11" totalsRowCount="1">
  <autoFilter ref="A1:W10"/>
  <tableColumns count="23">
    <tableColumn id="1" name="Position of component"/>
    <tableColumn id="2" name="Component Name" dataDxfId="136"/>
    <tableColumn id="3" name="Cost per Unit (OASE)"/>
    <tableColumn id="4" name="Quantity" dataDxfId="135"/>
    <tableColumn id="5" name="Floor Space per component"/>
    <tableColumn id="6" name="Total Floor Space"/>
    <tableColumn id="7" name="Rent per sqm per year"/>
    <tableColumn id="8" name="Total Rent cost per year" totalsRowFunction="sum">
      <calculatedColumnFormula>G2*F2</calculatedColumnFormula>
    </tableColumn>
    <tableColumn id="10" name="Installation Time in hours"/>
    <tableColumn id="11" name="MTTR"/>
    <tableColumn id="12" name="FIT"/>
    <tableColumn id="13" name="Energy consumption in W"/>
    <tableColumn id="14" name="Yearly Energy Consumption in kWh">
      <calculatedColumnFormula>Table4[[#This Row],[Energy consumption in W]]*24*365/1000</calculatedColumnFormula>
    </tableColumn>
    <tableColumn id="15" name="CU/kWh">
      <calculatedColumnFormula>0.3048/50</calculatedColumnFormula>
    </tableColumn>
    <tableColumn id="16" name="Energy Cost per year in CU" totalsRowFunction="sum">
      <calculatedColumnFormula>Table4[[#This Row],[Yearly Energy Consumption in kWh]]*Table1[[#This Row],[CU/kWh]]</calculatedColumnFormula>
    </tableColumn>
    <tableColumn id="17" name="Mean dist in km from CO"/>
    <tableColumn id="18" name="Avg Travel Speed"/>
    <tableColumn id="19" name="Failures per year">
      <calculatedColumnFormula>Table4[[#This Row],[Quantity]]*Table4[[#This Row],[FIT]]*24*365/1000000000</calculatedColumnFormula>
    </tableColumn>
    <tableColumn id="20" name="Twice Travel Time">
      <calculatedColumnFormula>2*Table4[[#This Row],[Mean dist in km from CO]]/Table4[[#This Row],[Avg Travel Speed]]</calculatedColumnFormula>
    </tableColumn>
    <tableColumn id="21" name="Total Time to Repair(h)">
      <calculatedColumnFormula>Table4[[#This Row],[MTTR]]+Table4[[#This Row],[Twice Travel Time]]</calculatedColumnFormula>
    </tableColumn>
    <tableColumn id="22" name="No. Of technicians"/>
    <tableColumn id="23" name="Cost per hour"/>
    <tableColumn id="24" name="FM Cost" totalsRowFunction="custom">
      <calculatedColumnFormula>Table4[[#This Row],[Cost per hour]]*Table4[[#This Row],[No. Of technicians]]*Table4[[#This Row],[Total Time to Repair(h)]]*Table4[[#This Row],[Failures per year]]</calculatedColumnFormula>
      <totalsRowFormula>SUM(Table4[FM Cost])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36" displayName="Table36" ref="A1:AA11" totalsRowCount="1">
  <autoFilter ref="A1:AA10"/>
  <tableColumns count="27">
    <tableColumn id="1" name="Position of component"/>
    <tableColumn id="2" name="Component Name" dataDxfId="134"/>
    <tableColumn id="3" name="Cost per Unit (OASE)"/>
    <tableColumn id="4" name="Quantity" dataDxfId="133"/>
    <tableColumn id="5" name="Floor Space per component"/>
    <tableColumn id="6" name="Total Floor Space">
      <calculatedColumnFormula>Table36[[#This Row],[Floor Space per component]]*Table36[[#This Row],[Quantity]]</calculatedColumnFormula>
    </tableColumn>
    <tableColumn id="7" name="Rent per sqm per year"/>
    <tableColumn id="8" name="Total Rent cost per year" totalsRowFunction="custom">
      <calculatedColumnFormula>Table36[[#This Row],[Rent per sqm per year]]*Table36[[#This Row],[Total Floor Space]]</calculatedColumnFormula>
      <totalsRowFormula>SUM(Table36[Total Rent cost per year])</totalsRowFormula>
    </tableColumn>
    <tableColumn id="9" name="Installation Time in hours"/>
    <tableColumn id="10" name="MTTR"/>
    <tableColumn id="11" name="FIT"/>
    <tableColumn id="12" name="Energy consumption in W">
      <calculatedColumnFormula>100*Table36[[#This Row],[Quantity]]</calculatedColumnFormula>
    </tableColumn>
    <tableColumn id="13" name="Yearly Energy Consumption in kWh">
      <calculatedColumnFormula>Table36[[#This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Table36[[#This Row],[Yearly Energy Consumption in kWh]]*Table36[[#This Row],[CU/kWh]]</calculatedColumnFormula>
    </tableColumn>
    <tableColumn id="16" name="Mean dist in km from CO"/>
    <tableColumn id="17" name="Avg Travel Speed"/>
    <tableColumn id="18" name="Failures per year">
      <calculatedColumnFormula>Table36[[#This Row],[Quantity]]*(Table36[[#This Row],[FIT]]*24*365)/1000000000</calculatedColumnFormula>
    </tableColumn>
    <tableColumn id="19" name="Twice Travel Time">
      <calculatedColumnFormula>2*Table36[[#This Row],[Mean dist in km from CO]]/Table36[[#This Row],[Avg Travel Speed]]</calculatedColumnFormula>
    </tableColumn>
    <tableColumn id="20" name="Total Time to Repair(h)">
      <calculatedColumnFormula>Table36[[#This Row],[MTTR]]+Table36[[#This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Table36[[#This Row],[Cost per hour]]*Table36[[#This Row],[Total Time to Repair(h)]]*Table36[[#This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A1:AA11" totalsRowCount="1">
  <autoFilter ref="A1:AA10"/>
  <tableColumns count="27">
    <tableColumn id="1" name="Position of component"/>
    <tableColumn id="2" name="Component Name" dataDxfId="132" totalsRowDxfId="131"/>
    <tableColumn id="3" name="Cost per Unit (OASE)" dataDxfId="130"/>
    <tableColumn id="4" name="Quantity" dataDxfId="129"/>
    <tableColumn id="24" name="Floor Space per component"/>
    <tableColumn id="25" name="Total Floor Space">
      <calculatedColumnFormula>Table27[[#This Row],[Floor Space per component]]*Table27[[#This Row],[Quantity]]</calculatedColumnFormula>
    </tableColumn>
    <tableColumn id="26" name="Rent per sqm per year"/>
    <tableColumn id="27" name="Total Rent cost per year" totalsRowFunction="custom" totalsRowDxfId="128" dataCellStyle="Good">
      <calculatedColumnFormula>Table27[[#This Row],[Rent per sqm per year]]*Table27[[#This Row],[Total Floor Space]]</calculatedColumnFormula>
      <totalsRowFormula>SUM(Table27[Total Rent cost per year])</totalsRowFormula>
    </tableColumn>
    <tableColumn id="5" name="Installation Time in hours"/>
    <tableColumn id="6" name="MTTR"/>
    <tableColumn id="7" name="FIT"/>
    <tableColumn id="8" name="Energy consumption in W"/>
    <tableColumn id="9" name="Yearly Energy Consumption in kWh">
      <calculatedColumnFormula>Table27[[#This Row],[Energy consumption in W]]*24*365/1000</calculatedColumnFormula>
    </tableColumn>
    <tableColumn id="10" name="CU/kWh">
      <calculatedColumnFormula>0.3048/50</calculatedColumnFormula>
    </tableColumn>
    <tableColumn id="11" name="Energy Cost per year in CU" totalsRowFunction="custom" totalsRowDxfId="127" dataCellStyle="Good">
      <calculatedColumnFormula>Table27[[#This Row],[Yearly Energy Consumption in kWh]]*Table27[[#This Row],[CU/kWh]]</calculatedColumnFormula>
      <totalsRowFormula>SUM(Table27[Energy Cost per year in CU])</totalsRowFormula>
    </tableColumn>
    <tableColumn id="12" name="Mean dist in km from CO"/>
    <tableColumn id="13" name="Avg Travel Speed"/>
    <tableColumn id="14" name="Failures per year">
      <calculatedColumnFormula>Table27[[#This Row],[Quantity]]*(Table27[[#This Row],[FIT]]*24*365)/1000000000</calculatedColumnFormula>
    </tableColumn>
    <tableColumn id="15" name="Twice Travel Time">
      <calculatedColumnFormula>2*Table27[[#This Row],[Mean dist in km from CO]]/Table27[[#This Row],[Avg Travel Speed]]</calculatedColumnFormula>
    </tableColumn>
    <tableColumn id="16" name="Total Time to Repair(h)">
      <calculatedColumnFormula>Table27[[#This Row],[MTTR]]+Table27[[#This Row],[Twice Travel Time]]</calculatedColumnFormula>
    </tableColumn>
    <tableColumn id="17" name="No. Of technicians"/>
    <tableColumn id="18" name="Cost per hour">
      <calculatedColumnFormula>190/50</calculatedColumnFormula>
    </tableColumn>
    <tableColumn id="19" name="FM Cost" totalsRowFunction="custom" totalsRowDxfId="126" dataCellStyle="Good">
      <calculatedColumnFormula>Table27[[#This Row],[Cost per hour]]*Table27[[#This Row],[Total Time to Repair(h)]]*Table27[[#This Row],[Failures per year]]</calculatedColumnFormula>
      <totalsRowFormula>SUM(Table27[FM Cost])+L20</totalsRowFormula>
    </tableColumn>
    <tableColumn id="20" name="FM Penalty Residential"/>
    <tableColumn id="21" name="FM Penalty Business">
      <calculatedColumnFormula>1200/50</calculatedColumnFormula>
    </tableColumn>
    <tableColumn id="22" name="FM Penalty ITS">
      <calculatedColumnFormula>2000/50</calculatedColumnFormula>
    </tableColumn>
    <tableColumn id="23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4" name="Table14" displayName="Table14" ref="O23:P28" totalsRowShown="0">
  <autoFilter ref="O23:P28"/>
  <tableColumns count="2">
    <tableColumn id="1" name="Component"/>
    <tableColumn id="2" name="Cos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8" displayName="Table38" ref="A1:AA11" totalsRowCount="1">
  <autoFilter ref="A1:AA10"/>
  <tableColumns count="27">
    <tableColumn id="1" name="Position of component"/>
    <tableColumn id="2" name="Component Name"/>
    <tableColumn id="3" name="Cost per Unit (OASE)" dataDxfId="125"/>
    <tableColumn id="4" name="Quantity" dataDxfId="124"/>
    <tableColumn id="5" name="Floor Space per component"/>
    <tableColumn id="6" name="Total Floor Space">
      <calculatedColumnFormula>Table38[[#This Row],[Floor Space per component]]*Table38[[#This Row],[Quantity]]</calculatedColumnFormula>
    </tableColumn>
    <tableColumn id="7" name="Rent per sqm per year"/>
    <tableColumn id="8" name="Total Rent cost per year" totalsRowFunction="custom">
      <calculatedColumnFormula>Table38[[#This Row],[Rent per sqm per year]]*Table38[[#This Row],[Total Floor Space]]</calculatedColumnFormula>
      <totalsRowFormula>SUM(Table38[Total Rent cost per year])</totalsRowFormula>
    </tableColumn>
    <tableColumn id="9" name="Installation Time in hours"/>
    <tableColumn id="10" name="MTTR"/>
    <tableColumn id="11" name="FIT"/>
    <tableColumn id="12" name="Energy consumption in W"/>
    <tableColumn id="13" name="Yearly Energy Consumption in kWh">
      <calculatedColumnFormula>Table38[[#This Row],[Energy consumption in W]]*24*365/1000</calculatedColumnFormula>
    </tableColumn>
    <tableColumn id="14" name="CU/kWh">
      <calculatedColumnFormula>0.3048/50</calculatedColumnFormula>
    </tableColumn>
    <tableColumn id="15" name="Energy Cost per year in CU" totalsRowFunction="sum">
      <calculatedColumnFormula>Table38[[#This Row],[Yearly Energy Consumption in kWh]]*Table38[[#This Row],[CU/kWh]]</calculatedColumnFormula>
    </tableColumn>
    <tableColumn id="16" name="Mean dist in km from CO"/>
    <tableColumn id="17" name="Avg Travel Speed"/>
    <tableColumn id="18" name="Failures per year">
      <calculatedColumnFormula>Table38[[#This Row],[Quantity]]*(Table38[[#This Row],[FIT]]*24*365)/1000000000</calculatedColumnFormula>
    </tableColumn>
    <tableColumn id="19" name="Twice Travel Time">
      <calculatedColumnFormula>2*Table38[[#This Row],[Mean dist in km from CO]]/Table38[[#This Row],[Avg Travel Speed]]</calculatedColumnFormula>
    </tableColumn>
    <tableColumn id="20" name="Total Time to Repair(h)">
      <calculatedColumnFormula>Table38[[#This Row],[MTTR]]+Table38[[#This Row],[Twice Travel Time]]</calculatedColumnFormula>
    </tableColumn>
    <tableColumn id="21" name="No. Of technicians"/>
    <tableColumn id="22" name="Cost per hour">
      <calculatedColumnFormula>190/50</calculatedColumnFormula>
    </tableColumn>
    <tableColumn id="23" name="FM Cost" totalsRowFunction="sum">
      <calculatedColumnFormula>Table38[[#This Row],[Cost per hour]]*Table38[[#This Row],[Total Time to Repair(h)]]*Table38[[#This Row],[Failures per year]]</calculatedColumnFormula>
    </tableColumn>
    <tableColumn id="24" name="FM Penalty Residential"/>
    <tableColumn id="25" name="FM Penalty Business"/>
    <tableColumn id="26" name="FM Penalty ITS"/>
    <tableColumn id="27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5" name="Table1416" displayName="Table1416" ref="L20:M26" totalsRowCount="1">
  <autoFilter ref="L20:M25"/>
  <tableColumns count="2">
    <tableColumn id="1" name="Component"/>
    <tableColumn id="2" name="Cost" totalsRowFunction="custom">
      <totalsRowFormula>SUM(Table1416[Cost])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"/>
  <sheetViews>
    <sheetView topLeftCell="A3" workbookViewId="0">
      <selection activeCell="E21" sqref="E21"/>
    </sheetView>
  </sheetViews>
  <sheetFormatPr defaultRowHeight="15" x14ac:dyDescent="0.25"/>
  <cols>
    <col min="1" max="1" width="15.28515625" customWidth="1"/>
    <col min="2" max="2" width="28.85546875" customWidth="1"/>
    <col min="3" max="3" width="14.85546875" customWidth="1"/>
    <col min="4" max="5" width="31.42578125" customWidth="1"/>
    <col min="6" max="12" width="14.85546875" customWidth="1"/>
    <col min="13" max="13" width="14.85546875" bestFit="1" customWidth="1"/>
  </cols>
  <sheetData>
    <row r="3" spans="1:6" x14ac:dyDescent="0.25">
      <c r="A3" s="3" t="s">
        <v>55</v>
      </c>
      <c r="B3" s="1" t="s">
        <v>57</v>
      </c>
      <c r="C3" s="1" t="s">
        <v>59</v>
      </c>
      <c r="D3" s="1" t="s">
        <v>58</v>
      </c>
    </row>
    <row r="4" spans="1:6" x14ac:dyDescent="0.25">
      <c r="A4" s="4" t="s">
        <v>13</v>
      </c>
      <c r="B4" s="5">
        <v>0</v>
      </c>
      <c r="C4" s="5">
        <v>0</v>
      </c>
      <c r="D4" s="5">
        <v>0</v>
      </c>
    </row>
    <row r="5" spans="1:6" x14ac:dyDescent="0.25">
      <c r="A5" s="4" t="s">
        <v>3</v>
      </c>
      <c r="B5" s="5">
        <v>2332</v>
      </c>
      <c r="C5" s="5">
        <v>6.8173824000000008E-2</v>
      </c>
      <c r="D5" s="5">
        <v>27.469453823999999</v>
      </c>
    </row>
    <row r="6" spans="1:6" x14ac:dyDescent="0.25">
      <c r="A6" s="4" t="s">
        <v>8</v>
      </c>
      <c r="B6" s="5">
        <v>0</v>
      </c>
      <c r="C6" s="5">
        <v>0.75401314559999988</v>
      </c>
      <c r="D6" s="5">
        <v>0</v>
      </c>
    </row>
    <row r="7" spans="1:6" x14ac:dyDescent="0.25">
      <c r="A7" s="4" t="s">
        <v>10</v>
      </c>
      <c r="B7" s="5">
        <v>4976</v>
      </c>
      <c r="C7" s="5">
        <v>513.06830084735998</v>
      </c>
      <c r="D7" s="5">
        <v>3872.9793853440005</v>
      </c>
    </row>
    <row r="8" spans="1:6" x14ac:dyDescent="0.25">
      <c r="A8" s="4" t="s">
        <v>56</v>
      </c>
      <c r="B8" s="5">
        <v>7308</v>
      </c>
      <c r="C8" s="5">
        <v>513.89048781695999</v>
      </c>
      <c r="D8" s="5">
        <v>3900.4488391680006</v>
      </c>
      <c r="E8">
        <f>SUM(B8:D8)</f>
        <v>11722.33932698496</v>
      </c>
      <c r="F8">
        <f>SUM(E8,0.12*E8)</f>
        <v>13129.020046223155</v>
      </c>
    </row>
  </sheetData>
  <pageMargins left="0.7" right="0.7" top="0.75" bottom="0.75" header="0.3" footer="0.3"/>
  <pageSetup paperSize="9" orientation="portrait" verticalDpi="0" r:id="rId2"/>
  <headerFooter>
    <oddFooter>&amp;LUnrestricted</oddFooter>
  </headerFooter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F1" zoomScale="70" zoomScaleNormal="70" workbookViewId="0">
      <selection activeCell="P21" sqref="P21:P25"/>
    </sheetView>
  </sheetViews>
  <sheetFormatPr defaultRowHeight="15" x14ac:dyDescent="0.25"/>
  <cols>
    <col min="1" max="1" width="22.140625" customWidth="1"/>
    <col min="2" max="2" width="22.7109375" customWidth="1"/>
    <col min="3" max="3" width="20.140625" customWidth="1"/>
    <col min="4" max="4" width="13.5703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24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t="s">
        <v>3</v>
      </c>
      <c r="B2" t="s">
        <v>4</v>
      </c>
      <c r="C2">
        <v>80</v>
      </c>
      <c r="D2">
        <v>40</v>
      </c>
      <c r="E2">
        <v>5</v>
      </c>
      <c r="F2">
        <f>Table9[[#This Row],[Floor Space per component]]*Table9[[#This Row],[Quantity]]</f>
        <v>200</v>
      </c>
      <c r="G2">
        <v>10.6</v>
      </c>
      <c r="H2">
        <f>Table9[[#This Row],[Total Floor Space]]*Table9[[#This Row],[Rent per sqm per year]]</f>
        <v>2120</v>
      </c>
      <c r="I2">
        <f>(0.5+1/6*8)*Table9[[#This Row],[Quantity]]</f>
        <v>73.333333333333329</v>
      </c>
      <c r="J2">
        <v>6</v>
      </c>
      <c r="K2">
        <v>256</v>
      </c>
      <c r="L2">
        <f>0.5*8*2.5*Table9[[#This Row],[Quantity]]</f>
        <v>400</v>
      </c>
      <c r="M2">
        <f>Table9[[#This Row],[Energy consumption in W]]*24*365/1000</f>
        <v>3504</v>
      </c>
      <c r="N2">
        <f>0.3084/50</f>
        <v>6.1679999999999999E-3</v>
      </c>
      <c r="O2">
        <f>Table9[[#This Row],[Yearly Energy Consumption in kWh]]*Table9[[#This Row],[CU/kWh]]</f>
        <v>21.612672</v>
      </c>
      <c r="P2">
        <v>0</v>
      </c>
      <c r="Q2">
        <v>20</v>
      </c>
      <c r="R2">
        <f>Table9[[#This Row],[FIT]]*Table9[[#This Row],[Quantity]]*24*365/1000000000</f>
        <v>8.9702400000000002E-2</v>
      </c>
      <c r="S2">
        <f>2*Table9[[#This Row],[Mean dist in km from CO]]/Table9[[#This Row],[Avg Travel Speed]]</f>
        <v>0</v>
      </c>
      <c r="T2">
        <f>Table9[[#This Row],[MTTR]]+Table9[[#This Row],[Twice Travel Time]]</f>
        <v>6</v>
      </c>
      <c r="U2">
        <v>1</v>
      </c>
      <c r="V2">
        <v>3.8</v>
      </c>
      <c r="W2">
        <f>Table9[[#This Row],[Failures per year]]*Table9[[#This Row],[Total Time to Repair(h)]]*Table9[[#This Row],[No. Of technicians]]*Table9[[#This Row],[Cost per hour]]</f>
        <v>2.0452147199999997</v>
      </c>
    </row>
    <row r="3" spans="1:23" x14ac:dyDescent="0.25">
      <c r="A3" t="s">
        <v>3</v>
      </c>
      <c r="B3" t="s">
        <v>86</v>
      </c>
      <c r="C3">
        <v>40</v>
      </c>
      <c r="D3">
        <v>8</v>
      </c>
      <c r="E3">
        <v>1</v>
      </c>
      <c r="F3" s="8">
        <f>Table9[[#This Row],[Floor Space per component]]*Table9[[#This Row],[Quantity]]</f>
        <v>8</v>
      </c>
      <c r="G3" s="8">
        <v>10.6</v>
      </c>
      <c r="H3" s="8">
        <f>Table9[[#This Row],[Total Floor Space]]*Table9[[#This Row],[Rent per sqm per year]]</f>
        <v>84.8</v>
      </c>
      <c r="I3" s="5">
        <f>1/6*Table9[[#This Row],[Quantity]]</f>
        <v>1.3333333333333333</v>
      </c>
      <c r="J3">
        <v>6</v>
      </c>
      <c r="K3">
        <v>50</v>
      </c>
      <c r="L3">
        <f>100*Table9[[#This Row],[Quantity]]</f>
        <v>800</v>
      </c>
      <c r="M3" s="8">
        <f>Table9[[#This Row],[Energy consumption in W]]*24*365/1000</f>
        <v>7008</v>
      </c>
      <c r="N3" s="8">
        <f t="shared" ref="N3:N10" si="0">0.3084/50</f>
        <v>6.1679999999999999E-3</v>
      </c>
      <c r="O3" s="8">
        <f>Table9[[#This Row],[Yearly Energy Consumption in kWh]]*Table9[[#This Row],[CU/kWh]]</f>
        <v>43.225344</v>
      </c>
      <c r="P3">
        <v>0</v>
      </c>
      <c r="Q3" s="8">
        <v>20</v>
      </c>
      <c r="R3" s="8">
        <f>Table9[[#This Row],[FIT]]*Table9[[#This Row],[Quantity]]*24*365/1000000000</f>
        <v>3.5040000000000002E-3</v>
      </c>
      <c r="S3" s="8">
        <f>2*Table9[[#This Row],[Mean dist in km from CO]]/Table9[[#This Row],[Avg Travel Speed]]</f>
        <v>0</v>
      </c>
      <c r="T3" s="8">
        <f>Table9[[#This Row],[MTTR]]+Table9[[#This Row],[Twice Travel Time]]</f>
        <v>6</v>
      </c>
      <c r="U3">
        <v>1</v>
      </c>
      <c r="V3" s="8">
        <v>3.8</v>
      </c>
      <c r="W3" s="8">
        <f>Table9[[#This Row],[Failures per year]]*Table9[[#This Row],[Total Time to Repair(h)]]*Table9[[#This Row],[No. Of technicians]]*Table9[[#This Row],[Cost per hour]]</f>
        <v>7.9891199999999996E-2</v>
      </c>
    </row>
    <row r="4" spans="1:23" x14ac:dyDescent="0.25">
      <c r="A4" t="s">
        <v>3</v>
      </c>
      <c r="B4" t="s">
        <v>6</v>
      </c>
      <c r="C4">
        <v>0.1</v>
      </c>
      <c r="D4">
        <v>800</v>
      </c>
      <c r="E4">
        <v>0</v>
      </c>
      <c r="F4" s="8">
        <f>Table9[[#This Row],[Floor Space per component]]*Table9[[#This Row],[Quantity]]</f>
        <v>0</v>
      </c>
      <c r="G4" s="8">
        <v>10.6</v>
      </c>
      <c r="H4" s="8">
        <f>Table9[[#This Row],[Total Floor Space]]*Table9[[#This Row],[Rent per sqm per year]]</f>
        <v>0</v>
      </c>
      <c r="I4">
        <v>0</v>
      </c>
      <c r="J4">
        <v>0</v>
      </c>
      <c r="K4">
        <v>0</v>
      </c>
      <c r="L4">
        <f>600*1</f>
        <v>600</v>
      </c>
      <c r="M4" s="8">
        <f>Table9[[#This Row],[Energy consumption in W]]*24*365/1000</f>
        <v>5256</v>
      </c>
      <c r="N4" s="8">
        <f t="shared" si="0"/>
        <v>6.1679999999999999E-3</v>
      </c>
      <c r="O4" s="8">
        <f>Table9[[#This Row],[Yearly Energy Consumption in kWh]]*Table9[[#This Row],[CU/kWh]]</f>
        <v>32.419007999999998</v>
      </c>
      <c r="P4">
        <v>0</v>
      </c>
      <c r="Q4" s="8">
        <v>20</v>
      </c>
      <c r="R4" s="8">
        <f>Table9[[#This Row],[FIT]]*Table9[[#This Row],[Quantity]]*24*365/1000000000</f>
        <v>0</v>
      </c>
      <c r="S4" s="8">
        <f>2*Table9[[#This Row],[Mean dist in km from CO]]/Table9[[#This Row],[Avg Travel Speed]]</f>
        <v>0</v>
      </c>
      <c r="T4" s="8">
        <f>Table9[[#This Row],[MTTR]]+Table9[[#This Row],[Twice Travel Time]]</f>
        <v>0</v>
      </c>
      <c r="U4">
        <v>1</v>
      </c>
      <c r="V4" s="8">
        <v>3.8</v>
      </c>
      <c r="W4" s="8">
        <f>Table9[[#This Row],[Failures per year]]*Table9[[#This Row],[Total Time to Repair(h)]]*Table9[[#This Row],[No. Of technicians]]*Table9[[#This Row],[Cost per hour]]</f>
        <v>0</v>
      </c>
    </row>
    <row r="5" spans="1:23" x14ac:dyDescent="0.25">
      <c r="A5" t="s">
        <v>3</v>
      </c>
      <c r="B5" t="s">
        <v>77</v>
      </c>
      <c r="C5">
        <v>400</v>
      </c>
      <c r="D5">
        <v>1</v>
      </c>
      <c r="E5">
        <v>20</v>
      </c>
      <c r="F5" s="8">
        <f>Table9[[#This Row],[Floor Space per component]]*Table9[[#This Row],[Quantity]]</f>
        <v>20</v>
      </c>
      <c r="G5" s="8">
        <v>10.6</v>
      </c>
      <c r="H5" s="8">
        <f>Table9[[#This Row],[Total Floor Space]]*Table9[[#This Row],[Rent per sqm per year]]</f>
        <v>212</v>
      </c>
      <c r="I5">
        <f>24*Table9[[#This Row],[Quantity]]</f>
        <v>24</v>
      </c>
      <c r="J5">
        <v>0</v>
      </c>
      <c r="K5">
        <v>0</v>
      </c>
      <c r="L5">
        <v>0</v>
      </c>
      <c r="M5" s="8">
        <f>Table9[[#This Row],[Energy consumption in W]]*24*365/1000</f>
        <v>0</v>
      </c>
      <c r="N5" s="8">
        <f t="shared" si="0"/>
        <v>6.1679999999999999E-3</v>
      </c>
      <c r="O5" s="8">
        <f>Table9[[#This Row],[Yearly Energy Consumption in kWh]]*Table9[[#This Row],[CU/kWh]]</f>
        <v>0</v>
      </c>
      <c r="P5">
        <v>0</v>
      </c>
      <c r="Q5" s="8">
        <v>20</v>
      </c>
      <c r="R5" s="8">
        <f>Table9[[#This Row],[FIT]]*Table9[[#This Row],[Quantity]]*24*365/1000000000</f>
        <v>0</v>
      </c>
      <c r="S5" s="8">
        <f>2*Table9[[#This Row],[Mean dist in km from CO]]/Table9[[#This Row],[Avg Travel Speed]]</f>
        <v>0</v>
      </c>
      <c r="T5" s="8">
        <f>Table9[[#This Row],[MTTR]]+Table9[[#This Row],[Twice Travel Time]]</f>
        <v>0</v>
      </c>
      <c r="U5">
        <v>1</v>
      </c>
      <c r="V5" s="8">
        <v>3.8</v>
      </c>
      <c r="W5" s="8">
        <f>Table9[[#This Row],[Failures per year]]*Table9[[#This Row],[Total Time to Repair(h)]]*Table9[[#This Row],[No. Of technicians]]*Table9[[#This Row],[Cost per hour]]</f>
        <v>0</v>
      </c>
    </row>
    <row r="6" spans="1:23" x14ac:dyDescent="0.25">
      <c r="A6" t="s">
        <v>8</v>
      </c>
      <c r="B6" t="s">
        <v>78</v>
      </c>
      <c r="C6">
        <v>24</v>
      </c>
      <c r="D6">
        <v>8</v>
      </c>
      <c r="E6">
        <v>0</v>
      </c>
      <c r="F6" s="8">
        <f>Table9[[#This Row],[Floor Space per component]]*Table9[[#This Row],[Quantity]]</f>
        <v>0</v>
      </c>
      <c r="G6" s="8">
        <v>10.6</v>
      </c>
      <c r="H6" s="8">
        <f>Table9[[#This Row],[Total Floor Space]]*Table9[[#This Row],[Rent per sqm per year]]</f>
        <v>0</v>
      </c>
      <c r="I6">
        <f>1/6*Table9[[#This Row],[Quantity]]</f>
        <v>1.3333333333333333</v>
      </c>
      <c r="J6">
        <v>6</v>
      </c>
      <c r="K6">
        <v>50</v>
      </c>
      <c r="L6">
        <v>0</v>
      </c>
      <c r="M6" s="8">
        <f>Table9[[#This Row],[Energy consumption in W]]*24*365/1000</f>
        <v>0</v>
      </c>
      <c r="N6" s="8">
        <f t="shared" si="0"/>
        <v>6.1679999999999999E-3</v>
      </c>
      <c r="O6" s="8">
        <f>Table9[[#This Row],[Yearly Energy Consumption in kWh]]*Table9[[#This Row],[CU/kWh]]</f>
        <v>0</v>
      </c>
      <c r="P6">
        <v>1</v>
      </c>
      <c r="Q6">
        <v>20</v>
      </c>
      <c r="R6" s="8">
        <f>Table9[[#This Row],[FIT]]*Table9[[#This Row],[Quantity]]*24*365/1000000000</f>
        <v>3.5040000000000002E-3</v>
      </c>
      <c r="S6" s="8">
        <f>2*Table9[[#This Row],[Mean dist in km from CO]]/Table9[[#This Row],[Avg Travel Speed]]</f>
        <v>0.1</v>
      </c>
      <c r="T6" s="8">
        <f>Table9[[#This Row],[MTTR]]+Table9[[#This Row],[Twice Travel Time]]</f>
        <v>6.1</v>
      </c>
      <c r="U6">
        <v>1</v>
      </c>
      <c r="V6" s="8">
        <v>3.8</v>
      </c>
      <c r="W6" s="8">
        <f>Table9[[#This Row],[Failures per year]]*Table9[[#This Row],[Total Time to Repair(h)]]*Table9[[#This Row],[No. Of technicians]]*Table9[[#This Row],[Cost per hour]]</f>
        <v>8.1222719999999984E-2</v>
      </c>
    </row>
    <row r="7" spans="1:23" x14ac:dyDescent="0.25">
      <c r="A7" t="s">
        <v>10</v>
      </c>
      <c r="B7" t="s">
        <v>87</v>
      </c>
      <c r="C7">
        <v>112</v>
      </c>
      <c r="D7">
        <v>610</v>
      </c>
      <c r="E7">
        <v>1</v>
      </c>
      <c r="F7" s="8">
        <f>Table9[[#This Row],[Floor Space per component]]*Table9[[#This Row],[Quantity]]</f>
        <v>610</v>
      </c>
      <c r="G7" s="8">
        <v>10.6</v>
      </c>
      <c r="H7" s="8">
        <f>Table9[[#This Row],[Total Floor Space]]*Table9[[#This Row],[Rent per sqm per year]]</f>
        <v>6466</v>
      </c>
      <c r="I7">
        <f>(0.5+1/6*4)*Table9[[#This Row],[Quantity]]</f>
        <v>711.66666666666663</v>
      </c>
      <c r="J7">
        <v>24</v>
      </c>
      <c r="K7">
        <v>5000</v>
      </c>
      <c r="L7">
        <f>50*Table9[[#This Row],[Quantity]]</f>
        <v>30500</v>
      </c>
      <c r="M7" s="8">
        <f>Table9[[#This Row],[Energy consumption in W]]*24*365/1000</f>
        <v>267180</v>
      </c>
      <c r="N7" s="8">
        <f t="shared" si="0"/>
        <v>6.1679999999999999E-3</v>
      </c>
      <c r="O7" s="8">
        <f>Table9[[#This Row],[Yearly Energy Consumption in kWh]]*Table9[[#This Row],[CU/kWh]]</f>
        <v>1647.96624</v>
      </c>
      <c r="P7">
        <v>1.5</v>
      </c>
      <c r="Q7" s="8">
        <v>20</v>
      </c>
      <c r="R7" s="8">
        <f>Table9[[#This Row],[FIT]]*Table9[[#This Row],[Quantity]]*24*365/1000000000</f>
        <v>26.718</v>
      </c>
      <c r="S7" s="8">
        <f>2*Table9[[#This Row],[Mean dist in km from CO]]/Table9[[#This Row],[Avg Travel Speed]]</f>
        <v>0.15</v>
      </c>
      <c r="T7" s="8">
        <f>Table9[[#This Row],[MTTR]]+Table9[[#This Row],[Twice Travel Time]]</f>
        <v>24.15</v>
      </c>
      <c r="U7">
        <v>1</v>
      </c>
      <c r="V7" s="8">
        <v>3.8</v>
      </c>
      <c r="W7" s="8">
        <f>Table9[[#This Row],[Failures per year]]*Table9[[#This Row],[Total Time to Repair(h)]]*Table9[[#This Row],[No. Of technicians]]*Table9[[#This Row],[Cost per hour]]</f>
        <v>2451.91086</v>
      </c>
    </row>
    <row r="8" spans="1:23" x14ac:dyDescent="0.25">
      <c r="A8" t="s">
        <v>10</v>
      </c>
      <c r="B8" t="s">
        <v>88</v>
      </c>
      <c r="C8">
        <v>3.1</v>
      </c>
      <c r="D8">
        <v>1830</v>
      </c>
      <c r="E8">
        <v>0</v>
      </c>
      <c r="F8" s="8">
        <f>Table9[[#This Row],[Floor Space per component]]*Table9[[#This Row],[Quantity]]</f>
        <v>0</v>
      </c>
      <c r="G8" s="8">
        <v>10.6</v>
      </c>
      <c r="H8" s="8">
        <f>Table9[[#This Row],[Total Floor Space]]*Table9[[#This Row],[Rent per sqm per year]]</f>
        <v>0</v>
      </c>
      <c r="I8">
        <f>(0.5)*Table9[[#This Row],[Quantity]]</f>
        <v>915</v>
      </c>
      <c r="J8">
        <v>6</v>
      </c>
      <c r="K8">
        <v>256</v>
      </c>
      <c r="L8">
        <f>5.5*Table9[[#This Row],[Quantity]]</f>
        <v>10065</v>
      </c>
      <c r="M8" s="8">
        <f>Table9[[#This Row],[Energy consumption in W]]*24*365/1000</f>
        <v>88169.4</v>
      </c>
      <c r="N8" s="8">
        <f t="shared" si="0"/>
        <v>6.1679999999999999E-3</v>
      </c>
      <c r="O8" s="8">
        <f>Table9[[#This Row],[Yearly Energy Consumption in kWh]]*Table9[[#This Row],[CU/kWh]]</f>
        <v>543.8288591999999</v>
      </c>
      <c r="P8">
        <v>1.5</v>
      </c>
      <c r="Q8" s="8">
        <v>20</v>
      </c>
      <c r="R8" s="8">
        <f>Table9[[#This Row],[FIT]]*Table9[[#This Row],[Quantity]]*24*365/1000000000</f>
        <v>4.1038848000000003</v>
      </c>
      <c r="S8" s="8">
        <f>2*Table9[[#This Row],[Mean dist in km from CO]]/Table9[[#This Row],[Avg Travel Speed]]</f>
        <v>0.15</v>
      </c>
      <c r="T8" s="8">
        <f>Table9[[#This Row],[MTTR]]+Table9[[#This Row],[Twice Travel Time]]</f>
        <v>6.15</v>
      </c>
      <c r="U8">
        <v>1</v>
      </c>
      <c r="V8" s="8">
        <v>3.8</v>
      </c>
      <c r="W8" s="8">
        <f>Table9[[#This Row],[Failures per year]]*Table9[[#This Row],[Total Time to Repair(h)]]*Table9[[#This Row],[No. Of technicians]]*Table9[[#This Row],[Cost per hour]]</f>
        <v>95.907787776000006</v>
      </c>
    </row>
    <row r="9" spans="1:23" x14ac:dyDescent="0.25">
      <c r="A9" t="s">
        <v>10</v>
      </c>
      <c r="B9" t="s">
        <v>89</v>
      </c>
      <c r="C9">
        <v>12</v>
      </c>
      <c r="D9">
        <v>1830</v>
      </c>
      <c r="E9">
        <v>1</v>
      </c>
      <c r="F9" s="8">
        <f>Table9[[#This Row],[Floor Space per component]]*Table9[[#This Row],[Quantity]]</f>
        <v>1830</v>
      </c>
      <c r="G9" s="8">
        <v>4</v>
      </c>
      <c r="H9" s="8">
        <f>Table9[[#This Row],[Total Floor Space]]*Table9[[#This Row],[Rent per sqm per year]]</f>
        <v>7320</v>
      </c>
      <c r="I9">
        <f>(0.5+1/6*16)*Table9[[#This Row],[Quantity]]</f>
        <v>5795</v>
      </c>
      <c r="J9">
        <v>24</v>
      </c>
      <c r="K9">
        <v>5000</v>
      </c>
      <c r="L9">
        <f>50*Table9[[#This Row],[Quantity]]</f>
        <v>91500</v>
      </c>
      <c r="M9" s="8">
        <f>Table9[[#This Row],[Energy consumption in W]]*24*365/1000</f>
        <v>801540</v>
      </c>
      <c r="N9" s="8">
        <f t="shared" si="0"/>
        <v>6.1679999999999999E-3</v>
      </c>
      <c r="O9" s="8">
        <f>Table9[[#This Row],[Yearly Energy Consumption in kWh]]*Table9[[#This Row],[CU/kWh]]</f>
        <v>4943.8987200000001</v>
      </c>
      <c r="P9">
        <v>2</v>
      </c>
      <c r="Q9" s="8">
        <v>20</v>
      </c>
      <c r="R9" s="8">
        <f>Table9[[#This Row],[FIT]]*Table9[[#This Row],[Quantity]]*24*365/1000000000</f>
        <v>80.153999999999996</v>
      </c>
      <c r="S9" s="8">
        <f>2*Table9[[#This Row],[Mean dist in km from CO]]/Table9[[#This Row],[Avg Travel Speed]]</f>
        <v>0.2</v>
      </c>
      <c r="T9" s="8">
        <f>Table9[[#This Row],[MTTR]]+Table9[[#This Row],[Twice Travel Time]]</f>
        <v>24.2</v>
      </c>
      <c r="U9">
        <v>1</v>
      </c>
      <c r="V9" s="8">
        <v>3.8</v>
      </c>
      <c r="W9" s="8">
        <f>Table9[[#This Row],[Failures per year]]*Table9[[#This Row],[Total Time to Repair(h)]]*Table9[[#This Row],[No. Of technicians]]*Table9[[#This Row],[Cost per hour]]</f>
        <v>7370.961839999999</v>
      </c>
    </row>
    <row r="10" spans="1:23" x14ac:dyDescent="0.25">
      <c r="A10" t="s">
        <v>90</v>
      </c>
      <c r="B10" t="s">
        <v>85</v>
      </c>
      <c r="C10">
        <v>0</v>
      </c>
      <c r="D10">
        <v>0</v>
      </c>
      <c r="E10">
        <v>0</v>
      </c>
      <c r="F10" s="8">
        <f>Table9[[#This Row],[Floor Space per component]]*Table9[[#This Row],[Quantity]]</f>
        <v>0</v>
      </c>
      <c r="G10" s="8">
        <v>4</v>
      </c>
      <c r="H10" s="8">
        <f>Table9[[#This Row],[Total Floor Space]]*Table9[[#This Row],[Rent per sqm per year]]</f>
        <v>0</v>
      </c>
      <c r="I10">
        <v>0</v>
      </c>
      <c r="J10">
        <v>0</v>
      </c>
      <c r="K10">
        <v>0</v>
      </c>
      <c r="L10">
        <v>0</v>
      </c>
      <c r="M10" s="8">
        <f>Table9[[#This Row],[Energy consumption in W]]*24*365/1000</f>
        <v>0</v>
      </c>
      <c r="N10" s="8">
        <f t="shared" si="0"/>
        <v>6.1679999999999999E-3</v>
      </c>
      <c r="O10" s="8">
        <f>Table9[[#This Row],[Yearly Energy Consumption in kWh]]*Table9[[#This Row],[CU/kWh]]</f>
        <v>0</v>
      </c>
      <c r="P10">
        <v>2</v>
      </c>
      <c r="Q10" s="8">
        <v>20</v>
      </c>
      <c r="R10" s="8">
        <f>Table9[[#This Row],[FIT]]*Table9[[#This Row],[Quantity]]*24*365/1000000000</f>
        <v>0</v>
      </c>
      <c r="S10" s="8">
        <f>2*Table9[[#This Row],[Mean dist in km from CO]]/Table9[[#This Row],[Avg Travel Speed]]</f>
        <v>0.2</v>
      </c>
      <c r="T10" s="8">
        <f>Table9[[#This Row],[MTTR]]+Table9[[#This Row],[Twice Travel Time]]</f>
        <v>0.2</v>
      </c>
      <c r="U10">
        <v>1</v>
      </c>
      <c r="V10" s="8">
        <v>3.8</v>
      </c>
      <c r="W10" s="8">
        <f>Table9[[#This Row],[Failures per year]]*Table9[[#This Row],[Total Time to Repair(h)]]*Table9[[#This Row],[No. Of technicians]]*Table9[[#This Row],[Cost per hour]]</f>
        <v>0</v>
      </c>
    </row>
    <row r="11" spans="1:23" x14ac:dyDescent="0.25">
      <c r="H11">
        <f>SUM(Table9[Total Rent cost per year])</f>
        <v>16202.8</v>
      </c>
      <c r="O11">
        <f>SUBTOTAL(109,Table9[Energy Cost per year in CU])</f>
        <v>7232.9508432000002</v>
      </c>
      <c r="W11">
        <f>SUBTOTAL(109,Table9[FM Cost])</f>
        <v>9920.9868164159998</v>
      </c>
    </row>
    <row r="15" spans="1:23" x14ac:dyDescent="0.25">
      <c r="P15" t="s">
        <v>71</v>
      </c>
    </row>
    <row r="16" spans="1:23" x14ac:dyDescent="0.25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>
        <f>Table9[[#Totals],[Total Rent cost per year]]+Table9[[#Totals],[Energy Cost per year in CU]]+Table9[[#Totals],[FM Cost]]+J20</f>
        <v>33645.417601357185</v>
      </c>
    </row>
    <row r="17" spans="1:16" x14ac:dyDescent="0.25">
      <c r="A17" t="s">
        <v>43</v>
      </c>
      <c r="B17">
        <f>8635.15425010598/1000</f>
        <v>8.6351542501059786</v>
      </c>
      <c r="C17">
        <f>570*B17</f>
        <v>4922.0379225604074</v>
      </c>
      <c r="D17">
        <v>24</v>
      </c>
      <c r="E17">
        <v>1</v>
      </c>
      <c r="F17">
        <v>3.8</v>
      </c>
      <c r="G17">
        <v>1</v>
      </c>
      <c r="H17">
        <f>G17/20</f>
        <v>0.05</v>
      </c>
      <c r="I17">
        <f>D17+H17</f>
        <v>24.05</v>
      </c>
      <c r="J17">
        <f>C17*E17*F17*I17*24*365/1000000000</f>
        <v>3.9404674007068903</v>
      </c>
    </row>
    <row r="18" spans="1:16" x14ac:dyDescent="0.25">
      <c r="A18" t="s">
        <v>44</v>
      </c>
      <c r="B18">
        <f>233483.637737831/1000</f>
        <v>233.483637737831</v>
      </c>
      <c r="C18" s="8">
        <f t="shared" ref="C18:C19" si="1">570*B18</f>
        <v>133085.67351056368</v>
      </c>
      <c r="D18">
        <v>24</v>
      </c>
      <c r="E18">
        <v>1</v>
      </c>
      <c r="F18">
        <v>3.8</v>
      </c>
      <c r="G1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</row>
    <row r="19" spans="1:16" x14ac:dyDescent="0.25">
      <c r="A19" t="s">
        <v>64</v>
      </c>
      <c r="B19">
        <f>387592.626526276/1000</f>
        <v>387.59262652627598</v>
      </c>
      <c r="C19" s="8">
        <f t="shared" si="1"/>
        <v>220927.7971199773</v>
      </c>
      <c r="D19">
        <v>24</v>
      </c>
      <c r="E19">
        <v>1</v>
      </c>
      <c r="F19">
        <v>3.8</v>
      </c>
      <c r="G19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</row>
    <row r="20" spans="1:16" x14ac:dyDescent="0.25">
      <c r="J20">
        <f>SUM(J17:J19)</f>
        <v>288.67994174118155</v>
      </c>
      <c r="O20" s="8" t="s">
        <v>99</v>
      </c>
      <c r="P20" s="8" t="s">
        <v>68</v>
      </c>
    </row>
    <row r="21" spans="1:16" x14ac:dyDescent="0.25">
      <c r="O21" s="8" t="s">
        <v>94</v>
      </c>
      <c r="P21" s="8">
        <f>Table9[[#Totals],[Total Rent cost per year]]</f>
        <v>16202.8</v>
      </c>
    </row>
    <row r="22" spans="1:16" x14ac:dyDescent="0.25">
      <c r="O22" s="8" t="s">
        <v>95</v>
      </c>
      <c r="P22" s="8">
        <f>Table9[[#Totals],[Energy Cost per year in CU]]</f>
        <v>7232.9508432000002</v>
      </c>
    </row>
    <row r="23" spans="1:16" x14ac:dyDescent="0.25">
      <c r="O23" s="8" t="s">
        <v>96</v>
      </c>
      <c r="P23" s="8">
        <f>Table9[[#Totals],[FM Cost]]+J20</f>
        <v>10209.666758157182</v>
      </c>
    </row>
    <row r="24" spans="1:16" x14ac:dyDescent="0.25">
      <c r="O24" s="8" t="s">
        <v>97</v>
      </c>
      <c r="P24" s="8">
        <f>0.05*SUM(P21:P23)</f>
        <v>1682.2708800678593</v>
      </c>
    </row>
    <row r="25" spans="1:16" x14ac:dyDescent="0.25">
      <c r="O25" s="8" t="s">
        <v>98</v>
      </c>
      <c r="P25" s="8">
        <f>0.07*SUM(P21:P23)</f>
        <v>2355.179232095003</v>
      </c>
    </row>
    <row r="26" spans="1:16" x14ac:dyDescent="0.25">
      <c r="O26" s="8"/>
      <c r="P26" s="8">
        <f>SUM(Table14161718[Cost])</f>
        <v>37682.867713520049</v>
      </c>
    </row>
    <row r="29" spans="1:16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J1" workbookViewId="0">
      <selection activeCell="P19" sqref="P19:P23"/>
    </sheetView>
  </sheetViews>
  <sheetFormatPr defaultRowHeight="15" x14ac:dyDescent="0.25"/>
  <cols>
    <col min="1" max="1" width="22.140625" customWidth="1"/>
    <col min="2" max="2" width="26.28515625" customWidth="1"/>
    <col min="3" max="3" width="20.140625" customWidth="1"/>
    <col min="4" max="4" width="18.42578125" customWidth="1"/>
    <col min="5" max="5" width="26" customWidth="1"/>
    <col min="6" max="6" width="20" customWidth="1"/>
    <col min="7" max="7" width="21.28515625" customWidth="1"/>
    <col min="8" max="8" width="22.7109375" customWidth="1"/>
    <col min="9" max="9" width="24" customWidth="1"/>
    <col min="10" max="10" width="15.28515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5">
      <c r="A2" s="16" t="s">
        <v>3</v>
      </c>
      <c r="B2" s="17" t="s">
        <v>60</v>
      </c>
      <c r="C2" s="18">
        <v>80</v>
      </c>
      <c r="D2" s="18">
        <v>80</v>
      </c>
      <c r="E2">
        <v>5</v>
      </c>
      <c r="F2">
        <f>E2*D2</f>
        <v>400</v>
      </c>
      <c r="G2">
        <v>10.6</v>
      </c>
      <c r="H2">
        <f>Table10[[#This Row],[Total Floor Space]]*Table10[[#This Row],[Rent per sqm per year]]</f>
        <v>4240</v>
      </c>
      <c r="I2">
        <f>(0.5+1/6*6)*Table10[[#This Row],[Quantity]]</f>
        <v>120</v>
      </c>
      <c r="J2">
        <v>6</v>
      </c>
      <c r="K2">
        <v>256</v>
      </c>
      <c r="L2">
        <f>0.5*10*6*Table10[[#This Row],[Quantity]]</f>
        <v>2400</v>
      </c>
      <c r="M2">
        <f>Table10[[#This Row],[Energy consumption in W]]*24*365/1000</f>
        <v>21024</v>
      </c>
      <c r="N2">
        <f>0.3084/50</f>
        <v>6.1679999999999999E-3</v>
      </c>
      <c r="O2">
        <f>Table10[[#This Row],[Yearly Energy Consumption in kWh]]*Table10[[#This Row],[CU/kWh]]</f>
        <v>129.67603199999999</v>
      </c>
      <c r="P2">
        <v>0</v>
      </c>
      <c r="Q2">
        <v>20</v>
      </c>
      <c r="R2">
        <f>Table10[[#This Row],[FIT]]*Table10[[#This Row],[Quantity]]*24*365/1000000000</f>
        <v>0.1794048</v>
      </c>
      <c r="S2">
        <f>2*Table10[[#This Row],[Mean dist in km from CO]]/Table10[[#This Row],[Avg Travel Speed]]</f>
        <v>0</v>
      </c>
      <c r="T2">
        <f>Table10[[#This Row],[MTTR]]+Table10[[#This Row],[Twice Travel Time]]</f>
        <v>6</v>
      </c>
      <c r="U2">
        <v>1</v>
      </c>
      <c r="V2">
        <v>3.8</v>
      </c>
      <c r="W2">
        <f>Table10[[#This Row],[Failures per year]]*Table10[[#This Row],[Total Time to Repair(h)]]*Table10[[#This Row],[No. Of technicians]]*Table10[[#This Row],[Cost per hour]]</f>
        <v>4.0904294399999994</v>
      </c>
    </row>
    <row r="3" spans="1:23" x14ac:dyDescent="0.25">
      <c r="A3" s="19" t="s">
        <v>3</v>
      </c>
      <c r="B3" s="20" t="s">
        <v>86</v>
      </c>
      <c r="C3" s="21">
        <v>40</v>
      </c>
      <c r="D3" s="21">
        <v>8</v>
      </c>
      <c r="E3">
        <v>0</v>
      </c>
      <c r="F3" s="8">
        <f t="shared" ref="F3:F9" si="0">E3*D3</f>
        <v>0</v>
      </c>
      <c r="G3" s="8">
        <v>10.6</v>
      </c>
      <c r="H3" s="8">
        <f>Table10[[#This Row],[Total Floor Space]]*Table10[[#This Row],[Rent per sqm per year]]</f>
        <v>0</v>
      </c>
      <c r="I3">
        <f>1/6*Table10[[#This Row],[Quantity]]</f>
        <v>1.3333333333333333</v>
      </c>
      <c r="J3">
        <v>6</v>
      </c>
      <c r="K3">
        <v>50</v>
      </c>
      <c r="L3">
        <f>100*Table10[[#This Row],[Quantity]]</f>
        <v>800</v>
      </c>
      <c r="M3" s="8">
        <f>Table10[[#This Row],[Energy consumption in W]]*24*365/1000</f>
        <v>7008</v>
      </c>
      <c r="N3" s="8">
        <f t="shared" ref="N3:N9" si="1">0.3084/50</f>
        <v>6.1679999999999999E-3</v>
      </c>
      <c r="O3" s="8">
        <f>Table10[[#This Row],[Yearly Energy Consumption in kWh]]*Table10[[#This Row],[CU/kWh]]</f>
        <v>43.225344</v>
      </c>
      <c r="P3">
        <v>0</v>
      </c>
      <c r="Q3" s="8">
        <v>20</v>
      </c>
      <c r="R3" s="8">
        <f>Table10[[#This Row],[FIT]]*Table10[[#This Row],[Quantity]]*24*365/1000000000</f>
        <v>3.5040000000000002E-3</v>
      </c>
      <c r="S3" s="8">
        <f>2*Table10[[#This Row],[Mean dist in km from CO]]/Table10[[#This Row],[Avg Travel Speed]]</f>
        <v>0</v>
      </c>
      <c r="T3" s="8">
        <f>Table10[[#This Row],[MTTR]]+Table10[[#This Row],[Twice Travel Time]]</f>
        <v>6</v>
      </c>
      <c r="U3" s="8">
        <v>1</v>
      </c>
      <c r="V3" s="8">
        <v>3.8</v>
      </c>
      <c r="W3" s="8">
        <f>Table10[[#This Row],[Failures per year]]*Table10[[#This Row],[Total Time to Repair(h)]]*Table10[[#This Row],[No. Of technicians]]*Table10[[#This Row],[Cost per hour]]</f>
        <v>7.9891199999999996E-2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18">
        <v>1600</v>
      </c>
      <c r="E4">
        <v>0</v>
      </c>
      <c r="F4" s="8">
        <f t="shared" si="0"/>
        <v>0</v>
      </c>
      <c r="G4" s="8">
        <v>10.6</v>
      </c>
      <c r="H4" s="8">
        <f>Table10[[#This Row],[Total Floor Space]]*Table10[[#This Row],[Rent per sqm per year]]</f>
        <v>0</v>
      </c>
      <c r="I4">
        <v>0</v>
      </c>
      <c r="J4">
        <v>0</v>
      </c>
      <c r="K4">
        <v>0</v>
      </c>
      <c r="L4" s="8">
        <f>600*1</f>
        <v>600</v>
      </c>
      <c r="M4" s="8">
        <f>Table10[[#This Row],[Energy consumption in W]]*24*365/1000</f>
        <v>5256</v>
      </c>
      <c r="N4" s="8">
        <f t="shared" si="1"/>
        <v>6.1679999999999999E-3</v>
      </c>
      <c r="O4" s="8">
        <f>Table10[[#This Row],[Yearly Energy Consumption in kWh]]*Table10[[#This Row],[CU/kWh]]</f>
        <v>32.419007999999998</v>
      </c>
      <c r="P4">
        <v>0</v>
      </c>
      <c r="Q4" s="8">
        <v>20</v>
      </c>
      <c r="R4" s="8">
        <f>Table10[[#This Row],[FIT]]*Table10[[#This Row],[Quantity]]*24*365/1000000000</f>
        <v>0</v>
      </c>
      <c r="S4" s="8">
        <f>2*Table10[[#This Row],[Mean dist in km from CO]]/Table10[[#This Row],[Avg Travel Speed]]</f>
        <v>0</v>
      </c>
      <c r="T4" s="8">
        <f>Table10[[#This Row],[MTTR]]+Table10[[#This Row],[Twice Travel Time]]</f>
        <v>0</v>
      </c>
      <c r="U4" s="8">
        <v>1</v>
      </c>
      <c r="V4" s="8">
        <v>3.8</v>
      </c>
      <c r="W4" s="8">
        <f>Table10[[#This Row],[Failures per year]]*Table10[[#This Row],[Total Time to Repair(h)]]*Table10[[#This Row],[No. Of technicians]]*Table10[[#This Row],[Cost per hour]]</f>
        <v>0</v>
      </c>
    </row>
    <row r="5" spans="1:23" x14ac:dyDescent="0.25">
      <c r="A5" s="19" t="s">
        <v>3</v>
      </c>
      <c r="B5" s="20" t="s">
        <v>77</v>
      </c>
      <c r="C5" s="21">
        <v>400</v>
      </c>
      <c r="D5" s="21">
        <v>1</v>
      </c>
      <c r="E5">
        <v>0</v>
      </c>
      <c r="F5" s="8">
        <f t="shared" si="0"/>
        <v>0</v>
      </c>
      <c r="G5" s="8">
        <v>10.6</v>
      </c>
      <c r="H5" s="8">
        <f>Table10[[#This Row],[Total Floor Space]]*Table10[[#This Row],[Rent per sqm per year]]</f>
        <v>0</v>
      </c>
      <c r="I5">
        <v>0</v>
      </c>
      <c r="J5">
        <v>0</v>
      </c>
      <c r="K5">
        <v>0</v>
      </c>
      <c r="L5" s="8">
        <v>0</v>
      </c>
      <c r="M5" s="8">
        <f>Table10[[#This Row],[Energy consumption in W]]*24*365/1000</f>
        <v>0</v>
      </c>
      <c r="N5" s="8">
        <f t="shared" si="1"/>
        <v>6.1679999999999999E-3</v>
      </c>
      <c r="O5" s="8">
        <f>Table10[[#This Row],[Yearly Energy Consumption in kWh]]*Table10[[#This Row],[CU/kWh]]</f>
        <v>0</v>
      </c>
      <c r="P5">
        <v>0</v>
      </c>
      <c r="Q5" s="8">
        <v>20</v>
      </c>
      <c r="R5" s="8">
        <f>Table10[[#This Row],[FIT]]*Table10[[#This Row],[Quantity]]*24*365/1000000000</f>
        <v>0</v>
      </c>
      <c r="S5" s="8">
        <f>2*Table10[[#This Row],[Mean dist in km from CO]]/Table10[[#This Row],[Avg Travel Speed]]</f>
        <v>0</v>
      </c>
      <c r="T5" s="8">
        <f>Table10[[#This Row],[MTTR]]+Table10[[#This Row],[Twice Travel Time]]</f>
        <v>0</v>
      </c>
      <c r="U5" s="8">
        <v>1</v>
      </c>
      <c r="V5" s="8">
        <v>3.8</v>
      </c>
      <c r="W5" s="8">
        <f>Table10[[#This Row],[Failures per year]]*Table10[[#This Row],[Total Time to Repair(h)]]*Table10[[#This Row],[No. Of technicians]]*Table10[[#This Row],[Cost per hour]]</f>
        <v>0</v>
      </c>
    </row>
    <row r="6" spans="1:23" x14ac:dyDescent="0.25">
      <c r="A6" s="16" t="s">
        <v>8</v>
      </c>
      <c r="B6" s="17" t="s">
        <v>78</v>
      </c>
      <c r="C6" s="18">
        <f>80*0.3</f>
        <v>24</v>
      </c>
      <c r="D6" s="18">
        <v>8</v>
      </c>
      <c r="E6">
        <v>0</v>
      </c>
      <c r="F6" s="8">
        <f t="shared" si="0"/>
        <v>0</v>
      </c>
      <c r="G6" s="8">
        <v>10.6</v>
      </c>
      <c r="H6" s="8">
        <f>Table10[[#This Row],[Total Floor Space]]*Table10[[#This Row],[Rent per sqm per year]]</f>
        <v>0</v>
      </c>
      <c r="I6">
        <f>1/6*Table10[[#This Row],[Quantity]]</f>
        <v>1.3333333333333333</v>
      </c>
      <c r="J6">
        <v>6</v>
      </c>
      <c r="K6">
        <v>50</v>
      </c>
      <c r="L6" s="8">
        <v>0</v>
      </c>
      <c r="M6" s="8">
        <f>Table10[[#This Row],[Energy consumption in W]]*24*365/1000</f>
        <v>0</v>
      </c>
      <c r="N6" s="8">
        <f t="shared" si="1"/>
        <v>6.1679999999999999E-3</v>
      </c>
      <c r="O6" s="8">
        <f>Table10[[#This Row],[Yearly Energy Consumption in kWh]]*Table10[[#This Row],[CU/kWh]]</f>
        <v>0</v>
      </c>
      <c r="P6">
        <v>1</v>
      </c>
      <c r="Q6" s="8">
        <v>20</v>
      </c>
      <c r="R6" s="8">
        <f>Table10[[#This Row],[FIT]]*Table10[[#This Row],[Quantity]]*24*365/1000000000</f>
        <v>3.5040000000000002E-3</v>
      </c>
      <c r="S6" s="8">
        <f>2*Table10[[#This Row],[Mean dist in km from CO]]/Table10[[#This Row],[Avg Travel Speed]]</f>
        <v>0.1</v>
      </c>
      <c r="T6" s="8">
        <f>Table10[[#This Row],[MTTR]]+Table10[[#This Row],[Twice Travel Time]]</f>
        <v>6.1</v>
      </c>
      <c r="U6" s="8">
        <v>1</v>
      </c>
      <c r="V6" s="8">
        <v>3.8</v>
      </c>
      <c r="W6" s="8">
        <f>Table10[[#This Row],[Failures per year]]*Table10[[#This Row],[Total Time to Repair(h)]]*Table10[[#This Row],[No. Of technicians]]*Table10[[#This Row],[Cost per hour]]</f>
        <v>8.1222719999999984E-2</v>
      </c>
    </row>
    <row r="7" spans="1:23" x14ac:dyDescent="0.25">
      <c r="A7" s="19" t="s">
        <v>10</v>
      </c>
      <c r="B7" s="20" t="s">
        <v>91</v>
      </c>
      <c r="C7" s="21">
        <v>0.9</v>
      </c>
      <c r="D7" s="21">
        <v>305</v>
      </c>
      <c r="E7">
        <v>0</v>
      </c>
      <c r="F7" s="8">
        <f t="shared" si="0"/>
        <v>0</v>
      </c>
      <c r="G7" s="8">
        <v>10.6</v>
      </c>
      <c r="H7" s="8">
        <f>Table10[[#This Row],[Total Floor Space]]*Table10[[#This Row],[Rent per sqm per year]]</f>
        <v>0</v>
      </c>
      <c r="I7">
        <f>0.5*Table10[[#This Row],[Quantity]]</f>
        <v>152.5</v>
      </c>
      <c r="J7">
        <v>6</v>
      </c>
      <c r="K7">
        <v>50</v>
      </c>
      <c r="L7">
        <v>0</v>
      </c>
      <c r="M7" s="8">
        <f>Table10[[#This Row],[Energy consumption in W]]*24*365/1000</f>
        <v>0</v>
      </c>
      <c r="N7" s="8">
        <f t="shared" si="1"/>
        <v>6.1679999999999999E-3</v>
      </c>
      <c r="O7" s="8">
        <f>Table10[[#This Row],[Yearly Energy Consumption in kWh]]*Table10[[#This Row],[CU/kWh]]</f>
        <v>0</v>
      </c>
      <c r="P7">
        <v>2</v>
      </c>
      <c r="Q7" s="8">
        <v>20</v>
      </c>
      <c r="R7" s="8">
        <f>Table10[[#This Row],[FIT]]*Table10[[#This Row],[Quantity]]*24*365/1000000000</f>
        <v>0.13358999999999999</v>
      </c>
      <c r="S7" s="8">
        <f>2*Table10[[#This Row],[Mean dist in km from CO]]/Table10[[#This Row],[Avg Travel Speed]]</f>
        <v>0.2</v>
      </c>
      <c r="T7" s="8">
        <f>Table10[[#This Row],[MTTR]]+Table10[[#This Row],[Twice Travel Time]]</f>
        <v>6.2</v>
      </c>
      <c r="U7" s="8">
        <v>1</v>
      </c>
      <c r="V7" s="8">
        <v>3.8</v>
      </c>
      <c r="W7" s="8">
        <f>Table10[[#This Row],[Failures per year]]*Table10[[#This Row],[Total Time to Repair(h)]]*Table10[[#This Row],[No. Of technicians]]*Table10[[#This Row],[Cost per hour]]</f>
        <v>3.1473803999999994</v>
      </c>
    </row>
    <row r="8" spans="1:23" x14ac:dyDescent="0.25">
      <c r="A8" s="16" t="s">
        <v>90</v>
      </c>
      <c r="B8" s="17" t="s">
        <v>88</v>
      </c>
      <c r="C8" s="18">
        <v>3.1</v>
      </c>
      <c r="D8" s="18">
        <v>5000</v>
      </c>
      <c r="E8">
        <v>0</v>
      </c>
      <c r="F8" s="8">
        <f t="shared" si="0"/>
        <v>0</v>
      </c>
      <c r="G8" s="8">
        <v>4</v>
      </c>
      <c r="H8" s="8">
        <f>Table10[[#This Row],[Total Floor Space]]*Table10[[#This Row],[Rent per sqm per year]]</f>
        <v>0</v>
      </c>
      <c r="I8">
        <f>0.5*Table10[[#This Row],[Quantity]]</f>
        <v>2500</v>
      </c>
      <c r="J8">
        <v>6</v>
      </c>
      <c r="K8">
        <v>256</v>
      </c>
      <c r="L8">
        <f>5.5*Table10[[#This Row],[Quantity]]</f>
        <v>27500</v>
      </c>
      <c r="M8" s="8">
        <f>Table10[[#This Row],[Energy consumption in W]]*24*365/1000</f>
        <v>240900</v>
      </c>
      <c r="N8" s="8">
        <f t="shared" si="1"/>
        <v>6.1679999999999999E-3</v>
      </c>
      <c r="O8" s="8">
        <f>Table10[[#This Row],[Yearly Energy Consumption in kWh]]*Table10[[#This Row],[CU/kWh]]</f>
        <v>1485.8712</v>
      </c>
      <c r="P8">
        <v>4</v>
      </c>
      <c r="Q8" s="8">
        <v>20</v>
      </c>
      <c r="R8" s="8">
        <f>Table10[[#This Row],[FIT]]*Table10[[#This Row],[Quantity]]*24*365/1000000000</f>
        <v>11.2128</v>
      </c>
      <c r="S8" s="8">
        <f>2*Table10[[#This Row],[Mean dist in km from CO]]/Table10[[#This Row],[Avg Travel Speed]]</f>
        <v>0.4</v>
      </c>
      <c r="T8" s="8">
        <f>Table10[[#This Row],[MTTR]]+Table10[[#This Row],[Twice Travel Time]]</f>
        <v>6.4</v>
      </c>
      <c r="U8" s="8">
        <v>1</v>
      </c>
      <c r="V8" s="8">
        <v>3.8</v>
      </c>
      <c r="W8" s="8">
        <f>Table10[[#This Row],[Failures per year]]*Table10[[#This Row],[Total Time to Repair(h)]]*Table10[[#This Row],[No. Of technicians]]*Table10[[#This Row],[Cost per hour]]</f>
        <v>272.69529599999998</v>
      </c>
    </row>
    <row r="9" spans="1:23" x14ac:dyDescent="0.25">
      <c r="A9" s="19" t="s">
        <v>90</v>
      </c>
      <c r="B9" s="20" t="s">
        <v>92</v>
      </c>
      <c r="C9" s="21">
        <v>8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>Table10[[#This Row],[Total Floor Space]]*Table10[[#This Row],[Rent per sqm per year]]</f>
        <v>0</v>
      </c>
      <c r="I9">
        <f>(0.5+1/6*6)*Table10[[#This Row],[Quantity]]</f>
        <v>7500</v>
      </c>
      <c r="J9">
        <v>24</v>
      </c>
      <c r="K9">
        <v>5000</v>
      </c>
      <c r="L9">
        <f>50*Table10[[#This Row],[Total Floor Space]]</f>
        <v>250000</v>
      </c>
      <c r="M9" s="8">
        <f>Table10[[#This Row],[Energy consumption in W]]*24*365/1000</f>
        <v>2190000</v>
      </c>
      <c r="N9" s="8">
        <f t="shared" si="1"/>
        <v>6.1679999999999999E-3</v>
      </c>
      <c r="O9" s="8">
        <f>Table10[[#This Row],[Yearly Energy Consumption in kWh]]*Table10[[#This Row],[CU/kWh]]</f>
        <v>13507.92</v>
      </c>
      <c r="P9">
        <v>4</v>
      </c>
      <c r="Q9">
        <v>20</v>
      </c>
      <c r="R9" s="8">
        <f>Table10[[#This Row],[FIT]]*Table10[[#This Row],[Quantity]]*24*365/1000000000</f>
        <v>219</v>
      </c>
      <c r="S9" s="8">
        <f>2*Table10[[#This Row],[Mean dist in km from CO]]/Table10[[#This Row],[Avg Travel Speed]]</f>
        <v>0.4</v>
      </c>
      <c r="T9" s="8">
        <f>Table10[[#This Row],[MTTR]]+Table10[[#This Row],[Twice Travel Time]]</f>
        <v>24.4</v>
      </c>
      <c r="U9" s="8">
        <v>1</v>
      </c>
      <c r="V9" s="8">
        <v>3.8</v>
      </c>
      <c r="W9" s="8">
        <f>Table10[[#This Row],[Failures per year]]*Table10[[#This Row],[Total Time to Repair(h)]]*Table10[[#This Row],[No. Of technicians]]*Table10[[#This Row],[Cost per hour]]</f>
        <v>20305.679999999997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SUM(Table10[Total Rent cost per year])</f>
        <v>4240</v>
      </c>
      <c r="I10" s="25"/>
      <c r="J10" s="25"/>
      <c r="K10" s="25"/>
      <c r="L10" s="25"/>
      <c r="M10" s="25"/>
      <c r="N10" s="25"/>
      <c r="O10" s="25">
        <f>SUBTOTAL(109,Table10[Energy Cost per year in CU])</f>
        <v>15199.111584</v>
      </c>
      <c r="P10" s="25"/>
      <c r="Q10" s="25"/>
      <c r="R10" s="25"/>
      <c r="S10" s="25"/>
      <c r="T10" s="25"/>
      <c r="U10" s="25"/>
      <c r="V10" s="25"/>
      <c r="W10" s="25">
        <f>SUBTOTAL(109,Table10[FM Cost])</f>
        <v>20585.774219759998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>
        <f>Table10[[#Totals],[Total Rent cost per year]]+Table10[[#Totals],[Energy Cost per year in CU]]+Table10[[#Totals],[FM Cost]]+J19</f>
        <v>40304.782696752547</v>
      </c>
    </row>
    <row r="17" spans="1:16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25">
      <c r="J19">
        <f>SUM(J16:J18)</f>
        <v>279.89689299254849</v>
      </c>
      <c r="O19" s="8" t="s">
        <v>94</v>
      </c>
      <c r="P19" s="8">
        <f>Table10[[#Totals],[Total Rent cost per year]]</f>
        <v>4240</v>
      </c>
    </row>
    <row r="20" spans="1:16" x14ac:dyDescent="0.25">
      <c r="O20" s="8" t="s">
        <v>95</v>
      </c>
      <c r="P20" s="8">
        <f>Table10[[#Totals],[Energy Cost per year in CU]]</f>
        <v>15199.111584</v>
      </c>
    </row>
    <row r="21" spans="1:16" x14ac:dyDescent="0.25">
      <c r="O21" s="8" t="s">
        <v>96</v>
      </c>
      <c r="P21" s="8">
        <f>Table10[[#Totals],[FM Cost]]</f>
        <v>20585.774219759998</v>
      </c>
    </row>
    <row r="22" spans="1:16" x14ac:dyDescent="0.25">
      <c r="O22" s="8" t="s">
        <v>97</v>
      </c>
      <c r="P22" s="8">
        <f>0.05*SUM(P19:P21)</f>
        <v>2001.2442901880002</v>
      </c>
    </row>
    <row r="23" spans="1:16" x14ac:dyDescent="0.25">
      <c r="O23" s="8" t="s">
        <v>98</v>
      </c>
      <c r="P23" s="8">
        <f>0.07*SUM(P19:P21)</f>
        <v>2801.7420062632004</v>
      </c>
    </row>
    <row r="24" spans="1:16" x14ac:dyDescent="0.25">
      <c r="O24" s="8"/>
      <c r="P24" s="8">
        <f>SUM(Table1416171819[Cost])</f>
        <v>44827.8721002112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topLeftCell="H1" workbookViewId="0">
      <selection activeCell="P19" sqref="P19:P23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2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Table1012[[#This Row],[Total Floor Space]]*Table1012[[#This Row],[Rent per sqm per year]]</f>
        <v>8480</v>
      </c>
      <c r="I2" s="8">
        <f>(0.5+1/6*6)*Table1012[[#This Row],[Quantity]]</f>
        <v>240</v>
      </c>
      <c r="J2" s="8">
        <v>6</v>
      </c>
      <c r="K2" s="8">
        <v>256</v>
      </c>
      <c r="L2" s="8">
        <f>0.5*10*6*Table1012[[#This Row],[Quantity]]</f>
        <v>4800</v>
      </c>
      <c r="M2" s="8">
        <f>Table1012[[#This Row],[Energy consumption in W]]*24*365/1000</f>
        <v>42048</v>
      </c>
      <c r="N2" s="8">
        <f>0.3084/50</f>
        <v>6.1679999999999999E-3</v>
      </c>
      <c r="O2" s="8">
        <f>Table1012[[#This Row],[Yearly Energy Consumption in kWh]]*Table1012[[#This Row],[CU/kWh]]</f>
        <v>259.35206399999998</v>
      </c>
      <c r="P2" s="8">
        <v>0</v>
      </c>
      <c r="Q2" s="8">
        <v>20</v>
      </c>
      <c r="R2" s="8">
        <f>Table1012[[#This Row],[FIT]]*Table1012[[#This Row],[Quantity]]*24*365/1000000000</f>
        <v>0.35880960000000001</v>
      </c>
      <c r="S2" s="8">
        <f>2*Table1012[[#This Row],[Mean dist in km from CO]]/Table1012[[#This Row],[Avg Travel Speed]]</f>
        <v>0</v>
      </c>
      <c r="T2" s="8">
        <f>Table1012[[#This Row],[MTTR]]+Table1012[[#This Row],[Twice Travel Time]]</f>
        <v>6</v>
      </c>
      <c r="U2" s="8">
        <v>1</v>
      </c>
      <c r="V2" s="8">
        <v>3.8</v>
      </c>
      <c r="W2" s="8">
        <f>Table1012[[#This Row],[Failures per year]]*Table1012[[#This Row],[Total Time to Repair(h)]]*Table1012[[#This Row],[No. Of technicians]]*Table1012[[#This Row],[Cost per hour]]</f>
        <v>8.1808588799999988</v>
      </c>
    </row>
    <row r="3" spans="1:23" x14ac:dyDescent="0.25">
      <c r="A3" s="19" t="s">
        <v>3</v>
      </c>
      <c r="B3" s="27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Table1012[[#This Row],[Total Floor Space]]*Table1012[[#This Row],[Rent per sqm per year]]</f>
        <v>0</v>
      </c>
      <c r="I3" s="8">
        <f>1/6*Table1012[[#This Row],[Quantity]]</f>
        <v>2.6666666666666665</v>
      </c>
      <c r="J3" s="8">
        <v>6</v>
      </c>
      <c r="K3" s="8">
        <v>50</v>
      </c>
      <c r="L3" s="8">
        <f>100*Table1012[[#This Row],[Quantity]]</f>
        <v>1600</v>
      </c>
      <c r="M3" s="8">
        <f>Table1012[[#This Row],[Energy consumption in W]]*24*365/1000</f>
        <v>14016</v>
      </c>
      <c r="N3" s="8">
        <f t="shared" ref="N3:N9" si="1">0.3084/50</f>
        <v>6.1679999999999999E-3</v>
      </c>
      <c r="O3" s="8">
        <f>Table1012[[#This Row],[Yearly Energy Consumption in kWh]]*Table1012[[#This Row],[CU/kWh]]</f>
        <v>86.450688</v>
      </c>
      <c r="P3" s="8">
        <v>0</v>
      </c>
      <c r="Q3" s="8">
        <v>20</v>
      </c>
      <c r="R3" s="8">
        <f>Table1012[[#This Row],[FIT]]*Table1012[[#This Row],[Quantity]]*24*365/1000000000</f>
        <v>7.0080000000000003E-3</v>
      </c>
      <c r="S3" s="8">
        <f>2*Table1012[[#This Row],[Mean dist in km from CO]]/Table1012[[#This Row],[Avg Travel Speed]]</f>
        <v>0</v>
      </c>
      <c r="T3" s="8">
        <f>Table1012[[#This Row],[MTTR]]+Table1012[[#This Row],[Twice Travel Time]]</f>
        <v>6</v>
      </c>
      <c r="U3" s="8">
        <v>1</v>
      </c>
      <c r="V3" s="8">
        <v>3.8</v>
      </c>
      <c r="W3" s="8">
        <f>Table1012[[#This Row],[Failures per year]]*Table1012[[#This Row],[Total Time to Repair(h)]]*Table1012[[#This Row],[No. Of technicians]]*Table1012[[#This Row],[Cost per hour]]</f>
        <v>0.15978239999999999</v>
      </c>
    </row>
    <row r="4" spans="1:23" x14ac:dyDescent="0.25">
      <c r="A4" s="16" t="s">
        <v>3</v>
      </c>
      <c r="B4" s="2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Table1012[[#This Row],[Total Floor Space]]*Table1012[[#This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Table1012[[#This Row],[Energy consumption in W]]*24*365/1000</f>
        <v>5256</v>
      </c>
      <c r="N4" s="8">
        <f t="shared" si="1"/>
        <v>6.1679999999999999E-3</v>
      </c>
      <c r="O4" s="8">
        <f>Table1012[[#This Row],[Yearly Energy Consumption in kWh]]*Table1012[[#This Row],[CU/kWh]]</f>
        <v>32.419007999999998</v>
      </c>
      <c r="P4" s="8">
        <v>0</v>
      </c>
      <c r="Q4" s="8">
        <v>20</v>
      </c>
      <c r="R4" s="8">
        <f>Table1012[[#This Row],[FIT]]*Table1012[[#This Row],[Quantity]]*24*365/1000000000</f>
        <v>0</v>
      </c>
      <c r="S4" s="8">
        <f>2*Table1012[[#This Row],[Mean dist in km from CO]]/Table1012[[#This Row],[Avg Travel Speed]]</f>
        <v>0</v>
      </c>
      <c r="T4" s="8">
        <f>Table1012[[#This Row],[MTTR]]+Table1012[[#This Row],[Twice Travel Time]]</f>
        <v>0</v>
      </c>
      <c r="U4" s="8">
        <v>1</v>
      </c>
      <c r="V4" s="8">
        <v>3.8</v>
      </c>
      <c r="W4" s="8">
        <f>Table1012[[#This Row],[Failures per year]]*Table1012[[#This Row],[Total Time to Repair(h)]]*Table1012[[#This Row],[No. Of technicians]]*Table1012[[#This Row],[Cost per hour]]</f>
        <v>0</v>
      </c>
    </row>
    <row r="5" spans="1:23" x14ac:dyDescent="0.25">
      <c r="A5" s="19" t="s">
        <v>3</v>
      </c>
      <c r="B5" s="27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Table1012[[#This Row],[Total Floor Space]]*Table1012[[#This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Table1012[[#This Row],[Energy consumption in W]]*24*365/1000</f>
        <v>0</v>
      </c>
      <c r="N5" s="8">
        <f t="shared" si="1"/>
        <v>6.1679999999999999E-3</v>
      </c>
      <c r="O5" s="8">
        <f>Table1012[[#This Row],[Yearly Energy Consumption in kWh]]*Table1012[[#This Row],[CU/kWh]]</f>
        <v>0</v>
      </c>
      <c r="P5" s="8">
        <v>0</v>
      </c>
      <c r="Q5" s="8">
        <v>20</v>
      </c>
      <c r="R5" s="8">
        <f>Table1012[[#This Row],[FIT]]*Table1012[[#This Row],[Quantity]]*24*365/1000000000</f>
        <v>0</v>
      </c>
      <c r="S5" s="8">
        <f>2*Table1012[[#This Row],[Mean dist in km from CO]]/Table1012[[#This Row],[Avg Travel Speed]]</f>
        <v>0</v>
      </c>
      <c r="T5" s="8">
        <f>Table1012[[#This Row],[MTTR]]+Table1012[[#This Row],[Twice Travel Time]]</f>
        <v>0</v>
      </c>
      <c r="U5" s="8">
        <v>1</v>
      </c>
      <c r="V5" s="8">
        <v>3.8</v>
      </c>
      <c r="W5" s="8">
        <f>Table1012[[#This Row],[Failures per year]]*Table1012[[#This Row],[Total Time to Repair(h)]]*Table1012[[#This Row],[No. Of technicians]]*Table1012[[#This Row],[Cost per hour]]</f>
        <v>0</v>
      </c>
    </row>
    <row r="6" spans="1:23" x14ac:dyDescent="0.25">
      <c r="A6" s="16" t="s">
        <v>8</v>
      </c>
      <c r="B6" s="2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Table1012[[#This Row],[Total Floor Space]]*Table1012[[#This Row],[Rent per sqm per year]]</f>
        <v>0</v>
      </c>
      <c r="I6" s="8">
        <f>1/6*Table1012[[#This Row],[Quantity]]</f>
        <v>1.3333333333333333</v>
      </c>
      <c r="J6" s="8">
        <v>6</v>
      </c>
      <c r="K6" s="8">
        <v>50</v>
      </c>
      <c r="L6" s="8">
        <v>0</v>
      </c>
      <c r="M6" s="8">
        <f>Table1012[[#This Row],[Energy consumption in W]]*24*365/1000</f>
        <v>0</v>
      </c>
      <c r="N6" s="8">
        <f t="shared" si="1"/>
        <v>6.1679999999999999E-3</v>
      </c>
      <c r="O6" s="8">
        <f>Table1012[[#This Row],[Yearly Energy Consumption in kWh]]*Table1012[[#This Row],[CU/kWh]]</f>
        <v>0</v>
      </c>
      <c r="P6" s="8">
        <v>1</v>
      </c>
      <c r="Q6" s="8">
        <v>20</v>
      </c>
      <c r="R6" s="8">
        <f>Table1012[[#This Row],[FIT]]*Table1012[[#This Row],[Quantity]]*24*365/1000000000</f>
        <v>3.5040000000000002E-3</v>
      </c>
      <c r="S6" s="8">
        <f>2*Table1012[[#This Row],[Mean dist in km from CO]]/Table1012[[#This Row],[Avg Travel Speed]]</f>
        <v>0.1</v>
      </c>
      <c r="T6" s="8">
        <f>Table1012[[#This Row],[MTTR]]+Table1012[[#This Row],[Twice Travel Time]]</f>
        <v>6.1</v>
      </c>
      <c r="U6" s="8">
        <v>1</v>
      </c>
      <c r="V6" s="8">
        <v>3.8</v>
      </c>
      <c r="W6" s="8">
        <f>Table1012[[#This Row],[Failures per year]]*Table1012[[#This Row],[Total Time to Repair(h)]]*Table1012[[#This Row],[No. Of technicians]]*Table1012[[#This Row],[Cost per hour]]</f>
        <v>8.1222719999999984E-2</v>
      </c>
    </row>
    <row r="7" spans="1:23" x14ac:dyDescent="0.25">
      <c r="A7" s="19" t="s">
        <v>10</v>
      </c>
      <c r="B7" s="27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Table1012[[#This Row],[Total Floor Space]]*Table1012[[#This Row],[Rent per sqm per year]]</f>
        <v>0</v>
      </c>
      <c r="I7" s="8">
        <f>0.5*Table1012[[#This Row],[Quantity]]</f>
        <v>152.5</v>
      </c>
      <c r="J7" s="8">
        <v>6</v>
      </c>
      <c r="K7" s="8">
        <v>50</v>
      </c>
      <c r="L7" s="8">
        <v>0</v>
      </c>
      <c r="M7" s="8">
        <f>Table1012[[#This Row],[Energy consumption in W]]*24*365/1000</f>
        <v>0</v>
      </c>
      <c r="N7" s="8">
        <f t="shared" si="1"/>
        <v>6.1679999999999999E-3</v>
      </c>
      <c r="O7" s="8">
        <f>Table1012[[#This Row],[Yearly Energy Consumption in kWh]]*Table1012[[#This Row],[CU/kWh]]</f>
        <v>0</v>
      </c>
      <c r="P7" s="8">
        <v>2</v>
      </c>
      <c r="Q7" s="8">
        <v>20</v>
      </c>
      <c r="R7" s="8">
        <f>Table1012[[#This Row],[FIT]]*Table1012[[#This Row],[Quantity]]*24*365/1000000000</f>
        <v>0.13358999999999999</v>
      </c>
      <c r="S7" s="8">
        <f>2*Table1012[[#This Row],[Mean dist in km from CO]]/Table1012[[#This Row],[Avg Travel Speed]]</f>
        <v>0.2</v>
      </c>
      <c r="T7" s="8">
        <f>Table1012[[#This Row],[MTTR]]+Table1012[[#This Row],[Twice Travel Time]]</f>
        <v>6.2</v>
      </c>
      <c r="U7" s="8">
        <v>1</v>
      </c>
      <c r="V7" s="8">
        <v>3.8</v>
      </c>
      <c r="W7" s="8">
        <f>Table1012[[#This Row],[Failures per year]]*Table1012[[#This Row],[Total Time to Repair(h)]]*Table1012[[#This Row],[No. Of technicians]]*Table1012[[#This Row],[Cost per hour]]</f>
        <v>3.1473803999999994</v>
      </c>
    </row>
    <row r="8" spans="1:23" x14ac:dyDescent="0.25">
      <c r="A8" s="16" t="s">
        <v>90</v>
      </c>
      <c r="B8" s="27" t="s">
        <v>88</v>
      </c>
      <c r="C8" s="18">
        <v>3.1</v>
      </c>
      <c r="D8" s="26">
        <v>30000</v>
      </c>
      <c r="E8" s="8">
        <v>0</v>
      </c>
      <c r="F8" s="8">
        <f t="shared" si="0"/>
        <v>0</v>
      </c>
      <c r="G8" s="8">
        <v>0</v>
      </c>
      <c r="H8" s="8">
        <f>Table1012[[#This Row],[Total Floor Space]]*Table1012[[#This Row],[Rent per sqm per year]]</f>
        <v>0</v>
      </c>
      <c r="I8" s="8">
        <f>0.5*Table1012[[#This Row],[Quantity]]</f>
        <v>15000</v>
      </c>
      <c r="J8" s="8">
        <v>6</v>
      </c>
      <c r="K8" s="8">
        <v>256</v>
      </c>
      <c r="L8" s="8">
        <v>0</v>
      </c>
      <c r="M8" s="8">
        <f>Table1012[[#This Row],[Energy consumption in W]]*24*365/1000</f>
        <v>0</v>
      </c>
      <c r="N8" s="8">
        <f t="shared" si="1"/>
        <v>6.1679999999999999E-3</v>
      </c>
      <c r="O8" s="8">
        <f>Table1012[[#This Row],[Yearly Energy Consumption in kWh]]*Table1012[[#This Row],[CU/kWh]]</f>
        <v>0</v>
      </c>
      <c r="P8" s="8">
        <v>4</v>
      </c>
      <c r="Q8" s="8">
        <v>20</v>
      </c>
      <c r="R8" s="8">
        <f>Table1012[[#This Row],[FIT]]*Table1012[[#This Row],[Quantity]]*24*365/1000000000</f>
        <v>67.276799999999994</v>
      </c>
      <c r="S8" s="8">
        <f>2*Table1012[[#This Row],[Mean dist in km from CO]]/Table1012[[#This Row],[Avg Travel Speed]]</f>
        <v>0.4</v>
      </c>
      <c r="T8" s="8">
        <f>Table1012[[#This Row],[MTTR]]+Table1012[[#This Row],[Twice Travel Time]]</f>
        <v>6.4</v>
      </c>
      <c r="U8" s="8">
        <v>1</v>
      </c>
      <c r="V8" s="8">
        <v>3.8</v>
      </c>
      <c r="W8" s="8">
        <f>Table1012[[#This Row],[Failures per year]]*Table1012[[#This Row],[Total Time to Repair(h)]]*Table1012[[#This Row],[No. Of technicians]]*Table1012[[#This Row],[Cost per hour]]</f>
        <v>1636.1717759999997</v>
      </c>
    </row>
    <row r="9" spans="1:23" x14ac:dyDescent="0.25">
      <c r="A9" s="19" t="s">
        <v>90</v>
      </c>
      <c r="B9" s="27" t="s">
        <v>80</v>
      </c>
      <c r="C9" s="21">
        <v>8</v>
      </c>
      <c r="D9" s="26">
        <v>5000</v>
      </c>
      <c r="E9" s="8">
        <v>0</v>
      </c>
      <c r="F9" s="8">
        <f t="shared" si="0"/>
        <v>0</v>
      </c>
      <c r="G9" s="8">
        <v>0</v>
      </c>
      <c r="H9" s="8">
        <f>Table1012[[#This Row],[Total Floor Space]]*Table1012[[#This Row],[Rent per sqm per year]]</f>
        <v>0</v>
      </c>
      <c r="I9" s="8">
        <f>(0.5+1/6*6)*Table1012[[#This Row],[Quantity]]</f>
        <v>7500</v>
      </c>
      <c r="J9" s="8">
        <v>6</v>
      </c>
      <c r="K9" s="8">
        <v>50</v>
      </c>
      <c r="L9" s="8">
        <f>50*Table1012[[#This Row],[Total Floor Space]]</f>
        <v>0</v>
      </c>
      <c r="M9" s="8">
        <f>Table1012[[#This Row],[Energy consumption in W]]*24*365/1000</f>
        <v>0</v>
      </c>
      <c r="N9" s="8">
        <f t="shared" si="1"/>
        <v>6.1679999999999999E-3</v>
      </c>
      <c r="O9" s="8">
        <f>Table1012[[#This Row],[Yearly Energy Consumption in kWh]]*Table1012[[#This Row],[CU/kWh]]</f>
        <v>0</v>
      </c>
      <c r="P9" s="8">
        <v>4</v>
      </c>
      <c r="Q9" s="8">
        <v>20</v>
      </c>
      <c r="R9" s="8">
        <f>Table1012[[#This Row],[FIT]]*Table1012[[#This Row],[Quantity]]*24*365/1000000000</f>
        <v>2.19</v>
      </c>
      <c r="S9" s="8">
        <f>2*Table1012[[#This Row],[Mean dist in km from CO]]/Table1012[[#This Row],[Avg Travel Speed]]</f>
        <v>0.4</v>
      </c>
      <c r="T9" s="8">
        <f>Table1012[[#This Row],[MTTR]]+Table1012[[#This Row],[Twice Travel Time]]</f>
        <v>6.4</v>
      </c>
      <c r="U9" s="8">
        <v>1</v>
      </c>
      <c r="V9" s="8">
        <v>3.8</v>
      </c>
      <c r="W9" s="8">
        <f>Table1012[[#This Row],[Failures per year]]*Table1012[[#This Row],[Total Time to Repair(h)]]*Table1012[[#This Row],[No. Of technicians]]*Table1012[[#This Row],[Cost per hour]]</f>
        <v>53.260799999999996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SUM(Table1012[Total Rent cost per year])</f>
        <v>8480</v>
      </c>
      <c r="I10" s="25"/>
      <c r="J10" s="25"/>
      <c r="K10" s="25"/>
      <c r="L10" s="25"/>
      <c r="M10" s="25"/>
      <c r="N10" s="25"/>
      <c r="O10" s="25">
        <f>SUBTOTAL(109,Table1012[Energy Cost per year in CU])</f>
        <v>378.22176000000002</v>
      </c>
      <c r="P10" s="25"/>
      <c r="Q10" s="25"/>
      <c r="R10" s="25"/>
      <c r="S10" s="25"/>
      <c r="T10" s="25"/>
      <c r="U10" s="25"/>
      <c r="V10" s="25"/>
      <c r="W10" s="25">
        <f>SUBTOTAL(109,Table1012[FM Cost])</f>
        <v>1701.0018203999996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Table1012[[#Totals],[Total Rent cost per year]]+Table1012[[#Totals],[Energy Cost per year in CU]]+Table1012[[#Totals],[FM Cost]]+J19</f>
        <v>10839.120473392548</v>
      </c>
    </row>
    <row r="17" spans="1:16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6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  <c r="O18" s="8" t="s">
        <v>99</v>
      </c>
      <c r="P18" s="8" t="s">
        <v>68</v>
      </c>
    </row>
    <row r="19" spans="1:16" x14ac:dyDescent="0.25">
      <c r="J19" s="8">
        <f>SUM(J16:J18)</f>
        <v>279.89689299254849</v>
      </c>
      <c r="O19" s="8" t="s">
        <v>94</v>
      </c>
      <c r="P19" s="8">
        <f>Table1012[[#Totals],[Total Rent cost per year]]</f>
        <v>8480</v>
      </c>
    </row>
    <row r="20" spans="1:16" x14ac:dyDescent="0.25">
      <c r="O20" s="8" t="s">
        <v>95</v>
      </c>
      <c r="P20" s="8">
        <f>Table1012[[#Totals],[Energy Cost per year in CU]]</f>
        <v>378.22176000000002</v>
      </c>
    </row>
    <row r="21" spans="1:16" x14ac:dyDescent="0.25">
      <c r="O21" s="8" t="s">
        <v>96</v>
      </c>
      <c r="P21" s="8">
        <f>Table1012[[#Totals],[FM Cost]]+J19</f>
        <v>1980.898713392548</v>
      </c>
    </row>
    <row r="22" spans="1:16" x14ac:dyDescent="0.25">
      <c r="O22" s="8" t="s">
        <v>97</v>
      </c>
      <c r="P22" s="8">
        <f>0.05*SUM(P19:P21)</f>
        <v>541.95602366962737</v>
      </c>
    </row>
    <row r="23" spans="1:16" x14ac:dyDescent="0.25">
      <c r="O23" s="8" t="s">
        <v>98</v>
      </c>
      <c r="P23" s="8">
        <f>0.07*SUM(P19:P21)</f>
        <v>758.73843313747841</v>
      </c>
    </row>
    <row r="24" spans="1:16" x14ac:dyDescent="0.25">
      <c r="P24" s="8">
        <f>SUM(Table141617181920[Cost])</f>
        <v>12139.814930199653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opLeftCell="G1" workbookViewId="0">
      <selection activeCell="N18" sqref="N18:N22"/>
    </sheetView>
  </sheetViews>
  <sheetFormatPr defaultColWidth="8.85546875" defaultRowHeight="15" x14ac:dyDescent="0.25"/>
  <cols>
    <col min="1" max="1" width="22.140625" style="8" customWidth="1"/>
    <col min="2" max="2" width="22.7109375" style="8" customWidth="1"/>
    <col min="3" max="3" width="20.140625" style="8" customWidth="1"/>
    <col min="4" max="4" width="13.5703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24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8" t="s">
        <v>3</v>
      </c>
      <c r="B2" s="8" t="s">
        <v>4</v>
      </c>
      <c r="C2" s="8">
        <v>80</v>
      </c>
      <c r="D2" s="26">
        <v>160</v>
      </c>
      <c r="E2" s="8">
        <v>5</v>
      </c>
      <c r="F2" s="8">
        <f>Table913[[#This Row],[Floor Space per component]]*Table913[[#This Row],[Quantity]]</f>
        <v>800</v>
      </c>
      <c r="G2" s="8">
        <v>10.6</v>
      </c>
      <c r="H2" s="8">
        <f>Table913[[#This Row],[Total Floor Space]]*Table913[[#This Row],[Rent per sqm per year]]</f>
        <v>8480</v>
      </c>
      <c r="I2" s="8">
        <f>(0.5+1/6*8)*Table913[[#This Row],[Quantity]]</f>
        <v>293.33333333333331</v>
      </c>
      <c r="J2" s="8">
        <v>6</v>
      </c>
      <c r="K2" s="8">
        <v>256</v>
      </c>
      <c r="L2" s="8">
        <f>0.5*8*2.5*Table913[[#This Row],[Quantity]]</f>
        <v>1600</v>
      </c>
      <c r="M2" s="8">
        <f>Table913[[#This Row],[Energy consumption in W]]*24*365/1000</f>
        <v>14016</v>
      </c>
      <c r="N2" s="8">
        <f>0.3084/50</f>
        <v>6.1679999999999999E-3</v>
      </c>
      <c r="O2" s="8">
        <f>Table913[[#This Row],[Yearly Energy Consumption in kWh]]*Table913[[#This Row],[CU/kWh]]</f>
        <v>86.450688</v>
      </c>
      <c r="P2" s="8">
        <v>0</v>
      </c>
      <c r="Q2" s="8">
        <v>20</v>
      </c>
      <c r="R2" s="8">
        <f>Table913[[#This Row],[FIT]]*Table913[[#This Row],[Quantity]]*24*365/1000000000</f>
        <v>0.35880960000000001</v>
      </c>
      <c r="S2" s="8">
        <f>2*Table913[[#This Row],[Mean dist in km from CO]]/Table913[[#This Row],[Avg Travel Speed]]</f>
        <v>0</v>
      </c>
      <c r="T2" s="8">
        <f>Table913[[#This Row],[MTTR]]+Table913[[#This Row],[Twice Travel Time]]</f>
        <v>6</v>
      </c>
      <c r="U2" s="8">
        <v>1</v>
      </c>
      <c r="V2" s="8">
        <v>3.8</v>
      </c>
      <c r="W2" s="8">
        <f>Table913[[#This Row],[Failures per year]]*Table913[[#This Row],[Total Time to Repair(h)]]*Table913[[#This Row],[No. Of technicians]]*Table913[[#This Row],[Cost per hour]]</f>
        <v>8.1808588799999988</v>
      </c>
    </row>
    <row r="3" spans="1:23" x14ac:dyDescent="0.25">
      <c r="A3" s="8" t="s">
        <v>3</v>
      </c>
      <c r="B3" s="8" t="s">
        <v>86</v>
      </c>
      <c r="C3" s="8">
        <v>40</v>
      </c>
      <c r="D3" s="26">
        <v>32</v>
      </c>
      <c r="E3" s="8">
        <v>1</v>
      </c>
      <c r="F3" s="8">
        <f>Table913[[#This Row],[Floor Space per component]]*Table913[[#This Row],[Quantity]]</f>
        <v>32</v>
      </c>
      <c r="G3" s="8">
        <v>10.6</v>
      </c>
      <c r="H3" s="8">
        <f>Table913[[#This Row],[Total Floor Space]]*Table913[[#This Row],[Rent per sqm per year]]</f>
        <v>339.2</v>
      </c>
      <c r="I3" s="5">
        <f>1/6*Table913[[#This Row],[Quantity]]</f>
        <v>5.333333333333333</v>
      </c>
      <c r="J3" s="8">
        <v>6</v>
      </c>
      <c r="K3" s="8">
        <v>50</v>
      </c>
      <c r="L3" s="8">
        <f>100*Table913[[#This Row],[Quantity]]</f>
        <v>3200</v>
      </c>
      <c r="M3" s="8">
        <f>Table913[[#This Row],[Energy consumption in W]]*24*365/1000</f>
        <v>28032</v>
      </c>
      <c r="N3" s="8">
        <f t="shared" ref="N3:N10" si="0">0.3084/50</f>
        <v>6.1679999999999999E-3</v>
      </c>
      <c r="O3" s="8">
        <f>Table913[[#This Row],[Yearly Energy Consumption in kWh]]*Table913[[#This Row],[CU/kWh]]</f>
        <v>172.901376</v>
      </c>
      <c r="P3" s="8">
        <v>0</v>
      </c>
      <c r="Q3" s="8">
        <v>20</v>
      </c>
      <c r="R3" s="8">
        <f>Table913[[#This Row],[FIT]]*Table913[[#This Row],[Quantity]]*24*365/1000000000</f>
        <v>1.4016000000000001E-2</v>
      </c>
      <c r="S3" s="8">
        <f>2*Table913[[#This Row],[Mean dist in km from CO]]/Table913[[#This Row],[Avg Travel Speed]]</f>
        <v>0</v>
      </c>
      <c r="T3" s="8">
        <f>Table913[[#This Row],[MTTR]]+Table913[[#This Row],[Twice Travel Time]]</f>
        <v>6</v>
      </c>
      <c r="U3" s="8">
        <v>1</v>
      </c>
      <c r="V3" s="8">
        <v>3.8</v>
      </c>
      <c r="W3" s="8">
        <f>Table913[[#This Row],[Failures per year]]*Table913[[#This Row],[Total Time to Repair(h)]]*Table913[[#This Row],[No. Of technicians]]*Table913[[#This Row],[Cost per hour]]</f>
        <v>0.31956479999999998</v>
      </c>
    </row>
    <row r="4" spans="1:23" x14ac:dyDescent="0.25">
      <c r="A4" s="8" t="s">
        <v>3</v>
      </c>
      <c r="B4" s="8" t="s">
        <v>6</v>
      </c>
      <c r="C4" s="8">
        <v>0.1</v>
      </c>
      <c r="D4" s="26">
        <v>3200</v>
      </c>
      <c r="E4" s="8">
        <v>0</v>
      </c>
      <c r="F4" s="8">
        <f>Table913[[#This Row],[Floor Space per component]]*Table913[[#This Row],[Quantity]]</f>
        <v>0</v>
      </c>
      <c r="G4" s="8">
        <v>10.6</v>
      </c>
      <c r="H4" s="8">
        <f>Table913[[#This Row],[Total Floor Space]]*Table913[[#This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Table913[[#This Row],[Energy consumption in W]]*24*365/1000</f>
        <v>5256</v>
      </c>
      <c r="N4" s="8">
        <f t="shared" si="0"/>
        <v>6.1679999999999999E-3</v>
      </c>
      <c r="O4" s="8">
        <f>Table913[[#This Row],[Yearly Energy Consumption in kWh]]*Table913[[#This Row],[CU/kWh]]</f>
        <v>32.419007999999998</v>
      </c>
      <c r="P4" s="8">
        <v>0</v>
      </c>
      <c r="Q4" s="8">
        <v>20</v>
      </c>
      <c r="R4" s="8">
        <f>Table913[[#This Row],[FIT]]*Table913[[#This Row],[Quantity]]*24*365/1000000000</f>
        <v>0</v>
      </c>
      <c r="S4" s="8">
        <f>2*Table913[[#This Row],[Mean dist in km from CO]]/Table913[[#This Row],[Avg Travel Speed]]</f>
        <v>0</v>
      </c>
      <c r="T4" s="8">
        <f>Table913[[#This Row],[MTTR]]+Table913[[#This Row],[Twice Travel Time]]</f>
        <v>0</v>
      </c>
      <c r="U4" s="8">
        <v>1</v>
      </c>
      <c r="V4" s="8">
        <v>3.8</v>
      </c>
      <c r="W4" s="8">
        <f>Table913[[#This Row],[Failures per year]]*Table913[[#This Row],[Total Time to Repair(h)]]*Table913[[#This Row],[No. Of technicians]]*Table913[[#This Row],[Cost per hour]]</f>
        <v>0</v>
      </c>
    </row>
    <row r="5" spans="1:23" x14ac:dyDescent="0.25">
      <c r="A5" s="8" t="s">
        <v>3</v>
      </c>
      <c r="B5" s="8" t="s">
        <v>77</v>
      </c>
      <c r="C5" s="8">
        <v>400</v>
      </c>
      <c r="D5" s="26">
        <v>1</v>
      </c>
      <c r="E5" s="8">
        <v>20</v>
      </c>
      <c r="F5" s="8">
        <f>Table913[[#This Row],[Floor Space per component]]*Table913[[#This Row],[Quantity]]</f>
        <v>20</v>
      </c>
      <c r="G5" s="8">
        <v>10.6</v>
      </c>
      <c r="H5" s="8">
        <f>Table913[[#This Row],[Total Floor Space]]*Table913[[#This Row],[Rent per sqm per year]]</f>
        <v>212</v>
      </c>
      <c r="I5" s="8">
        <f>24*Table913[[#This Row],[Quantity]]</f>
        <v>24</v>
      </c>
      <c r="J5" s="8">
        <v>0</v>
      </c>
      <c r="K5" s="8">
        <v>0</v>
      </c>
      <c r="L5" s="8">
        <v>0</v>
      </c>
      <c r="M5" s="8">
        <f>Table913[[#This Row],[Energy consumption in W]]*24*365/1000</f>
        <v>0</v>
      </c>
      <c r="N5" s="8">
        <f t="shared" si="0"/>
        <v>6.1679999999999999E-3</v>
      </c>
      <c r="O5" s="8">
        <f>Table913[[#This Row],[Yearly Energy Consumption in kWh]]*Table913[[#This Row],[CU/kWh]]</f>
        <v>0</v>
      </c>
      <c r="P5" s="8">
        <v>0</v>
      </c>
      <c r="Q5" s="8">
        <v>20</v>
      </c>
      <c r="R5" s="8">
        <f>Table913[[#This Row],[FIT]]*Table913[[#This Row],[Quantity]]*24*365/1000000000</f>
        <v>0</v>
      </c>
      <c r="S5" s="8">
        <f>2*Table913[[#This Row],[Mean dist in km from CO]]/Table913[[#This Row],[Avg Travel Speed]]</f>
        <v>0</v>
      </c>
      <c r="T5" s="8">
        <f>Table913[[#This Row],[MTTR]]+Table913[[#This Row],[Twice Travel Time]]</f>
        <v>0</v>
      </c>
      <c r="U5" s="8">
        <v>1</v>
      </c>
      <c r="V5" s="8">
        <v>3.8</v>
      </c>
      <c r="W5" s="8">
        <f>Table913[[#This Row],[Failures per year]]*Table913[[#This Row],[Total Time to Repair(h)]]*Table913[[#This Row],[No. Of technicians]]*Table913[[#This Row],[Cost per hour]]</f>
        <v>0</v>
      </c>
    </row>
    <row r="6" spans="1:23" x14ac:dyDescent="0.25">
      <c r="A6" s="8" t="s">
        <v>8</v>
      </c>
      <c r="B6" s="8" t="s">
        <v>78</v>
      </c>
      <c r="C6" s="8">
        <v>24</v>
      </c>
      <c r="D6" s="26">
        <v>8</v>
      </c>
      <c r="E6" s="8">
        <v>0</v>
      </c>
      <c r="F6" s="8">
        <f>Table913[[#This Row],[Floor Space per component]]*Table913[[#This Row],[Quantity]]</f>
        <v>0</v>
      </c>
      <c r="G6" s="8">
        <v>10.6</v>
      </c>
      <c r="H6" s="8">
        <f>Table913[[#This Row],[Total Floor Space]]*Table913[[#This Row],[Rent per sqm per year]]</f>
        <v>0</v>
      </c>
      <c r="I6" s="8">
        <f>1/6*Table913[[#This Row],[Quantity]]</f>
        <v>1.3333333333333333</v>
      </c>
      <c r="J6" s="8">
        <v>6</v>
      </c>
      <c r="K6" s="8">
        <v>50</v>
      </c>
      <c r="L6" s="8">
        <v>0</v>
      </c>
      <c r="M6" s="8">
        <f>Table913[[#This Row],[Energy consumption in W]]*24*365/1000</f>
        <v>0</v>
      </c>
      <c r="N6" s="8">
        <f t="shared" si="0"/>
        <v>6.1679999999999999E-3</v>
      </c>
      <c r="O6" s="8">
        <f>Table913[[#This Row],[Yearly Energy Consumption in kWh]]*Table913[[#This Row],[CU/kWh]]</f>
        <v>0</v>
      </c>
      <c r="P6" s="8">
        <v>1</v>
      </c>
      <c r="Q6" s="8">
        <v>20</v>
      </c>
      <c r="R6" s="8">
        <f>Table913[[#This Row],[FIT]]*Table913[[#This Row],[Quantity]]*24*365/1000000000</f>
        <v>3.5040000000000002E-3</v>
      </c>
      <c r="S6" s="8">
        <f>2*Table913[[#This Row],[Mean dist in km from CO]]/Table913[[#This Row],[Avg Travel Speed]]</f>
        <v>0.1</v>
      </c>
      <c r="T6" s="8">
        <f>Table913[[#This Row],[MTTR]]+Table913[[#This Row],[Twice Travel Time]]</f>
        <v>6.1</v>
      </c>
      <c r="U6" s="8">
        <v>1</v>
      </c>
      <c r="V6" s="8">
        <v>3.8</v>
      </c>
      <c r="W6" s="8">
        <f>Table913[[#This Row],[Failures per year]]*Table913[[#This Row],[Total Time to Repair(h)]]*Table913[[#This Row],[No. Of technicians]]*Table913[[#This Row],[Cost per hour]]</f>
        <v>8.1222719999999984E-2</v>
      </c>
    </row>
    <row r="7" spans="1:23" x14ac:dyDescent="0.25">
      <c r="A7" s="8" t="s">
        <v>10</v>
      </c>
      <c r="B7" s="8" t="s">
        <v>87</v>
      </c>
      <c r="C7" s="8">
        <v>112</v>
      </c>
      <c r="D7" s="26">
        <v>610</v>
      </c>
      <c r="E7" s="8">
        <v>1</v>
      </c>
      <c r="F7" s="8">
        <f>Table913[[#This Row],[Floor Space per component]]*Table913[[#This Row],[Quantity]]</f>
        <v>610</v>
      </c>
      <c r="G7" s="8">
        <v>10.6</v>
      </c>
      <c r="H7" s="8">
        <f>Table913[[#This Row],[Total Floor Space]]*Table913[[#This Row],[Rent per sqm per year]]</f>
        <v>6466</v>
      </c>
      <c r="I7" s="8">
        <f>(0.5+1/6*4)*Table913[[#This Row],[Quantity]]</f>
        <v>711.66666666666663</v>
      </c>
      <c r="J7" s="8">
        <v>24</v>
      </c>
      <c r="K7" s="8">
        <v>5000</v>
      </c>
      <c r="L7" s="8">
        <f>50*Table913[[#This Row],[Quantity]]</f>
        <v>30500</v>
      </c>
      <c r="M7" s="8">
        <f>Table913[[#This Row],[Energy consumption in W]]*24*365/1000</f>
        <v>267180</v>
      </c>
      <c r="N7" s="8">
        <f t="shared" si="0"/>
        <v>6.1679999999999999E-3</v>
      </c>
      <c r="O7" s="8">
        <f>Table913[[#This Row],[Yearly Energy Consumption in kWh]]*Table913[[#This Row],[CU/kWh]]</f>
        <v>1647.96624</v>
      </c>
      <c r="P7" s="8">
        <v>1.5</v>
      </c>
      <c r="Q7" s="8">
        <v>20</v>
      </c>
      <c r="R7" s="8">
        <f>Table913[[#This Row],[FIT]]*Table913[[#This Row],[Quantity]]*24*365/1000000000</f>
        <v>26.718</v>
      </c>
      <c r="S7" s="8">
        <f>2*Table913[[#This Row],[Mean dist in km from CO]]/Table913[[#This Row],[Avg Travel Speed]]</f>
        <v>0.15</v>
      </c>
      <c r="T7" s="8">
        <f>Table913[[#This Row],[MTTR]]+Table913[[#This Row],[Twice Travel Time]]</f>
        <v>24.15</v>
      </c>
      <c r="U7" s="8">
        <v>1</v>
      </c>
      <c r="V7" s="8">
        <v>3.8</v>
      </c>
      <c r="W7" s="8">
        <f>Table913[[#This Row],[Failures per year]]*Table913[[#This Row],[Total Time to Repair(h)]]*Table913[[#This Row],[No. Of technicians]]*Table913[[#This Row],[Cost per hour]]</f>
        <v>2451.91086</v>
      </c>
    </row>
    <row r="8" spans="1:23" x14ac:dyDescent="0.25">
      <c r="A8" s="8" t="s">
        <v>10</v>
      </c>
      <c r="B8" s="8" t="s">
        <v>88</v>
      </c>
      <c r="C8" s="8">
        <v>3.1</v>
      </c>
      <c r="D8" s="26">
        <f>610*4</f>
        <v>2440</v>
      </c>
      <c r="E8" s="8">
        <v>0</v>
      </c>
      <c r="F8" s="8">
        <f>Table913[[#This Row],[Floor Space per component]]*Table913[[#This Row],[Quantity]]</f>
        <v>0</v>
      </c>
      <c r="G8" s="8">
        <v>10.6</v>
      </c>
      <c r="H8" s="8">
        <f>Table913[[#This Row],[Total Floor Space]]*Table913[[#This Row],[Rent per sqm per year]]</f>
        <v>0</v>
      </c>
      <c r="I8" s="8">
        <f>(0.5)*Table913[[#This Row],[Quantity]]</f>
        <v>1220</v>
      </c>
      <c r="J8" s="8">
        <v>6</v>
      </c>
      <c r="K8" s="8">
        <v>256</v>
      </c>
      <c r="L8" s="8">
        <f>5.5*Table913[[#This Row],[Quantity]]</f>
        <v>13420</v>
      </c>
      <c r="M8" s="8">
        <f>Table913[[#This Row],[Energy consumption in W]]*24*365/1000</f>
        <v>117559.2</v>
      </c>
      <c r="N8" s="8">
        <f t="shared" si="0"/>
        <v>6.1679999999999999E-3</v>
      </c>
      <c r="O8" s="8">
        <f>Table913[[#This Row],[Yearly Energy Consumption in kWh]]*Table913[[#This Row],[CU/kWh]]</f>
        <v>725.10514560000001</v>
      </c>
      <c r="P8" s="8">
        <v>1.5</v>
      </c>
      <c r="Q8" s="8">
        <v>20</v>
      </c>
      <c r="R8" s="8">
        <f>Table913[[#This Row],[FIT]]*Table913[[#This Row],[Quantity]]*24*365/1000000000</f>
        <v>5.4718464000000004</v>
      </c>
      <c r="S8" s="8">
        <f>2*Table913[[#This Row],[Mean dist in km from CO]]/Table913[[#This Row],[Avg Travel Speed]]</f>
        <v>0.15</v>
      </c>
      <c r="T8" s="8">
        <f>Table913[[#This Row],[MTTR]]+Table913[[#This Row],[Twice Travel Time]]</f>
        <v>6.15</v>
      </c>
      <c r="U8" s="8">
        <v>1</v>
      </c>
      <c r="V8" s="8">
        <v>3.8</v>
      </c>
      <c r="W8" s="8">
        <f>Table913[[#This Row],[Failures per year]]*Table913[[#This Row],[Total Time to Repair(h)]]*Table913[[#This Row],[No. Of technicians]]*Table913[[#This Row],[Cost per hour]]</f>
        <v>127.87705036800001</v>
      </c>
    </row>
    <row r="9" spans="1:23" x14ac:dyDescent="0.25">
      <c r="A9" s="8" t="s">
        <v>10</v>
      </c>
      <c r="B9" s="8" t="s">
        <v>89</v>
      </c>
      <c r="C9" s="8">
        <v>12</v>
      </c>
      <c r="D9" s="26">
        <f>610*4</f>
        <v>2440</v>
      </c>
      <c r="E9" s="8">
        <v>1</v>
      </c>
      <c r="F9" s="8">
        <f>Table913[[#This Row],[Floor Space per component]]*Table913[[#This Row],[Quantity]]</f>
        <v>2440</v>
      </c>
      <c r="G9" s="8">
        <v>2</v>
      </c>
      <c r="H9" s="8">
        <f>Table913[[#This Row],[Total Floor Space]]*Table913[[#This Row],[Rent per sqm per year]]</f>
        <v>4880</v>
      </c>
      <c r="I9" s="8">
        <f>(0.5+1/6*16)*Table913[[#This Row],[Quantity]]</f>
        <v>7726.6666666666661</v>
      </c>
      <c r="J9" s="8">
        <v>24</v>
      </c>
      <c r="K9" s="8">
        <v>5000</v>
      </c>
      <c r="L9" s="8">
        <f>50*Table913[[#This Row],[Quantity]]</f>
        <v>122000</v>
      </c>
      <c r="M9" s="8">
        <f>Table913[[#This Row],[Energy consumption in W]]*24*365/1000</f>
        <v>1068720</v>
      </c>
      <c r="N9" s="8">
        <f t="shared" si="0"/>
        <v>6.1679999999999999E-3</v>
      </c>
      <c r="O9" s="8">
        <f>Table913[[#This Row],[Yearly Energy Consumption in kWh]]*Table913[[#This Row],[CU/kWh]]</f>
        <v>6591.8649599999999</v>
      </c>
      <c r="P9" s="8">
        <v>2</v>
      </c>
      <c r="Q9" s="8">
        <v>20</v>
      </c>
      <c r="R9" s="8">
        <f>Table913[[#This Row],[FIT]]*Table913[[#This Row],[Quantity]]*24*365/1000000000</f>
        <v>106.872</v>
      </c>
      <c r="S9" s="8">
        <f>2*Table913[[#This Row],[Mean dist in km from CO]]/Table913[[#This Row],[Avg Travel Speed]]</f>
        <v>0.2</v>
      </c>
      <c r="T9" s="8">
        <f>Table913[[#This Row],[MTTR]]+Table913[[#This Row],[Twice Travel Time]]</f>
        <v>24.2</v>
      </c>
      <c r="U9" s="8">
        <v>1</v>
      </c>
      <c r="V9" s="8">
        <v>3.8</v>
      </c>
      <c r="W9" s="8">
        <f>Table913[[#This Row],[Failures per year]]*Table913[[#This Row],[Total Time to Repair(h)]]*Table913[[#This Row],[No. Of technicians]]*Table913[[#This Row],[Cost per hour]]</f>
        <v>9827.9491199999993</v>
      </c>
    </row>
    <row r="10" spans="1:23" x14ac:dyDescent="0.25">
      <c r="A10" s="8" t="s">
        <v>90</v>
      </c>
      <c r="B10" s="8" t="s">
        <v>85</v>
      </c>
      <c r="C10" s="8">
        <v>0</v>
      </c>
      <c r="D10" s="26">
        <v>0</v>
      </c>
      <c r="E10" s="8">
        <v>0</v>
      </c>
      <c r="F10" s="8">
        <f>Table913[[#This Row],[Floor Space per component]]*Table913[[#This Row],[Quantity]]</f>
        <v>0</v>
      </c>
      <c r="G10" s="8">
        <v>4</v>
      </c>
      <c r="H10" s="8">
        <f>Table913[[#This Row],[Total Floor Space]]*Table913[[#This Row],[Rent per sqm per year]]</f>
        <v>0</v>
      </c>
      <c r="I10" s="8">
        <v>0</v>
      </c>
      <c r="J10" s="8">
        <v>0</v>
      </c>
      <c r="K10" s="8">
        <v>0</v>
      </c>
      <c r="L10" s="8">
        <v>0</v>
      </c>
      <c r="M10" s="8">
        <f>Table913[[#This Row],[Energy consumption in W]]*24*365/1000</f>
        <v>0</v>
      </c>
      <c r="N10" s="8">
        <f t="shared" si="0"/>
        <v>6.1679999999999999E-3</v>
      </c>
      <c r="O10" s="8">
        <f>Table913[[#This Row],[Yearly Energy Consumption in kWh]]*Table913[[#This Row],[CU/kWh]]</f>
        <v>0</v>
      </c>
      <c r="P10" s="8">
        <v>2</v>
      </c>
      <c r="Q10" s="8">
        <v>20</v>
      </c>
      <c r="R10" s="8">
        <f>Table913[[#This Row],[FIT]]*Table913[[#This Row],[Quantity]]*24*365/1000000000</f>
        <v>0</v>
      </c>
      <c r="S10" s="8">
        <f>2*Table913[[#This Row],[Mean dist in km from CO]]/Table913[[#This Row],[Avg Travel Speed]]</f>
        <v>0.2</v>
      </c>
      <c r="T10" s="8">
        <f>Table913[[#This Row],[MTTR]]+Table913[[#This Row],[Twice Travel Time]]</f>
        <v>0.2</v>
      </c>
      <c r="U10" s="8">
        <v>1</v>
      </c>
      <c r="V10" s="8">
        <v>3.8</v>
      </c>
      <c r="W10" s="8">
        <f>Table913[[#This Row],[Failures per year]]*Table913[[#This Row],[Total Time to Repair(h)]]*Table913[[#This Row],[No. Of technicians]]*Table913[[#This Row],[Cost per hour]]</f>
        <v>0</v>
      </c>
    </row>
    <row r="11" spans="1:23" x14ac:dyDescent="0.25">
      <c r="H11" s="8">
        <f>SUM(Table913[Total Rent cost per year])</f>
        <v>20377.2</v>
      </c>
      <c r="O11" s="8">
        <f>SUBTOTAL(109,Table913[Energy Cost per year in CU])</f>
        <v>9256.7074175999987</v>
      </c>
      <c r="W11" s="8">
        <f>SUBTOTAL(109,Table913[FM Cost])</f>
        <v>12416.318676767998</v>
      </c>
    </row>
    <row r="15" spans="1:23" x14ac:dyDescent="0.25">
      <c r="P15" s="8" t="s">
        <v>71</v>
      </c>
    </row>
    <row r="16" spans="1:23" x14ac:dyDescent="0.25">
      <c r="A16" s="8" t="s">
        <v>41</v>
      </c>
      <c r="B16" s="8" t="s">
        <v>65</v>
      </c>
      <c r="C16" s="8" t="s">
        <v>17</v>
      </c>
      <c r="D16" s="8" t="s">
        <v>16</v>
      </c>
      <c r="E16" s="8" t="s">
        <v>42</v>
      </c>
      <c r="F16" s="8" t="s">
        <v>30</v>
      </c>
      <c r="G16" s="8" t="s">
        <v>46</v>
      </c>
      <c r="H16" s="8" t="s">
        <v>49</v>
      </c>
      <c r="I16" s="8" t="s">
        <v>50</v>
      </c>
      <c r="J16" s="8" t="s">
        <v>52</v>
      </c>
      <c r="P16" s="8">
        <f>Table913[[#Totals],[Total Rent cost per year]]+Table913[[#Totals],[Energy Cost per year in CU]]+Table913[[#Totals],[FM Cost]]+J20</f>
        <v>42338.906036109183</v>
      </c>
    </row>
    <row r="17" spans="1:14" x14ac:dyDescent="0.25">
      <c r="A17" s="8" t="s">
        <v>43</v>
      </c>
      <c r="B17" s="8">
        <f>8635.15425010598/1000</f>
        <v>8.6351542501059786</v>
      </c>
      <c r="C17" s="8">
        <f>570*B17</f>
        <v>4922.0379225604074</v>
      </c>
      <c r="D17" s="8">
        <v>24</v>
      </c>
      <c r="E17" s="8">
        <v>1</v>
      </c>
      <c r="F17" s="8">
        <v>3.8</v>
      </c>
      <c r="G17" s="8">
        <v>1</v>
      </c>
      <c r="H17" s="8">
        <f>G17/20</f>
        <v>0.05</v>
      </c>
      <c r="I17" s="8">
        <f>D17+H17</f>
        <v>24.05</v>
      </c>
      <c r="J17" s="8">
        <f>C17*E17*F17*I17*24*365/1000000000</f>
        <v>3.9404674007068903</v>
      </c>
      <c r="M17" s="8" t="s">
        <v>99</v>
      </c>
      <c r="N17" s="8" t="s">
        <v>68</v>
      </c>
    </row>
    <row r="18" spans="1:14" x14ac:dyDescent="0.25">
      <c r="A18" s="8" t="s">
        <v>44</v>
      </c>
      <c r="B18" s="8">
        <f>233483.637737831/1000</f>
        <v>233.483637737831</v>
      </c>
      <c r="C18" s="8">
        <f t="shared" ref="C18:C19" si="1">570*B18</f>
        <v>133085.67351056368</v>
      </c>
      <c r="D18" s="8">
        <v>24</v>
      </c>
      <c r="E18" s="8">
        <v>1</v>
      </c>
      <c r="F18" s="8">
        <v>3.8</v>
      </c>
      <c r="G18" s="8">
        <v>2</v>
      </c>
      <c r="H18" s="8">
        <f t="shared" ref="H18:H19" si="2">G18/20</f>
        <v>0.1</v>
      </c>
      <c r="I18" s="8">
        <f t="shared" ref="I18:I19" si="3">D18+H18</f>
        <v>24.1</v>
      </c>
      <c r="J18" s="8">
        <f t="shared" ref="J18:J19" si="4">C18*E18*F18*I18*24*365/1000000000</f>
        <v>106.76675718565343</v>
      </c>
      <c r="M18" s="8" t="s">
        <v>94</v>
      </c>
      <c r="N18" s="8">
        <f>Table913[[#Totals],[Total Rent cost per year]]</f>
        <v>20377.2</v>
      </c>
    </row>
    <row r="19" spans="1:14" x14ac:dyDescent="0.25">
      <c r="A19" s="8" t="s">
        <v>64</v>
      </c>
      <c r="B19" s="8">
        <f>387592.626526276/1000</f>
        <v>387.59262652627598</v>
      </c>
      <c r="C19" s="8">
        <f t="shared" si="1"/>
        <v>220927.7971199773</v>
      </c>
      <c r="D19" s="8">
        <v>24</v>
      </c>
      <c r="E19" s="8">
        <v>1</v>
      </c>
      <c r="F19" s="8">
        <v>3.8</v>
      </c>
      <c r="G19" s="8">
        <v>4</v>
      </c>
      <c r="H19" s="8">
        <f t="shared" si="2"/>
        <v>0.2</v>
      </c>
      <c r="I19" s="8">
        <f t="shared" si="3"/>
        <v>24.2</v>
      </c>
      <c r="J19" s="8">
        <f t="shared" si="4"/>
        <v>177.97271715482123</v>
      </c>
      <c r="M19" s="8" t="s">
        <v>95</v>
      </c>
      <c r="N19" s="8">
        <f>Table913[[#Totals],[Energy Cost per year in CU]]</f>
        <v>9256.7074175999987</v>
      </c>
    </row>
    <row r="20" spans="1:14" x14ac:dyDescent="0.25">
      <c r="J20" s="8">
        <f>SUM(J17:J19)</f>
        <v>288.67994174118155</v>
      </c>
      <c r="M20" s="8" t="s">
        <v>96</v>
      </c>
      <c r="N20" s="8">
        <f>Table913[[#Totals],[FM Cost]]+J20</f>
        <v>12704.99861850918</v>
      </c>
    </row>
    <row r="21" spans="1:14" x14ac:dyDescent="0.25">
      <c r="M21" s="8" t="s">
        <v>97</v>
      </c>
      <c r="N21" s="8">
        <f>0.05*SUM(N18:N20)</f>
        <v>2116.9453018054592</v>
      </c>
    </row>
    <row r="22" spans="1:14" x14ac:dyDescent="0.25">
      <c r="M22" s="8" t="s">
        <v>98</v>
      </c>
      <c r="N22" s="8">
        <f>0.07*SUM(N18:N20)</f>
        <v>2963.7234225276429</v>
      </c>
    </row>
    <row r="23" spans="1:14" x14ac:dyDescent="0.25">
      <c r="N23" s="8">
        <f>SUM(Table14161718192021[Cost])</f>
        <v>47419.574760442287</v>
      </c>
    </row>
    <row r="29" spans="1:14" x14ac:dyDescent="0.25">
      <c r="B29" s="9"/>
      <c r="C29" s="9"/>
      <c r="D29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4" workbookViewId="0">
      <selection activeCell="M20" sqref="M20:M24"/>
    </sheetView>
  </sheetViews>
  <sheetFormatPr defaultColWidth="8.85546875" defaultRowHeight="15" x14ac:dyDescent="0.25"/>
  <cols>
    <col min="1" max="1" width="22.140625" style="8" customWidth="1"/>
    <col min="2" max="2" width="26.28515625" style="8" customWidth="1"/>
    <col min="3" max="3" width="20.140625" style="8" customWidth="1"/>
    <col min="4" max="4" width="18.42578125" style="8" customWidth="1"/>
    <col min="5" max="5" width="26" style="8" customWidth="1"/>
    <col min="6" max="6" width="20" style="8" customWidth="1"/>
    <col min="7" max="7" width="21.28515625" style="8" customWidth="1"/>
    <col min="8" max="8" width="22.7109375" style="8" customWidth="1"/>
    <col min="9" max="9" width="24" style="8" customWidth="1"/>
    <col min="10" max="10" width="15.28515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3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s="16" t="s">
        <v>3</v>
      </c>
      <c r="B2" s="17" t="s">
        <v>60</v>
      </c>
      <c r="C2" s="18">
        <v>80</v>
      </c>
      <c r="D2" s="26">
        <v>160</v>
      </c>
      <c r="E2" s="8">
        <v>5</v>
      </c>
      <c r="F2" s="8">
        <f>E2*D2</f>
        <v>800</v>
      </c>
      <c r="G2" s="8">
        <v>10.6</v>
      </c>
      <c r="H2" s="8">
        <f>Table1014[[#This Row],[Total Floor Space]]*Table1014[[#This Row],[Rent per sqm per year]]</f>
        <v>8480</v>
      </c>
      <c r="I2" s="8">
        <f>(0.5+1/6*6)*Table1014[[#This Row],[Quantity]]</f>
        <v>240</v>
      </c>
      <c r="J2" s="8">
        <v>6</v>
      </c>
      <c r="K2" s="8">
        <v>256</v>
      </c>
      <c r="L2" s="8">
        <f>0.5*10*6*Table1014[[#This Row],[Quantity]]</f>
        <v>4800</v>
      </c>
      <c r="M2" s="8">
        <f>Table1014[[#This Row],[Energy consumption in W]]*24*365/1000</f>
        <v>42048</v>
      </c>
      <c r="N2" s="8">
        <f>0.3084/50</f>
        <v>6.1679999999999999E-3</v>
      </c>
      <c r="O2" s="8">
        <f>Table1014[[#This Row],[Yearly Energy Consumption in kWh]]*Table1014[[#This Row],[CU/kWh]]</f>
        <v>259.35206399999998</v>
      </c>
      <c r="P2" s="8">
        <v>0</v>
      </c>
      <c r="Q2" s="8">
        <v>20</v>
      </c>
      <c r="R2" s="8">
        <f>Table1014[[#This Row],[FIT]]*Table1014[[#This Row],[Quantity]]*24*365/1000000000</f>
        <v>0.35880960000000001</v>
      </c>
      <c r="S2" s="8">
        <f>2*Table1014[[#This Row],[Mean dist in km from CO]]/Table1014[[#This Row],[Avg Travel Speed]]</f>
        <v>0</v>
      </c>
      <c r="T2" s="8">
        <f>Table1014[[#This Row],[MTTR]]+Table1014[[#This Row],[Twice Travel Time]]</f>
        <v>6</v>
      </c>
      <c r="U2" s="8">
        <v>1</v>
      </c>
      <c r="V2" s="8">
        <v>3.8</v>
      </c>
      <c r="W2" s="8">
        <f>Table1014[[#This Row],[Failures per year]]*Table1014[[#This Row],[Total Time to Repair(h)]]*Table1014[[#This Row],[No. Of technicians]]*Table1014[[#This Row],[Cost per hour]]</f>
        <v>8.1808588799999988</v>
      </c>
    </row>
    <row r="3" spans="1:23" x14ac:dyDescent="0.25">
      <c r="A3" s="19" t="s">
        <v>3</v>
      </c>
      <c r="B3" s="20" t="s">
        <v>86</v>
      </c>
      <c r="C3" s="21">
        <v>40</v>
      </c>
      <c r="D3" s="26">
        <v>16</v>
      </c>
      <c r="E3" s="8">
        <v>0</v>
      </c>
      <c r="F3" s="8">
        <f t="shared" ref="F3:F9" si="0">E3*D3</f>
        <v>0</v>
      </c>
      <c r="G3" s="8">
        <v>10.6</v>
      </c>
      <c r="H3" s="8">
        <f>Table1014[[#This Row],[Total Floor Space]]*Table1014[[#This Row],[Rent per sqm per year]]</f>
        <v>0</v>
      </c>
      <c r="I3" s="8">
        <f>1/6*Table1014[[#This Row],[Quantity]]</f>
        <v>2.6666666666666665</v>
      </c>
      <c r="J3" s="8">
        <v>6</v>
      </c>
      <c r="K3" s="8">
        <v>50</v>
      </c>
      <c r="L3" s="8">
        <f>100*Table1014[[#This Row],[Quantity]]</f>
        <v>1600</v>
      </c>
      <c r="M3" s="8">
        <f>Table1014[[#This Row],[Energy consumption in W]]*24*365/1000</f>
        <v>14016</v>
      </c>
      <c r="N3" s="8">
        <f t="shared" ref="N3:N9" si="1">0.3084/50</f>
        <v>6.1679999999999999E-3</v>
      </c>
      <c r="O3" s="8">
        <f>Table1014[[#This Row],[Yearly Energy Consumption in kWh]]*Table1014[[#This Row],[CU/kWh]]</f>
        <v>86.450688</v>
      </c>
      <c r="P3" s="8">
        <v>0</v>
      </c>
      <c r="Q3" s="8">
        <v>20</v>
      </c>
      <c r="R3" s="8">
        <f>Table1014[[#This Row],[FIT]]*Table1014[[#This Row],[Quantity]]*24*365/1000000000</f>
        <v>7.0080000000000003E-3</v>
      </c>
      <c r="S3" s="8">
        <f>2*Table1014[[#This Row],[Mean dist in km from CO]]/Table1014[[#This Row],[Avg Travel Speed]]</f>
        <v>0</v>
      </c>
      <c r="T3" s="8">
        <f>Table1014[[#This Row],[MTTR]]+Table1014[[#This Row],[Twice Travel Time]]</f>
        <v>6</v>
      </c>
      <c r="U3" s="8">
        <v>1</v>
      </c>
      <c r="V3" s="8">
        <v>3.8</v>
      </c>
      <c r="W3" s="8">
        <f>Table1014[[#This Row],[Failures per year]]*Table1014[[#This Row],[Total Time to Repair(h)]]*Table1014[[#This Row],[No. Of technicians]]*Table1014[[#This Row],[Cost per hour]]</f>
        <v>0.15978239999999999</v>
      </c>
    </row>
    <row r="4" spans="1:23" x14ac:dyDescent="0.25">
      <c r="A4" s="16" t="s">
        <v>3</v>
      </c>
      <c r="B4" s="17" t="s">
        <v>6</v>
      </c>
      <c r="C4" s="18">
        <f>0.1</f>
        <v>0.1</v>
      </c>
      <c r="D4" s="26">
        <v>3200</v>
      </c>
      <c r="E4" s="8">
        <v>0</v>
      </c>
      <c r="F4" s="8">
        <f t="shared" si="0"/>
        <v>0</v>
      </c>
      <c r="G4" s="8">
        <v>10.6</v>
      </c>
      <c r="H4" s="8">
        <f>Table1014[[#This Row],[Total Floor Space]]*Table1014[[#This Row],[Rent per sqm per year]]</f>
        <v>0</v>
      </c>
      <c r="I4" s="8">
        <v>0</v>
      </c>
      <c r="J4" s="8">
        <v>0</v>
      </c>
      <c r="K4" s="8">
        <v>0</v>
      </c>
      <c r="L4" s="8">
        <f>600*1</f>
        <v>600</v>
      </c>
      <c r="M4" s="8">
        <f>Table1014[[#This Row],[Energy consumption in W]]*24*365/1000</f>
        <v>5256</v>
      </c>
      <c r="N4" s="8">
        <f t="shared" si="1"/>
        <v>6.1679999999999999E-3</v>
      </c>
      <c r="O4" s="8">
        <f>Table1014[[#This Row],[Yearly Energy Consumption in kWh]]*Table1014[[#This Row],[CU/kWh]]</f>
        <v>32.419007999999998</v>
      </c>
      <c r="P4" s="8">
        <v>0</v>
      </c>
      <c r="Q4" s="8">
        <v>20</v>
      </c>
      <c r="R4" s="8">
        <f>Table1014[[#This Row],[FIT]]*Table1014[[#This Row],[Quantity]]*24*365/1000000000</f>
        <v>0</v>
      </c>
      <c r="S4" s="8">
        <f>2*Table1014[[#This Row],[Mean dist in km from CO]]/Table1014[[#This Row],[Avg Travel Speed]]</f>
        <v>0</v>
      </c>
      <c r="T4" s="8">
        <f>Table1014[[#This Row],[MTTR]]+Table1014[[#This Row],[Twice Travel Time]]</f>
        <v>0</v>
      </c>
      <c r="U4" s="8">
        <v>1</v>
      </c>
      <c r="V4" s="8">
        <v>3.8</v>
      </c>
      <c r="W4" s="8">
        <f>Table1014[[#This Row],[Failures per year]]*Table1014[[#This Row],[Total Time to Repair(h)]]*Table1014[[#This Row],[No. Of technicians]]*Table1014[[#This Row],[Cost per hour]]</f>
        <v>0</v>
      </c>
    </row>
    <row r="5" spans="1:23" x14ac:dyDescent="0.25">
      <c r="A5" s="19" t="s">
        <v>3</v>
      </c>
      <c r="B5" s="20" t="s">
        <v>77</v>
      </c>
      <c r="C5" s="21">
        <v>400</v>
      </c>
      <c r="D5" s="26">
        <v>1</v>
      </c>
      <c r="E5" s="8">
        <v>0</v>
      </c>
      <c r="F5" s="8">
        <f t="shared" si="0"/>
        <v>0</v>
      </c>
      <c r="G5" s="8">
        <v>10.6</v>
      </c>
      <c r="H5" s="8">
        <f>Table1014[[#This Row],[Total Floor Space]]*Table1014[[#This Row],[Rent per sqm per year]]</f>
        <v>0</v>
      </c>
      <c r="I5" s="8">
        <v>0</v>
      </c>
      <c r="J5" s="8">
        <v>0</v>
      </c>
      <c r="K5" s="8">
        <v>0</v>
      </c>
      <c r="L5" s="8">
        <v>0</v>
      </c>
      <c r="M5" s="8">
        <f>Table1014[[#This Row],[Energy consumption in W]]*24*365/1000</f>
        <v>0</v>
      </c>
      <c r="N5" s="8">
        <f t="shared" si="1"/>
        <v>6.1679999999999999E-3</v>
      </c>
      <c r="O5" s="8">
        <f>Table1014[[#This Row],[Yearly Energy Consumption in kWh]]*Table1014[[#This Row],[CU/kWh]]</f>
        <v>0</v>
      </c>
      <c r="P5" s="8">
        <v>0</v>
      </c>
      <c r="Q5" s="8">
        <v>20</v>
      </c>
      <c r="R5" s="8">
        <f>Table1014[[#This Row],[FIT]]*Table1014[[#This Row],[Quantity]]*24*365/1000000000</f>
        <v>0</v>
      </c>
      <c r="S5" s="8">
        <f>2*Table1014[[#This Row],[Mean dist in km from CO]]/Table1014[[#This Row],[Avg Travel Speed]]</f>
        <v>0</v>
      </c>
      <c r="T5" s="8">
        <f>Table1014[[#This Row],[MTTR]]+Table1014[[#This Row],[Twice Travel Time]]</f>
        <v>0</v>
      </c>
      <c r="U5" s="8">
        <v>1</v>
      </c>
      <c r="V5" s="8">
        <v>3.8</v>
      </c>
      <c r="W5" s="8">
        <f>Table1014[[#This Row],[Failures per year]]*Table1014[[#This Row],[Total Time to Repair(h)]]*Table1014[[#This Row],[No. Of technicians]]*Table1014[[#This Row],[Cost per hour]]</f>
        <v>0</v>
      </c>
    </row>
    <row r="6" spans="1:23" x14ac:dyDescent="0.25">
      <c r="A6" s="16" t="s">
        <v>8</v>
      </c>
      <c r="B6" s="17" t="s">
        <v>78</v>
      </c>
      <c r="C6" s="18">
        <f>80*0.3</f>
        <v>24</v>
      </c>
      <c r="D6" s="26">
        <v>8</v>
      </c>
      <c r="E6" s="8">
        <v>0</v>
      </c>
      <c r="F6" s="8">
        <f t="shared" si="0"/>
        <v>0</v>
      </c>
      <c r="G6" s="8">
        <v>10.6</v>
      </c>
      <c r="H6" s="8">
        <f>Table1014[[#This Row],[Total Floor Space]]*Table1014[[#This Row],[Rent per sqm per year]]</f>
        <v>0</v>
      </c>
      <c r="I6" s="8">
        <f>1/6*Table1014[[#This Row],[Quantity]]</f>
        <v>1.3333333333333333</v>
      </c>
      <c r="J6" s="8">
        <v>6</v>
      </c>
      <c r="K6" s="8">
        <v>50</v>
      </c>
      <c r="L6" s="8">
        <v>0</v>
      </c>
      <c r="M6" s="8">
        <f>Table1014[[#This Row],[Energy consumption in W]]*24*365/1000</f>
        <v>0</v>
      </c>
      <c r="N6" s="8">
        <f t="shared" si="1"/>
        <v>6.1679999999999999E-3</v>
      </c>
      <c r="O6" s="8">
        <f>Table1014[[#This Row],[Yearly Energy Consumption in kWh]]*Table1014[[#This Row],[CU/kWh]]</f>
        <v>0</v>
      </c>
      <c r="P6" s="8">
        <v>1</v>
      </c>
      <c r="Q6" s="8">
        <v>20</v>
      </c>
      <c r="R6" s="8">
        <f>Table1014[[#This Row],[FIT]]*Table1014[[#This Row],[Quantity]]*24*365/1000000000</f>
        <v>3.5040000000000002E-3</v>
      </c>
      <c r="S6" s="8">
        <f>2*Table1014[[#This Row],[Mean dist in km from CO]]/Table1014[[#This Row],[Avg Travel Speed]]</f>
        <v>0.1</v>
      </c>
      <c r="T6" s="8">
        <f>Table1014[[#This Row],[MTTR]]+Table1014[[#This Row],[Twice Travel Time]]</f>
        <v>6.1</v>
      </c>
      <c r="U6" s="8">
        <v>1</v>
      </c>
      <c r="V6" s="8">
        <v>3.8</v>
      </c>
      <c r="W6" s="8">
        <f>Table1014[[#This Row],[Failures per year]]*Table1014[[#This Row],[Total Time to Repair(h)]]*Table1014[[#This Row],[No. Of technicians]]*Table1014[[#This Row],[Cost per hour]]</f>
        <v>8.1222719999999984E-2</v>
      </c>
    </row>
    <row r="7" spans="1:23" x14ac:dyDescent="0.25">
      <c r="A7" s="19" t="s">
        <v>10</v>
      </c>
      <c r="B7" s="20" t="s">
        <v>91</v>
      </c>
      <c r="C7" s="21">
        <v>0.9</v>
      </c>
      <c r="D7" s="26">
        <v>305</v>
      </c>
      <c r="E7" s="8">
        <v>0</v>
      </c>
      <c r="F7" s="8">
        <f t="shared" si="0"/>
        <v>0</v>
      </c>
      <c r="G7" s="8">
        <v>10.6</v>
      </c>
      <c r="H7" s="8">
        <f>Table1014[[#This Row],[Total Floor Space]]*Table1014[[#This Row],[Rent per sqm per year]]</f>
        <v>0</v>
      </c>
      <c r="I7" s="8">
        <f>0.5*Table1014[[#This Row],[Quantity]]</f>
        <v>152.5</v>
      </c>
      <c r="J7" s="8">
        <v>6</v>
      </c>
      <c r="K7" s="8">
        <v>50</v>
      </c>
      <c r="L7" s="8">
        <v>0</v>
      </c>
      <c r="M7" s="8">
        <f>Table1014[[#This Row],[Energy consumption in W]]*24*365/1000</f>
        <v>0</v>
      </c>
      <c r="N7" s="8">
        <f t="shared" si="1"/>
        <v>6.1679999999999999E-3</v>
      </c>
      <c r="O7" s="8">
        <f>Table1014[[#This Row],[Yearly Energy Consumption in kWh]]*Table1014[[#This Row],[CU/kWh]]</f>
        <v>0</v>
      </c>
      <c r="P7" s="8">
        <v>2</v>
      </c>
      <c r="Q7" s="8">
        <v>20</v>
      </c>
      <c r="R7" s="8">
        <f>Table1014[[#This Row],[FIT]]*Table1014[[#This Row],[Quantity]]*24*365/1000000000</f>
        <v>0.13358999999999999</v>
      </c>
      <c r="S7" s="8">
        <f>2*Table1014[[#This Row],[Mean dist in km from CO]]/Table1014[[#This Row],[Avg Travel Speed]]</f>
        <v>0.2</v>
      </c>
      <c r="T7" s="8">
        <f>Table1014[[#This Row],[MTTR]]+Table1014[[#This Row],[Twice Travel Time]]</f>
        <v>6.2</v>
      </c>
      <c r="U7" s="8">
        <v>1</v>
      </c>
      <c r="V7" s="8">
        <v>3.8</v>
      </c>
      <c r="W7" s="8">
        <f>Table1014[[#This Row],[Failures per year]]*Table1014[[#This Row],[Total Time to Repair(h)]]*Table1014[[#This Row],[No. Of technicians]]*Table1014[[#This Row],[Cost per hour]]</f>
        <v>3.1473803999999994</v>
      </c>
    </row>
    <row r="8" spans="1:23" x14ac:dyDescent="0.25">
      <c r="A8" s="16" t="s">
        <v>90</v>
      </c>
      <c r="B8" s="17" t="s">
        <v>88</v>
      </c>
      <c r="C8" s="18">
        <v>3.1</v>
      </c>
      <c r="D8" s="26">
        <v>5000</v>
      </c>
      <c r="E8" s="8">
        <v>0</v>
      </c>
      <c r="F8" s="8">
        <f t="shared" si="0"/>
        <v>0</v>
      </c>
      <c r="G8" s="8">
        <v>4</v>
      </c>
      <c r="H8" s="8">
        <f>Table1014[[#This Row],[Total Floor Space]]*Table1014[[#This Row],[Rent per sqm per year]]</f>
        <v>0</v>
      </c>
      <c r="I8" s="8">
        <f>0.5*Table1014[[#This Row],[Quantity]]</f>
        <v>2500</v>
      </c>
      <c r="J8" s="8">
        <v>6</v>
      </c>
      <c r="K8" s="8">
        <v>256</v>
      </c>
      <c r="L8" s="8">
        <f>5.5*Table1014[[#This Row],[Quantity]]</f>
        <v>27500</v>
      </c>
      <c r="M8" s="8">
        <f>Table1014[[#This Row],[Energy consumption in W]]*24*365/1000</f>
        <v>240900</v>
      </c>
      <c r="N8" s="8">
        <f t="shared" si="1"/>
        <v>6.1679999999999999E-3</v>
      </c>
      <c r="O8" s="8">
        <f>Table1014[[#This Row],[Yearly Energy Consumption in kWh]]*Table1014[[#This Row],[CU/kWh]]</f>
        <v>1485.8712</v>
      </c>
      <c r="P8" s="8">
        <v>4</v>
      </c>
      <c r="Q8" s="8">
        <v>20</v>
      </c>
      <c r="R8" s="8">
        <f>Table1014[[#This Row],[FIT]]*Table1014[[#This Row],[Quantity]]*24*365/1000000000</f>
        <v>11.2128</v>
      </c>
      <c r="S8" s="8">
        <f>2*Table1014[[#This Row],[Mean dist in km from CO]]/Table1014[[#This Row],[Avg Travel Speed]]</f>
        <v>0.4</v>
      </c>
      <c r="T8" s="8">
        <f>Table1014[[#This Row],[MTTR]]+Table1014[[#This Row],[Twice Travel Time]]</f>
        <v>6.4</v>
      </c>
      <c r="U8" s="8">
        <v>1</v>
      </c>
      <c r="V8" s="8">
        <v>3.8</v>
      </c>
      <c r="W8" s="8">
        <f>Table1014[[#This Row],[Failures per year]]*Table1014[[#This Row],[Total Time to Repair(h)]]*Table1014[[#This Row],[No. Of technicians]]*Table1014[[#This Row],[Cost per hour]]</f>
        <v>272.69529599999998</v>
      </c>
    </row>
    <row r="9" spans="1:23" x14ac:dyDescent="0.25">
      <c r="A9" s="19" t="s">
        <v>90</v>
      </c>
      <c r="B9" s="20" t="s">
        <v>92</v>
      </c>
      <c r="C9" s="21">
        <v>8</v>
      </c>
      <c r="D9" s="26">
        <v>5000</v>
      </c>
      <c r="E9" s="8">
        <v>1</v>
      </c>
      <c r="F9" s="8">
        <f t="shared" si="0"/>
        <v>5000</v>
      </c>
      <c r="G9" s="8">
        <v>0</v>
      </c>
      <c r="H9" s="8">
        <f>Table1014[[#This Row],[Total Floor Space]]*Table1014[[#This Row],[Rent per sqm per year]]</f>
        <v>0</v>
      </c>
      <c r="I9" s="8">
        <f>(0.5+1/6*6)*Table1014[[#This Row],[Quantity]]</f>
        <v>7500</v>
      </c>
      <c r="J9" s="8">
        <v>24</v>
      </c>
      <c r="K9" s="8">
        <v>5000</v>
      </c>
      <c r="L9" s="8">
        <f>50*Table1014[[#This Row],[Total Floor Space]]</f>
        <v>250000</v>
      </c>
      <c r="M9" s="8">
        <f>Table1014[[#This Row],[Energy consumption in W]]*24*365/1000</f>
        <v>2190000</v>
      </c>
      <c r="N9" s="8">
        <f t="shared" si="1"/>
        <v>6.1679999999999999E-3</v>
      </c>
      <c r="O9" s="8">
        <f>Table1014[[#This Row],[Yearly Energy Consumption in kWh]]*Table1014[[#This Row],[CU/kWh]]</f>
        <v>13507.92</v>
      </c>
      <c r="P9" s="8">
        <v>4</v>
      </c>
      <c r="Q9" s="8">
        <v>20</v>
      </c>
      <c r="R9" s="8">
        <f>Table1014[[#This Row],[FIT]]*Table1014[[#This Row],[Quantity]]*24*365/1000000000</f>
        <v>219</v>
      </c>
      <c r="S9" s="8">
        <f>2*Table1014[[#This Row],[Mean dist in km from CO]]/Table1014[[#This Row],[Avg Travel Speed]]</f>
        <v>0.4</v>
      </c>
      <c r="T9" s="8">
        <f>Table1014[[#This Row],[MTTR]]+Table1014[[#This Row],[Twice Travel Time]]</f>
        <v>24.4</v>
      </c>
      <c r="U9" s="8">
        <v>1</v>
      </c>
      <c r="V9" s="8">
        <v>3.8</v>
      </c>
      <c r="W9" s="8">
        <f>Table1014[[#This Row],[Failures per year]]*Table1014[[#This Row],[Total Time to Repair(h)]]*Table1014[[#This Row],[No. Of technicians]]*Table1014[[#This Row],[Cost per hour]]</f>
        <v>20305.679999999997</v>
      </c>
    </row>
    <row r="10" spans="1:23" x14ac:dyDescent="0.25">
      <c r="A10" s="28"/>
      <c r="B10" s="27"/>
      <c r="C10" s="26"/>
      <c r="D10" s="26"/>
      <c r="E10" s="25"/>
      <c r="F10" s="25"/>
      <c r="G10" s="25"/>
      <c r="H10" s="25">
        <f>SUM(Table1014[Total Rent cost per year])</f>
        <v>8480</v>
      </c>
      <c r="I10" s="25"/>
      <c r="J10" s="25"/>
      <c r="K10" s="25"/>
      <c r="L10" s="25"/>
      <c r="M10" s="25"/>
      <c r="N10" s="25"/>
      <c r="O10" s="25">
        <f>SUBTOTAL(109,Table1014[Energy Cost per year in CU])</f>
        <v>15372.01296</v>
      </c>
      <c r="P10" s="25"/>
      <c r="Q10" s="25"/>
      <c r="R10" s="25"/>
      <c r="S10" s="25"/>
      <c r="T10" s="25"/>
      <c r="U10" s="25"/>
      <c r="V10" s="25"/>
      <c r="W10" s="25">
        <f>SUBTOTAL(109,Table1014[FM Cost])</f>
        <v>20589.944540399996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M15" s="8" t="s">
        <v>71</v>
      </c>
    </row>
    <row r="16" spans="1:23" x14ac:dyDescent="0.25">
      <c r="A16" s="8" t="s">
        <v>43</v>
      </c>
      <c r="B16" s="8">
        <f>8635.15425010598/1000</f>
        <v>8.6351542501059786</v>
      </c>
      <c r="C16" s="8">
        <f>570*B16</f>
        <v>4922.0379225604074</v>
      </c>
      <c r="D16" s="8">
        <v>24</v>
      </c>
      <c r="E16" s="8">
        <v>1</v>
      </c>
      <c r="F16" s="8">
        <v>3.8</v>
      </c>
      <c r="G16" s="8">
        <v>1</v>
      </c>
      <c r="H16" s="8">
        <f>G16/20</f>
        <v>0.05</v>
      </c>
      <c r="I16" s="8">
        <f>D16+H16</f>
        <v>24.05</v>
      </c>
      <c r="J16" s="8">
        <f>C16*E16*F16*I16*24*365/1000000000</f>
        <v>3.9404674007068903</v>
      </c>
      <c r="M16" s="8">
        <f>Table1014[[#Totals],[Total Rent cost per year]]+Table1014[[#Totals],[Energy Cost per year in CU]]+Table1014[[#Totals],[FM Cost]]+J19</f>
        <v>44721.854393392539</v>
      </c>
    </row>
    <row r="17" spans="1:13" x14ac:dyDescent="0.25">
      <c r="A17" s="8" t="s">
        <v>44</v>
      </c>
      <c r="B17" s="8">
        <f>233483.637737831/1000</f>
        <v>233.483637737831</v>
      </c>
      <c r="C17" s="8">
        <f t="shared" ref="C17:C18" si="2">570*B17</f>
        <v>133085.67351056368</v>
      </c>
      <c r="D17" s="8">
        <v>24</v>
      </c>
      <c r="E17" s="8">
        <v>1</v>
      </c>
      <c r="F17" s="8">
        <v>3.8</v>
      </c>
      <c r="G17" s="8">
        <v>2</v>
      </c>
      <c r="H17" s="8">
        <f t="shared" ref="H17:H18" si="3">G17/20</f>
        <v>0.1</v>
      </c>
      <c r="I17" s="8">
        <f t="shared" ref="I17:I18" si="4">D17+H17</f>
        <v>24.1</v>
      </c>
      <c r="J17" s="8">
        <f t="shared" ref="J17:J18" si="5">C17*E17*F17*I17*24*365/1000000000</f>
        <v>106.76675718565343</v>
      </c>
    </row>
    <row r="18" spans="1:13" x14ac:dyDescent="0.25">
      <c r="A18" s="8" t="s">
        <v>64</v>
      </c>
      <c r="B18" s="8">
        <f>368464.723172249/1000</f>
        <v>368.46472317224897</v>
      </c>
      <c r="C18" s="8">
        <f t="shared" si="2"/>
        <v>210024.8922081819</v>
      </c>
      <c r="D18" s="8">
        <v>24</v>
      </c>
      <c r="E18" s="8">
        <v>1</v>
      </c>
      <c r="F18" s="8">
        <v>3.8</v>
      </c>
      <c r="G18" s="8">
        <v>4</v>
      </c>
      <c r="H18" s="8">
        <f t="shared" si="3"/>
        <v>0.2</v>
      </c>
      <c r="I18" s="8">
        <f t="shared" si="4"/>
        <v>24.2</v>
      </c>
      <c r="J18" s="8">
        <f t="shared" si="5"/>
        <v>169.18966840618819</v>
      </c>
    </row>
    <row r="19" spans="1:13" x14ac:dyDescent="0.25">
      <c r="J19" s="8">
        <f>SUM(J16:J18)</f>
        <v>279.89689299254849</v>
      </c>
      <c r="L19" s="8" t="s">
        <v>99</v>
      </c>
      <c r="M19" s="8" t="s">
        <v>68</v>
      </c>
    </row>
    <row r="20" spans="1:13" x14ac:dyDescent="0.25">
      <c r="L20" s="8" t="s">
        <v>94</v>
      </c>
      <c r="M20" s="8">
        <f>Table1014[[#Totals],[Total Rent cost per year]]</f>
        <v>8480</v>
      </c>
    </row>
    <row r="21" spans="1:13" x14ac:dyDescent="0.25">
      <c r="L21" s="8" t="s">
        <v>95</v>
      </c>
      <c r="M21" s="8">
        <f>Table1014[[#Totals],[Energy Cost per year in CU]]</f>
        <v>15372.01296</v>
      </c>
    </row>
    <row r="22" spans="1:13" x14ac:dyDescent="0.25">
      <c r="L22" s="8" t="s">
        <v>96</v>
      </c>
      <c r="M22" s="8">
        <f>Table1014[[#Totals],[FM Cost]]+J19</f>
        <v>20869.841433392543</v>
      </c>
    </row>
    <row r="23" spans="1:13" x14ac:dyDescent="0.25">
      <c r="L23" s="8" t="s">
        <v>97</v>
      </c>
      <c r="M23" s="8">
        <f>0.05*SUM(M20:M22)</f>
        <v>2236.0927196696271</v>
      </c>
    </row>
    <row r="24" spans="1:13" x14ac:dyDescent="0.25">
      <c r="L24" s="8" t="s">
        <v>98</v>
      </c>
      <c r="M24" s="8">
        <f>0.07*SUM(M20:M22)</f>
        <v>3130.5298075374781</v>
      </c>
    </row>
    <row r="25" spans="1:13" x14ac:dyDescent="0.25">
      <c r="M25" s="8">
        <f>SUM(Table1416171819202122[Cost])</f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7:Q61"/>
  <sheetViews>
    <sheetView tabSelected="1" topLeftCell="E28" workbookViewId="0">
      <selection activeCell="P48" sqref="P48"/>
    </sheetView>
  </sheetViews>
  <sheetFormatPr defaultRowHeight="15" x14ac:dyDescent="0.25"/>
  <cols>
    <col min="4" max="4" width="20" customWidth="1"/>
    <col min="5" max="5" width="22" customWidth="1"/>
    <col min="6" max="6" width="19.28515625" customWidth="1"/>
    <col min="7" max="7" width="16.85546875" customWidth="1"/>
    <col min="8" max="8" width="18" customWidth="1"/>
    <col min="9" max="9" width="18.140625" customWidth="1"/>
    <col min="10" max="10" width="16.85546875" customWidth="1"/>
    <col min="11" max="11" width="18" customWidth="1"/>
    <col min="12" max="12" width="17.85546875" customWidth="1"/>
    <col min="13" max="14" width="19.7109375" customWidth="1"/>
    <col min="15" max="15" width="20.85546875" customWidth="1"/>
    <col min="16" max="17" width="20.7109375" customWidth="1"/>
  </cols>
  <sheetData>
    <row r="27" spans="4:17" x14ac:dyDescent="0.25">
      <c r="D27" t="s">
        <v>99</v>
      </c>
      <c r="E27" t="s">
        <v>100</v>
      </c>
      <c r="F27" t="s">
        <v>101</v>
      </c>
      <c r="G27" t="s">
        <v>102</v>
      </c>
      <c r="H27" t="s">
        <v>103</v>
      </c>
      <c r="I27" t="s">
        <v>104</v>
      </c>
      <c r="J27" t="s">
        <v>105</v>
      </c>
      <c r="K27" t="s">
        <v>106</v>
      </c>
      <c r="L27" t="s">
        <v>108</v>
      </c>
      <c r="M27" t="s">
        <v>107</v>
      </c>
      <c r="N27" t="s">
        <v>109</v>
      </c>
      <c r="O27" t="s">
        <v>110</v>
      </c>
      <c r="P27" t="s">
        <v>112</v>
      </c>
      <c r="Q27" t="s">
        <v>111</v>
      </c>
    </row>
    <row r="28" spans="4:17" x14ac:dyDescent="0.25">
      <c r="D28" s="8" t="s">
        <v>94</v>
      </c>
      <c r="E28" s="8">
        <v>7308</v>
      </c>
      <c r="F28" s="8">
        <v>3074</v>
      </c>
      <c r="G28" s="8">
        <v>3869</v>
      </c>
      <c r="H28" s="8">
        <v>3869</v>
      </c>
      <c r="I28" s="8">
        <v>5936</v>
      </c>
      <c r="J28" s="8">
        <v>13074</v>
      </c>
      <c r="K28" s="12">
        <v>5936</v>
      </c>
      <c r="L28" s="12">
        <v>7314</v>
      </c>
      <c r="M28" s="12">
        <v>16202.8</v>
      </c>
      <c r="N28">
        <v>4240</v>
      </c>
      <c r="O28">
        <v>8480</v>
      </c>
      <c r="P28">
        <v>20377.2</v>
      </c>
      <c r="Q28">
        <v>8480</v>
      </c>
    </row>
    <row r="29" spans="4:17" x14ac:dyDescent="0.25">
      <c r="D29" s="8" t="s">
        <v>95</v>
      </c>
      <c r="E29" s="8">
        <v>3900.4488391680002</v>
      </c>
      <c r="F29" s="8">
        <v>15518.532579840001</v>
      </c>
      <c r="G29" s="8">
        <v>14871.900355200003</v>
      </c>
      <c r="H29" s="8">
        <v>3279.3529536000001</v>
      </c>
      <c r="I29" s="8">
        <v>2489.7663590400002</v>
      </c>
      <c r="J29" s="8">
        <v>11115.468565056002</v>
      </c>
      <c r="K29" s="13">
        <v>15946.915080960001</v>
      </c>
      <c r="L29" s="13">
        <v>14972.561164800003</v>
      </c>
      <c r="M29" s="13">
        <v>7232.9508432000002</v>
      </c>
      <c r="N29">
        <v>15199.111584</v>
      </c>
      <c r="O29">
        <v>378.22176000000002</v>
      </c>
      <c r="P29">
        <v>9256.7074175999987</v>
      </c>
      <c r="Q29">
        <v>15372.01296</v>
      </c>
    </row>
    <row r="30" spans="4:17" x14ac:dyDescent="0.25">
      <c r="D30" s="8" t="s">
        <v>96</v>
      </c>
      <c r="E30" s="8">
        <v>6008.5530527698265</v>
      </c>
      <c r="F30" s="8">
        <v>20434.095716784002</v>
      </c>
      <c r="G30" s="8">
        <v>20766.619334565716</v>
      </c>
      <c r="H30" s="8">
        <v>2263.0546533337124</v>
      </c>
      <c r="I30" s="8">
        <v>2233.9824704598395</v>
      </c>
      <c r="J30" s="8">
        <v>21331.706543720222</v>
      </c>
      <c r="K30" s="12">
        <v>20730.355811899841</v>
      </c>
      <c r="L30" s="12">
        <v>20767.268450565716</v>
      </c>
      <c r="M30" s="12">
        <v>10209.666758157182</v>
      </c>
      <c r="N30">
        <v>20585.774219759998</v>
      </c>
      <c r="O30">
        <v>1980.898713392548</v>
      </c>
      <c r="P30">
        <v>12704.99861850918</v>
      </c>
      <c r="Q30">
        <v>20869.841433392543</v>
      </c>
    </row>
    <row r="31" spans="4:17" x14ac:dyDescent="0.25">
      <c r="D31" s="8" t="s">
        <v>97</v>
      </c>
      <c r="E31" s="8">
        <v>860.85009459689138</v>
      </c>
      <c r="F31" s="8">
        <v>1951.3314148312002</v>
      </c>
      <c r="G31" s="8">
        <v>1975.3759844882859</v>
      </c>
      <c r="H31" s="8">
        <v>470.57038034668568</v>
      </c>
      <c r="I31" s="8">
        <v>532.98744147499201</v>
      </c>
      <c r="J31" s="8">
        <v>2276.0587554388112</v>
      </c>
      <c r="K31" s="13">
        <v>2130.6635446429923</v>
      </c>
      <c r="L31" s="13">
        <v>2152.6914807682861</v>
      </c>
      <c r="M31" s="13">
        <v>1682.2708800678593</v>
      </c>
      <c r="N31">
        <v>2001.2442901880002</v>
      </c>
      <c r="O31">
        <v>541.95602366962737</v>
      </c>
      <c r="P31">
        <v>2116.9453018054592</v>
      </c>
      <c r="Q31">
        <v>2236.0927196696271</v>
      </c>
    </row>
    <row r="32" spans="4:17" x14ac:dyDescent="0.25">
      <c r="D32" s="8" t="s">
        <v>98</v>
      </c>
      <c r="E32" s="8">
        <v>1205.1901324356479</v>
      </c>
      <c r="F32" s="8">
        <v>2731.8639807636805</v>
      </c>
      <c r="G32" s="8">
        <v>2765.5263782836005</v>
      </c>
      <c r="H32" s="8">
        <v>658.79853248536006</v>
      </c>
      <c r="I32" s="8">
        <v>746.18241806498884</v>
      </c>
      <c r="J32" s="8">
        <v>3186.482257614336</v>
      </c>
      <c r="K32" s="12">
        <v>2982.9289625001893</v>
      </c>
      <c r="L32" s="12">
        <v>3013.7680730756006</v>
      </c>
      <c r="M32" s="12">
        <v>2355.179232095003</v>
      </c>
      <c r="N32">
        <v>2801.7420062632004</v>
      </c>
      <c r="O32">
        <v>758.73843313747841</v>
      </c>
      <c r="P32">
        <v>2963.7234225276429</v>
      </c>
      <c r="Q32">
        <v>3130.5298075374781</v>
      </c>
    </row>
    <row r="33" spans="4:17" x14ac:dyDescent="0.25">
      <c r="D33" s="25"/>
      <c r="E33" s="25">
        <f>SUM(Table22[FTTC_GPON_25])</f>
        <v>19283.042118970367</v>
      </c>
      <c r="F33" s="25">
        <f>SUBTOTAL(109,Table22[FTTB_XGPON_50])</f>
        <v>43709.823692218881</v>
      </c>
      <c r="G33" s="25">
        <f>SUBTOTAL(109,Table22[FTTB_DWDM_50])</f>
        <v>44248.4220525376</v>
      </c>
      <c r="H33" s="25">
        <f>SUBTOTAL(109,Table22[FTTH_DWDM_100])</f>
        <v>10540.776519765759</v>
      </c>
      <c r="I33" s="25">
        <f>SUBTOTAL(109,Table22[FTTH_XGPON_100])</f>
        <v>11938.918689039821</v>
      </c>
      <c r="J33" s="25">
        <f>SUBTOTAL(109,Table22[FTTC_GPON_100])</f>
        <v>50983.71612182937</v>
      </c>
      <c r="K33" s="30">
        <f>SUBTOTAL(109,Table22[FTTB_XGPON_100])</f>
        <v>47726.863400003029</v>
      </c>
      <c r="L33" s="30">
        <f>SUBTOTAL(109,Table22[FTTB_DWDM_100])</f>
        <v>48220.289169209609</v>
      </c>
      <c r="M33" s="30">
        <f>SUBTOTAL(109,Table22[FTTC_Hybridpon_25])</f>
        <v>37682.867713520049</v>
      </c>
      <c r="N33" s="25">
        <f>SUBTOTAL(109,Table22[FTTB_Hybridpon_50])</f>
        <v>44827.8721002112</v>
      </c>
      <c r="O33" s="25">
        <f>SUBTOTAL(109,Table22[FTTH_Hybridpon_100])</f>
        <v>12139.814930199653</v>
      </c>
      <c r="P33" s="25">
        <f>SUBTOTAL(109,Table22[FTTC_Hybridpon_100])</f>
        <v>47419.574760442287</v>
      </c>
      <c r="Q33" s="25">
        <f>SUBTOTAL(109,Table22[FTTB_Hybridpon_100])</f>
        <v>50088.476920599649</v>
      </c>
    </row>
    <row r="40" spans="4:17" ht="15.75" thickBot="1" x14ac:dyDescent="0.3"/>
    <row r="41" spans="4:17" ht="16.5" thickTop="1" thickBot="1" x14ac:dyDescent="0.3">
      <c r="J41" s="11">
        <f>SUM(Table22[FTTC_GPON_25])</f>
        <v>19283.042118970367</v>
      </c>
    </row>
    <row r="42" spans="4:17" ht="16.5" thickTop="1" thickBot="1" x14ac:dyDescent="0.3">
      <c r="J42" s="11">
        <f>SUBTOTAL(109,Table22[FTTB_XGPON_50])</f>
        <v>43709.823692218881</v>
      </c>
    </row>
    <row r="43" spans="4:17" ht="16.5" thickTop="1" thickBot="1" x14ac:dyDescent="0.3">
      <c r="J43" s="11">
        <f>SUBTOTAL(109,Table22[FTTB_DWDM_50])</f>
        <v>44248.4220525376</v>
      </c>
    </row>
    <row r="44" spans="4:17" ht="16.5" thickTop="1" thickBot="1" x14ac:dyDescent="0.3">
      <c r="J44" s="11">
        <f>SUBTOTAL(109,Table22[FTTH_DWDM_100])</f>
        <v>10540.776519765759</v>
      </c>
    </row>
    <row r="45" spans="4:17" ht="16.5" thickTop="1" thickBot="1" x14ac:dyDescent="0.3">
      <c r="J45" s="11">
        <f>SUBTOTAL(109,Table22[FTTH_XGPON_100])</f>
        <v>11938.918689039821</v>
      </c>
    </row>
    <row r="46" spans="4:17" ht="15.75" thickTop="1" x14ac:dyDescent="0.25">
      <c r="J46" s="11">
        <f>SUBTOTAL(109,Table22[FTTC_GPON_100])</f>
        <v>50983.71612182937</v>
      </c>
    </row>
    <row r="47" spans="4:17" x14ac:dyDescent="0.25">
      <c r="J47" s="29">
        <f>SUBTOTAL(109,Table22[FTTB_XGPON_100])</f>
        <v>47726.863400003029</v>
      </c>
    </row>
    <row r="48" spans="4:17" ht="15.75" thickBot="1" x14ac:dyDescent="0.3">
      <c r="J48" s="29">
        <f>SUBTOTAL(109,Table22[FTTB_DWDM_100])</f>
        <v>48220.289169209609</v>
      </c>
    </row>
    <row r="49" spans="10:13" ht="16.5" thickTop="1" thickBot="1" x14ac:dyDescent="0.3">
      <c r="J49" s="29">
        <f>SUBTOTAL(109,Table22[FTTC_Hybridpon_25])</f>
        <v>37682.867713520049</v>
      </c>
      <c r="M49" s="11">
        <f>SUM(Table22[FTTC_GPON_25])</f>
        <v>19283.042118970367</v>
      </c>
    </row>
    <row r="50" spans="10:13" ht="16.5" thickTop="1" thickBot="1" x14ac:dyDescent="0.3">
      <c r="J50" s="11">
        <f>SUBTOTAL(109,Table22[FTTB_Hybridpon_50])</f>
        <v>44827.8721002112</v>
      </c>
      <c r="M50" s="11">
        <f>SUBTOTAL(109,Table22[FTTB_XGPON_50])</f>
        <v>43709.823692218881</v>
      </c>
    </row>
    <row r="51" spans="10:13" ht="16.5" thickTop="1" thickBot="1" x14ac:dyDescent="0.3">
      <c r="J51" s="11">
        <f>SUBTOTAL(109,Table22[FTTH_Hybridpon_100])</f>
        <v>12139.814930199653</v>
      </c>
      <c r="M51" s="11">
        <f>SUBTOTAL(109,Table22[FTTB_DWDM_50])</f>
        <v>44248.4220525376</v>
      </c>
    </row>
    <row r="52" spans="10:13" ht="16.5" thickTop="1" thickBot="1" x14ac:dyDescent="0.3">
      <c r="J52" s="11">
        <f>SUBTOTAL(109,Table22[FTTC_Hybridpon_100])</f>
        <v>47419.574760442287</v>
      </c>
      <c r="M52" s="11">
        <f>SUBTOTAL(109,Table22[FTTH_DWDM_100])</f>
        <v>10540.776519765759</v>
      </c>
    </row>
    <row r="53" spans="10:13" ht="16.5" thickTop="1" thickBot="1" x14ac:dyDescent="0.3">
      <c r="J53" s="14">
        <f>SUBTOTAL(109,Table22[FTTB_Hybridpon_100])</f>
        <v>50088.476920599649</v>
      </c>
      <c r="M53" s="11">
        <f>SUBTOTAL(109,Table22[FTTH_XGPON_100])</f>
        <v>11938.918689039821</v>
      </c>
    </row>
    <row r="54" spans="10:13" ht="15.75" thickTop="1" x14ac:dyDescent="0.25">
      <c r="M54" s="11">
        <f>SUBTOTAL(109,Table22[FTTC_GPON_100])</f>
        <v>50983.71612182937</v>
      </c>
    </row>
    <row r="55" spans="10:13" x14ac:dyDescent="0.25">
      <c r="M55" s="29">
        <f>SUBTOTAL(109,Table22[FTTB_XGPON_100])</f>
        <v>47726.863400003029</v>
      </c>
    </row>
    <row r="56" spans="10:13" x14ac:dyDescent="0.25">
      <c r="M56" s="29">
        <f>SUBTOTAL(109,Table22[FTTB_DWDM_100])</f>
        <v>48220.289169209609</v>
      </c>
    </row>
    <row r="57" spans="10:13" ht="15.75" thickBot="1" x14ac:dyDescent="0.3">
      <c r="M57" s="29">
        <f>SUBTOTAL(109,Table22[FTTC_Hybridpon_25])</f>
        <v>37682.867713520049</v>
      </c>
    </row>
    <row r="58" spans="10:13" ht="16.5" thickTop="1" thickBot="1" x14ac:dyDescent="0.3">
      <c r="M58" s="11">
        <f>SUBTOTAL(109,Table22[FTTB_Hybridpon_50])</f>
        <v>44827.8721002112</v>
      </c>
    </row>
    <row r="59" spans="10:13" ht="16.5" thickTop="1" thickBot="1" x14ac:dyDescent="0.3">
      <c r="M59" s="11">
        <f>SUBTOTAL(109,Table22[FTTH_Hybridpon_100])</f>
        <v>12139.814930199653</v>
      </c>
    </row>
    <row r="60" spans="10:13" ht="16.5" thickTop="1" thickBot="1" x14ac:dyDescent="0.3">
      <c r="M60" s="11">
        <f>SUBTOTAL(109,Table22[FTTC_Hybridpon_100])</f>
        <v>47419.574760442287</v>
      </c>
    </row>
    <row r="61" spans="10:13" ht="15.75" thickTop="1" x14ac:dyDescent="0.25">
      <c r="M61" s="14">
        <f>SUBTOTAL(109,Table22[FTTB_Hybridpon_100])</f>
        <v>50088.476920599649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"/>
  <sheetViews>
    <sheetView topLeftCell="A4" workbookViewId="0">
      <selection activeCell="I26" sqref="I26:I30"/>
    </sheetView>
  </sheetViews>
  <sheetFormatPr defaultRowHeight="15" x14ac:dyDescent="0.25"/>
  <cols>
    <col min="1" max="1" width="23.28515625" customWidth="1"/>
    <col min="2" max="2" width="19.28515625" customWidth="1"/>
    <col min="3" max="3" width="21.28515625" customWidth="1"/>
    <col min="4" max="4" width="10.85546875" customWidth="1"/>
    <col min="5" max="5" width="18" customWidth="1"/>
    <col min="6" max="8" width="18" style="1" customWidth="1"/>
    <col min="9" max="9" width="20.7109375" customWidth="1"/>
    <col min="10" max="10" width="21" customWidth="1"/>
    <col min="11" max="11" width="20" customWidth="1"/>
    <col min="12" max="12" width="17.140625" customWidth="1"/>
    <col min="13" max="13" width="20.85546875" customWidth="1"/>
    <col min="14" max="14" width="24.140625" customWidth="1"/>
    <col min="15" max="15" width="26.42578125" customWidth="1"/>
    <col min="16" max="16" width="21.140625" customWidth="1"/>
    <col min="17" max="17" width="14.85546875" customWidth="1"/>
    <col min="18" max="18" width="23.5703125" customWidth="1"/>
    <col min="19" max="19" width="19.7109375" customWidth="1"/>
    <col min="20" max="20" width="7.5703125" customWidth="1"/>
    <col min="22" max="23" width="16.7109375" customWidth="1"/>
    <col min="26" max="26" width="14.4257812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s="1" t="s">
        <v>36</v>
      </c>
      <c r="G1" s="1" t="s">
        <v>38</v>
      </c>
      <c r="H1" s="2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s="2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s="2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t="s">
        <v>3</v>
      </c>
      <c r="B2" t="s">
        <v>4</v>
      </c>
      <c r="C2">
        <v>40</v>
      </c>
      <c r="D2">
        <v>40</v>
      </c>
      <c r="E2">
        <f>5</f>
        <v>5</v>
      </c>
      <c r="F2" s="1">
        <f>Table2[[#This Row],[Floor Space per component]]*Table2[[#This Row],[Quantity]]</f>
        <v>200</v>
      </c>
      <c r="G2" s="1">
        <f>530/50</f>
        <v>10.6</v>
      </c>
      <c r="H2" s="2">
        <f>Table2[[#This Row],[Rent per sqm per year]]*Table2[[#This Row],[Total Floor Space]]</f>
        <v>2120</v>
      </c>
      <c r="I2">
        <v>7.1666666666666696</v>
      </c>
      <c r="J2">
        <v>2</v>
      </c>
      <c r="K2">
        <v>256</v>
      </c>
      <c r="L2">
        <f>10+Table2[[#This Row],[Quantity]]*2.5*0.5</f>
        <v>60</v>
      </c>
      <c r="M2">
        <f>Table2[[#This Row],[Energy consumption in W]]*24*365/1000</f>
        <v>525.6</v>
      </c>
      <c r="N2">
        <f>0.3048/50</f>
        <v>6.0960000000000007E-3</v>
      </c>
      <c r="O2" s="2">
        <f>Table2[[#This Row],[Yearly Energy Consumption in kWh]]*Table2[[#This Row],[CU/kWh]]</f>
        <v>3.2040576000000005</v>
      </c>
      <c r="P2">
        <v>0</v>
      </c>
      <c r="Q2">
        <v>20</v>
      </c>
      <c r="R2">
        <f>Table2[[#This Row],[Quantity]]*(Table2[[#This Row],[FIT]]*24*365)/1000000000</f>
        <v>8.9702400000000002E-2</v>
      </c>
      <c r="S2">
        <f>2*Table2[[#This Row],[Mean dist in km from CO]]/Table2[[#This Row],[Avg Travel Speed]]</f>
        <v>0</v>
      </c>
      <c r="T2">
        <f>Table2[[#This Row],[MTTR]]+Table2[[#This Row],[Twice Travel Time]]</f>
        <v>2</v>
      </c>
      <c r="U2">
        <v>1</v>
      </c>
      <c r="V2">
        <f>190/50</f>
        <v>3.8</v>
      </c>
      <c r="W2" s="2">
        <f>Table2[[#This Row],[Cost per hour]]*Table2[[#This Row],[Total Time to Repair(h)]]*Table2[[#This Row],[Failures per year]]</f>
        <v>0.68173823999999994</v>
      </c>
      <c r="X2">
        <v>0</v>
      </c>
      <c r="Y2">
        <f>1200/50</f>
        <v>24</v>
      </c>
      <c r="Z2">
        <f>2000/50</f>
        <v>40</v>
      </c>
    </row>
    <row r="3" spans="1:27" x14ac:dyDescent="0.25">
      <c r="A3" t="s">
        <v>3</v>
      </c>
      <c r="B3" t="s">
        <v>5</v>
      </c>
      <c r="C3">
        <v>4</v>
      </c>
      <c r="D3">
        <v>312</v>
      </c>
      <c r="E3">
        <v>0</v>
      </c>
      <c r="F3" s="1">
        <f>Table2[[#This Row],[Floor Space per component]]*Table2[[#This Row],[Quantity]]</f>
        <v>0</v>
      </c>
      <c r="G3" s="1">
        <v>0</v>
      </c>
      <c r="H3" s="2">
        <f>Table2[[#This Row],[Rent per sqm per year]]*Table2[[#This Row],[Total Floor Space]]</f>
        <v>0</v>
      </c>
      <c r="I3">
        <v>0</v>
      </c>
      <c r="J3">
        <v>0</v>
      </c>
      <c r="K3">
        <v>0</v>
      </c>
      <c r="L3">
        <f>1.2*Table2[[#This Row],[Quantity]]</f>
        <v>374.4</v>
      </c>
      <c r="M3" s="1">
        <f>Table2[[#This Row],[Energy consumption in W]]*24*365/1000</f>
        <v>3279.7439999999997</v>
      </c>
      <c r="N3" s="1">
        <f t="shared" ref="N3:N10" si="0">0.3048/50</f>
        <v>6.0960000000000007E-3</v>
      </c>
      <c r="O3" s="2">
        <f>Table2[[#This Row],[Yearly Energy Consumption in kWh]]*Table2[[#This Row],[CU/kWh]]</f>
        <v>19.993319423999999</v>
      </c>
      <c r="P3">
        <v>0</v>
      </c>
      <c r="Q3">
        <v>20</v>
      </c>
      <c r="R3" s="8">
        <f>Table2[[#This Row],[Quantity]]*(Table2[[#This Row],[FIT]]*24*365)/1000000000</f>
        <v>0</v>
      </c>
      <c r="S3" s="1">
        <f>2*Table2[[#This Row],[Mean dist in km from CO]]/Table2[[#This Row],[Avg Travel Speed]]</f>
        <v>0</v>
      </c>
      <c r="T3" s="1">
        <f>Table2[[#This Row],[MTTR]]+Table2[[#This Row],[Twice Travel Time]]</f>
        <v>0</v>
      </c>
      <c r="U3">
        <v>1</v>
      </c>
      <c r="V3" s="1">
        <f t="shared" ref="V3:V10" si="1">190/50</f>
        <v>3.8</v>
      </c>
      <c r="W3" s="2">
        <f>Table2[[#This Row],[Cost per hour]]*Table2[[#This Row],[Total Time to Repair(h)]]*Table2[[#This Row],[Failures per year]]</f>
        <v>0</v>
      </c>
      <c r="X3" s="1">
        <v>0</v>
      </c>
      <c r="Y3" s="1">
        <f t="shared" ref="Y3:Y10" si="2">1200/50</f>
        <v>24</v>
      </c>
      <c r="Z3" s="1">
        <f t="shared" ref="Z3:Z10" si="3">2000/50</f>
        <v>40</v>
      </c>
    </row>
    <row r="4" spans="1:27" x14ac:dyDescent="0.25">
      <c r="A4" t="s">
        <v>3</v>
      </c>
      <c r="B4" t="s">
        <v>6</v>
      </c>
      <c r="C4">
        <v>1.1111111111111112E-2</v>
      </c>
      <c r="D4">
        <v>800</v>
      </c>
      <c r="E4">
        <v>0</v>
      </c>
      <c r="F4" s="1">
        <f>Table2[[#This Row],[Floor Space per component]]*Table2[[#This Row],[Quantity]]</f>
        <v>0</v>
      </c>
      <c r="G4" s="1">
        <v>0</v>
      </c>
      <c r="H4" s="2">
        <f>Table2[[#This Row],[Rent per sqm per year]]*Table2[[#This Row],[Total Floor Space]]</f>
        <v>0</v>
      </c>
      <c r="I4">
        <v>0</v>
      </c>
      <c r="J4">
        <v>0</v>
      </c>
      <c r="K4">
        <v>0</v>
      </c>
      <c r="L4">
        <f>0.1*Table2[[#This Row],[Quantity]]</f>
        <v>80</v>
      </c>
      <c r="M4" s="1">
        <f>Table2[[#This Row],[Energy consumption in W]]*24*365/1000</f>
        <v>700.8</v>
      </c>
      <c r="N4" s="1">
        <f t="shared" si="0"/>
        <v>6.0960000000000007E-3</v>
      </c>
      <c r="O4" s="2">
        <f>Table2[[#This Row],[Yearly Energy Consumption in kWh]]*Table2[[#This Row],[CU/kWh]]</f>
        <v>4.2720768000000007</v>
      </c>
      <c r="P4">
        <v>0</v>
      </c>
      <c r="Q4">
        <v>20</v>
      </c>
      <c r="R4" s="8">
        <f>Table2[[#This Row],[Quantity]]*(Table2[[#This Row],[FIT]]*24*365)/1000000000</f>
        <v>0</v>
      </c>
      <c r="S4" s="1">
        <f>2*Table2[[#This Row],[Mean dist in km from CO]]/Table2[[#This Row],[Avg Travel Speed]]</f>
        <v>0</v>
      </c>
      <c r="T4" s="1">
        <f>Table2[[#This Row],[MTTR]]+Table2[[#This Row],[Twice Travel Time]]</f>
        <v>0</v>
      </c>
      <c r="U4">
        <v>1</v>
      </c>
      <c r="V4" s="1">
        <f t="shared" si="1"/>
        <v>3.8</v>
      </c>
      <c r="W4" s="2">
        <f>Table2[[#This Row],[Cost per hour]]*Table2[[#This Row],[Total Time to Repair(h)]]*Table2[[#This Row],[Failures per year]]</f>
        <v>0</v>
      </c>
      <c r="X4" s="1">
        <v>0</v>
      </c>
      <c r="Y4" s="1">
        <f t="shared" si="2"/>
        <v>24</v>
      </c>
      <c r="Z4" s="1">
        <f t="shared" si="3"/>
        <v>40</v>
      </c>
    </row>
    <row r="5" spans="1:27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1">
        <f>Table2[[#This Row],[Floor Space per component]]*Table2[[#This Row],[Quantity]]</f>
        <v>20</v>
      </c>
      <c r="G5" s="1">
        <v>10.6</v>
      </c>
      <c r="H5" s="2">
        <f>Table2[[#This Row],[Rent per sqm per year]]*Table2[[#This Row],[Total Floor Space]]</f>
        <v>212</v>
      </c>
      <c r="I5">
        <v>1</v>
      </c>
      <c r="J5">
        <v>0</v>
      </c>
      <c r="K5">
        <v>0</v>
      </c>
      <c r="L5">
        <v>0</v>
      </c>
      <c r="M5" s="1">
        <f>Table2[[#This Row],[Energy consumption in W]]*24*365/1000</f>
        <v>0</v>
      </c>
      <c r="N5" s="1">
        <f t="shared" si="0"/>
        <v>6.0960000000000007E-3</v>
      </c>
      <c r="O5" s="2">
        <f>Table2[[#This Row],[Yearly Energy Consumption in kWh]]*Table2[[#This Row],[CU/kWh]]</f>
        <v>0</v>
      </c>
      <c r="P5">
        <v>0</v>
      </c>
      <c r="Q5">
        <v>20</v>
      </c>
      <c r="R5" s="8">
        <f>Table2[[#This Row],[Quantity]]*(Table2[[#This Row],[FIT]]*24*365)/1000000000</f>
        <v>0</v>
      </c>
      <c r="S5" s="1">
        <f>2*Table2[[#This Row],[Mean dist in km from CO]]/Table2[[#This Row],[Avg Travel Speed]]</f>
        <v>0</v>
      </c>
      <c r="T5" s="1">
        <f>Table2[[#This Row],[MTTR]]+Table2[[#This Row],[Twice Travel Time]]</f>
        <v>0</v>
      </c>
      <c r="U5">
        <v>1</v>
      </c>
      <c r="V5" s="1">
        <f t="shared" si="1"/>
        <v>3.8</v>
      </c>
      <c r="W5" s="2">
        <f>Table2[[#This Row],[Cost per hour]]*Table2[[#This Row],[Total Time to Repair(h)]]*Table2[[#This Row],[Failures per year]]</f>
        <v>0</v>
      </c>
      <c r="X5" s="1">
        <v>0</v>
      </c>
      <c r="Y5" s="1">
        <f t="shared" si="2"/>
        <v>24</v>
      </c>
      <c r="Z5" s="1">
        <f t="shared" si="3"/>
        <v>40</v>
      </c>
    </row>
    <row r="6" spans="1:27" x14ac:dyDescent="0.25">
      <c r="A6" t="s">
        <v>8</v>
      </c>
      <c r="B6" t="s">
        <v>9</v>
      </c>
      <c r="C6">
        <v>1.8</v>
      </c>
      <c r="D6">
        <v>312</v>
      </c>
      <c r="E6">
        <v>0</v>
      </c>
      <c r="F6" s="1">
        <f>Table2[[#This Row],[Floor Space per component]]*Table2[[#This Row],[Quantity]]</f>
        <v>0</v>
      </c>
      <c r="G6" s="1">
        <v>0</v>
      </c>
      <c r="H6" s="2">
        <f>Table2[[#This Row],[Rent per sqm per year]]*Table2[[#This Row],[Total Floor Space]]</f>
        <v>0</v>
      </c>
      <c r="I6">
        <v>52.166666666666664</v>
      </c>
      <c r="J6">
        <v>6</v>
      </c>
      <c r="K6">
        <v>120</v>
      </c>
      <c r="L6">
        <v>0</v>
      </c>
      <c r="M6" s="1">
        <f>Table2[[#This Row],[Energy consumption in W]]*24*365/1000</f>
        <v>0</v>
      </c>
      <c r="N6" s="1">
        <f t="shared" si="0"/>
        <v>6.0960000000000007E-3</v>
      </c>
      <c r="O6" s="2">
        <f>Table2[[#This Row],[Yearly Energy Consumption in kWh]]*Table2[[#This Row],[CU/kWh]]</f>
        <v>0</v>
      </c>
      <c r="P6">
        <v>0.5</v>
      </c>
      <c r="Q6">
        <v>20</v>
      </c>
      <c r="R6" s="8">
        <f>Table2[[#This Row],[Quantity]]*(Table2[[#This Row],[FIT]]*24*365)/1000000000</f>
        <v>0.3279744</v>
      </c>
      <c r="S6" s="1">
        <f>2*Table2[[#This Row],[Mean dist in km from CO]]/Table2[[#This Row],[Avg Travel Speed]]</f>
        <v>0.05</v>
      </c>
      <c r="T6" s="1">
        <f>Table2[[#This Row],[MTTR]]+Table2[[#This Row],[Twice Travel Time]]</f>
        <v>6.05</v>
      </c>
      <c r="U6">
        <v>1</v>
      </c>
      <c r="V6" s="1">
        <f t="shared" si="1"/>
        <v>3.8</v>
      </c>
      <c r="W6" s="2">
        <f>Table2[[#This Row],[Cost per hour]]*Table2[[#This Row],[Total Time to Repair(h)]]*Table2[[#This Row],[Failures per year]]</f>
        <v>7.5401314559999992</v>
      </c>
      <c r="X6" s="1">
        <v>0</v>
      </c>
      <c r="Y6" s="1">
        <f t="shared" si="2"/>
        <v>24</v>
      </c>
      <c r="Z6" s="1">
        <f t="shared" si="3"/>
        <v>40</v>
      </c>
    </row>
    <row r="7" spans="1:27" x14ac:dyDescent="0.25">
      <c r="A7" t="s">
        <v>10</v>
      </c>
      <c r="B7" t="s">
        <v>5</v>
      </c>
      <c r="C7">
        <v>4</v>
      </c>
      <c r="D7">
        <v>312</v>
      </c>
      <c r="E7">
        <v>0</v>
      </c>
      <c r="F7" s="1">
        <f>Table2[[#This Row],[Floor Space per component]]*Table2[[#This Row],[Quantity]]</f>
        <v>0</v>
      </c>
      <c r="G7" s="1">
        <v>0</v>
      </c>
      <c r="H7" s="2">
        <f>Table2[[#This Row],[Rent per sqm per year]]*Table2[[#This Row],[Total Floor Space]]</f>
        <v>0</v>
      </c>
      <c r="I7">
        <v>0</v>
      </c>
      <c r="J7">
        <v>0</v>
      </c>
      <c r="K7">
        <v>0</v>
      </c>
      <c r="L7">
        <f>1.2*Table2[[#This Row],[Quantity]]</f>
        <v>374.4</v>
      </c>
      <c r="M7" s="1">
        <f>Table2[[#This Row],[Energy consumption in W]]*24*365/1000</f>
        <v>3279.7439999999997</v>
      </c>
      <c r="N7" s="1">
        <f t="shared" si="0"/>
        <v>6.0960000000000007E-3</v>
      </c>
      <c r="O7" s="2">
        <f>Table2[[#This Row],[Yearly Energy Consumption in kWh]]*Table2[[#This Row],[CU/kWh]]</f>
        <v>19.993319423999999</v>
      </c>
      <c r="P7">
        <v>1.5</v>
      </c>
      <c r="Q7">
        <v>20</v>
      </c>
      <c r="R7" s="8">
        <f>Table2[[#This Row],[Quantity]]*(Table2[[#This Row],[FIT]]*24*365)/1000000000</f>
        <v>0</v>
      </c>
      <c r="S7" s="1">
        <f>2*Table2[[#This Row],[Mean dist in km from CO]]/Table2[[#This Row],[Avg Travel Speed]]</f>
        <v>0.15</v>
      </c>
      <c r="T7" s="1">
        <f>Table2[[#This Row],[MTTR]]+Table2[[#This Row],[Twice Travel Time]]</f>
        <v>0.15</v>
      </c>
      <c r="U7">
        <v>1</v>
      </c>
      <c r="V7" s="1">
        <f t="shared" si="1"/>
        <v>3.8</v>
      </c>
      <c r="W7" s="2">
        <f>Table2[[#This Row],[Cost per hour]]*Table2[[#This Row],[Total Time to Repair(h)]]*Table2[[#This Row],[Failures per year]]</f>
        <v>0</v>
      </c>
      <c r="X7" s="1">
        <v>0</v>
      </c>
      <c r="Y7" s="1">
        <f t="shared" si="2"/>
        <v>24</v>
      </c>
      <c r="Z7" s="1">
        <f t="shared" si="3"/>
        <v>40</v>
      </c>
    </row>
    <row r="8" spans="1:27" x14ac:dyDescent="0.25">
      <c r="A8" t="s">
        <v>10</v>
      </c>
      <c r="B8" t="s">
        <v>11</v>
      </c>
      <c r="C8">
        <v>1</v>
      </c>
      <c r="D8">
        <v>2488</v>
      </c>
      <c r="E8">
        <v>0</v>
      </c>
      <c r="F8" s="1">
        <f>Table2[[#This Row],[Floor Space per component]]*Table2[[#This Row],[Quantity]]</f>
        <v>0</v>
      </c>
      <c r="G8" s="1">
        <v>4</v>
      </c>
      <c r="H8" s="2">
        <f>Table2[[#This Row],[Rent per sqm per year]]*Table2[[#This Row],[Total Floor Space]]</f>
        <v>0</v>
      </c>
      <c r="I8">
        <v>2488</v>
      </c>
      <c r="J8">
        <v>6</v>
      </c>
      <c r="K8">
        <v>256</v>
      </c>
      <c r="L8">
        <f>4*Table2[[#This Row],[Quantity]]</f>
        <v>9952</v>
      </c>
      <c r="M8" s="1">
        <f>Table2[[#This Row],[Energy consumption in W]]*24*365/1000</f>
        <v>87179.520000000004</v>
      </c>
      <c r="N8" s="1">
        <f t="shared" si="0"/>
        <v>6.0960000000000007E-3</v>
      </c>
      <c r="O8" s="2">
        <f>Table2[[#This Row],[Yearly Energy Consumption in kWh]]*Table2[[#This Row],[CU/kWh]]</f>
        <v>531.44635392000009</v>
      </c>
      <c r="P8">
        <v>1.5</v>
      </c>
      <c r="Q8">
        <v>20</v>
      </c>
      <c r="R8" s="8">
        <f>Table2[[#This Row],[Quantity]]*(Table2[[#This Row],[FIT]]*24*365)/1000000000</f>
        <v>5.5794892799999998</v>
      </c>
      <c r="S8" s="1">
        <f>2*Table2[[#This Row],[Mean dist in km from CO]]/Table2[[#This Row],[Avg Travel Speed]]</f>
        <v>0.15</v>
      </c>
      <c r="T8" s="1">
        <f>Table2[[#This Row],[MTTR]]+Table2[[#This Row],[Twice Travel Time]]</f>
        <v>6.15</v>
      </c>
      <c r="U8">
        <v>1</v>
      </c>
      <c r="V8" s="1">
        <f t="shared" si="1"/>
        <v>3.8</v>
      </c>
      <c r="W8" s="2">
        <f>Table2[[#This Row],[Cost per hour]]*Table2[[#This Row],[Total Time to Repair(h)]]*Table2[[#This Row],[Failures per year]]</f>
        <v>130.39266447360001</v>
      </c>
      <c r="X8" s="1">
        <v>0</v>
      </c>
      <c r="Y8" s="1">
        <f t="shared" si="2"/>
        <v>24</v>
      </c>
      <c r="Z8" s="1">
        <f t="shared" si="3"/>
        <v>40</v>
      </c>
    </row>
    <row r="9" spans="1:27" x14ac:dyDescent="0.25">
      <c r="A9" t="s">
        <v>10</v>
      </c>
      <c r="B9" t="s">
        <v>12</v>
      </c>
      <c r="C9">
        <v>124</v>
      </c>
      <c r="D9">
        <v>1244</v>
      </c>
      <c r="E9">
        <v>1</v>
      </c>
      <c r="F9" s="1">
        <f>Table2[[#This Row],[Floor Space per component]]*Table2[[#This Row],[Quantity]]</f>
        <v>1244</v>
      </c>
      <c r="G9" s="1">
        <v>4</v>
      </c>
      <c r="H9" s="2">
        <f>Table2[[#This Row],[Rent per sqm per year]]*Table2[[#This Row],[Total Floor Space]]</f>
        <v>4976</v>
      </c>
      <c r="I9">
        <v>207.83333333333331</v>
      </c>
      <c r="J9">
        <v>24</v>
      </c>
      <c r="K9">
        <v>5000</v>
      </c>
      <c r="L9">
        <f>50*Table2[[#This Row],[Quantity]]</f>
        <v>62200</v>
      </c>
      <c r="M9" s="1">
        <f>Table2[[#This Row],[Energy consumption in W]]*24*365/1000</f>
        <v>544872</v>
      </c>
      <c r="N9" s="1">
        <f t="shared" si="0"/>
        <v>6.0960000000000007E-3</v>
      </c>
      <c r="O9" s="2">
        <f>Table2[[#This Row],[Yearly Energy Consumption in kWh]]*Table2[[#This Row],[CU/kWh]]</f>
        <v>3321.5397120000002</v>
      </c>
      <c r="P9">
        <v>1.5</v>
      </c>
      <c r="Q9">
        <v>20</v>
      </c>
      <c r="R9" s="8">
        <f>Table2[[#This Row],[Quantity]]*(Table2[[#This Row],[FIT]]*24*365)/1000000000</f>
        <v>54.487200000000001</v>
      </c>
      <c r="S9" s="1">
        <f>2*Table2[[#This Row],[Mean dist in km from CO]]/Table2[[#This Row],[Avg Travel Speed]]</f>
        <v>0.15</v>
      </c>
      <c r="T9" s="1">
        <f>Table2[[#This Row],[MTTR]]+Table2[[#This Row],[Twice Travel Time]]</f>
        <v>24.15</v>
      </c>
      <c r="U9">
        <v>1</v>
      </c>
      <c r="V9" s="1">
        <f t="shared" si="1"/>
        <v>3.8</v>
      </c>
      <c r="W9" s="2">
        <f>Table2[[#This Row],[Cost per hour]]*Table2[[#This Row],[Total Time to Repair(h)]]*Table2[[#This Row],[Failures per year]]</f>
        <v>5000.290344</v>
      </c>
      <c r="X9" s="1">
        <v>0</v>
      </c>
      <c r="Y9" s="1">
        <f t="shared" si="2"/>
        <v>24</v>
      </c>
      <c r="Z9" s="1">
        <f t="shared" si="3"/>
        <v>40</v>
      </c>
    </row>
    <row r="10" spans="1:27" x14ac:dyDescent="0.25">
      <c r="A10" t="s">
        <v>13</v>
      </c>
      <c r="B10" t="s">
        <v>14</v>
      </c>
      <c r="C10">
        <v>0</v>
      </c>
      <c r="D10">
        <v>4877</v>
      </c>
      <c r="E10">
        <v>0</v>
      </c>
      <c r="F10" s="1">
        <f>Table2[[#This Row],[Floor Space per component]]*Table2[[#This Row],[Quantity]]</f>
        <v>0</v>
      </c>
      <c r="G10" s="1">
        <v>0</v>
      </c>
      <c r="H10" s="2">
        <f>Table2[[#This Row],[Rent per sqm per year]]*Table2[[#This Row],[Total Floor Space]]</f>
        <v>0</v>
      </c>
      <c r="I10">
        <v>0</v>
      </c>
      <c r="J10">
        <v>0</v>
      </c>
      <c r="K10">
        <v>0</v>
      </c>
      <c r="L10">
        <v>0</v>
      </c>
      <c r="M10" s="1">
        <f>Table2[[#This Row],[Energy consumption in W]]*24*365/1000</f>
        <v>0</v>
      </c>
      <c r="N10" s="1">
        <f t="shared" si="0"/>
        <v>6.0960000000000007E-3</v>
      </c>
      <c r="O10" s="2">
        <f>Table2[[#This Row],[Yearly Energy Consumption in kWh]]*Table2[[#This Row],[CU/kWh]]</f>
        <v>0</v>
      </c>
      <c r="P10">
        <v>2</v>
      </c>
      <c r="Q10">
        <v>20</v>
      </c>
      <c r="R10" s="8">
        <f>Table2[[#This Row],[Quantity]]*(Table2[[#This Row],[FIT]]*24*365)/1000000000</f>
        <v>0</v>
      </c>
      <c r="S10" s="1">
        <f>2*Table2[[#This Row],[Mean dist in km from CO]]/Table2[[#This Row],[Avg Travel Speed]]</f>
        <v>0.2</v>
      </c>
      <c r="T10" s="1">
        <f>Table2[[#This Row],[MTTR]]+Table2[[#This Row],[Twice Travel Time]]</f>
        <v>0.2</v>
      </c>
      <c r="U10">
        <v>1</v>
      </c>
      <c r="V10" s="1">
        <f t="shared" si="1"/>
        <v>3.8</v>
      </c>
      <c r="W10" s="2">
        <f>Table2[[#This Row],[Cost per hour]]*Table2[[#This Row],[Total Time to Repair(h)]]*Table2[[#This Row],[Failures per year]]</f>
        <v>0</v>
      </c>
      <c r="X10" s="1">
        <v>0</v>
      </c>
      <c r="Y10" s="1">
        <f t="shared" si="2"/>
        <v>24</v>
      </c>
      <c r="Z10" s="1">
        <f t="shared" si="3"/>
        <v>40</v>
      </c>
    </row>
    <row r="11" spans="1:27" x14ac:dyDescent="0.25">
      <c r="H11" s="22">
        <f>SUM(Table2[Total Rent cost per year])</f>
        <v>7308</v>
      </c>
      <c r="O11" s="22">
        <f>SUM(Table2[Energy Cost per year in CU])</f>
        <v>3900.4488391680002</v>
      </c>
      <c r="W11" s="22">
        <f>SUM(Table2[FM Cost])+L20</f>
        <v>5573.7289654697133</v>
      </c>
    </row>
    <row r="14" spans="1:27" x14ac:dyDescent="0.25">
      <c r="A14" t="s">
        <v>41</v>
      </c>
      <c r="B14" t="s">
        <v>17</v>
      </c>
      <c r="C14" t="s">
        <v>16</v>
      </c>
      <c r="D14" t="s">
        <v>42</v>
      </c>
      <c r="E14" t="s">
        <v>30</v>
      </c>
      <c r="F14" s="1" t="s">
        <v>46</v>
      </c>
      <c r="G14" s="1" t="s">
        <v>47</v>
      </c>
      <c r="H14" s="1" t="s">
        <v>49</v>
      </c>
      <c r="I14" t="s">
        <v>48</v>
      </c>
      <c r="J14" t="s">
        <v>50</v>
      </c>
      <c r="K14" t="s">
        <v>51</v>
      </c>
      <c r="L14" t="s">
        <v>52</v>
      </c>
    </row>
    <row r="15" spans="1:27" x14ac:dyDescent="0.25">
      <c r="A15" t="s">
        <v>43</v>
      </c>
      <c r="B15">
        <f>570*B29/1000</f>
        <v>97502.201320258406</v>
      </c>
      <c r="C15">
        <v>24</v>
      </c>
      <c r="D15">
        <v>1</v>
      </c>
      <c r="E15">
        <f>190/50</f>
        <v>3.8</v>
      </c>
      <c r="F15" s="1">
        <v>1</v>
      </c>
      <c r="G15" s="1">
        <v>0.5</v>
      </c>
      <c r="H15" s="1">
        <f>F15/20</f>
        <v>0.05</v>
      </c>
      <c r="I15">
        <f>G15/20</f>
        <v>2.5000000000000001E-2</v>
      </c>
      <c r="J15">
        <f>C15+2*H15</f>
        <v>24.1</v>
      </c>
      <c r="K15">
        <f>C15+2*I15</f>
        <v>24.05</v>
      </c>
      <c r="L15">
        <f>B15*24*365*J15*E15/1000000000</f>
        <v>78.220243988925162</v>
      </c>
    </row>
    <row r="16" spans="1:27" x14ac:dyDescent="0.25">
      <c r="A16" t="s">
        <v>44</v>
      </c>
      <c r="B16">
        <f>570*C29/1000</f>
        <v>48782.100875533812</v>
      </c>
      <c r="C16">
        <v>24</v>
      </c>
      <c r="D16">
        <v>1</v>
      </c>
      <c r="E16">
        <v>3.8</v>
      </c>
      <c r="F16" s="1">
        <v>2</v>
      </c>
      <c r="G16" s="1">
        <v>1</v>
      </c>
      <c r="H16" s="1">
        <f t="shared" ref="H16:H17" si="4">F16/20</f>
        <v>0.1</v>
      </c>
      <c r="I16" s="1">
        <f t="shared" ref="I16:I17" si="5">G16/20</f>
        <v>0.05</v>
      </c>
      <c r="J16" s="1">
        <f t="shared" ref="J16:J17" si="6">C16+2*H16</f>
        <v>24.2</v>
      </c>
      <c r="K16" s="1">
        <f t="shared" ref="K16:K17" si="7">C16+2*I16</f>
        <v>24.1</v>
      </c>
      <c r="L16" s="1">
        <f t="shared" ref="L16:L17" si="8">B16*24*365*J16*E16/1000000000</f>
        <v>39.297377489463415</v>
      </c>
    </row>
    <row r="17" spans="1:19" x14ac:dyDescent="0.25">
      <c r="A17" t="s">
        <v>45</v>
      </c>
      <c r="B17">
        <f>570*D29/1000</f>
        <v>390662.20119410474</v>
      </c>
      <c r="C17">
        <v>24</v>
      </c>
      <c r="D17">
        <v>1</v>
      </c>
      <c r="E17">
        <v>3.8</v>
      </c>
      <c r="F17" s="1">
        <v>4</v>
      </c>
      <c r="G17" s="1">
        <v>1.5</v>
      </c>
      <c r="H17" s="1">
        <f t="shared" si="4"/>
        <v>0.2</v>
      </c>
      <c r="I17" s="1">
        <f t="shared" si="5"/>
        <v>7.4999999999999997E-2</v>
      </c>
      <c r="J17" s="1">
        <f t="shared" si="6"/>
        <v>24.4</v>
      </c>
      <c r="K17" s="1">
        <f t="shared" si="7"/>
        <v>24.15</v>
      </c>
      <c r="L17" s="1">
        <f t="shared" si="8"/>
        <v>317.30646582172432</v>
      </c>
    </row>
    <row r="18" spans="1:19" x14ac:dyDescent="0.25">
      <c r="Q18" t="s">
        <v>54</v>
      </c>
    </row>
    <row r="19" spans="1:19" x14ac:dyDescent="0.25">
      <c r="Q19">
        <f>Table2[[#Totals],[Total Rent cost per year]]+Table2[[#Totals],[Energy Cost per year in CU]]+Table2[[#Totals],[FM Cost]]+L20</f>
        <v>17217.001891937827</v>
      </c>
    </row>
    <row r="20" spans="1:19" x14ac:dyDescent="0.25">
      <c r="K20" t="s">
        <v>53</v>
      </c>
      <c r="L20">
        <f>SUM(L15:L17)</f>
        <v>434.82408730011286</v>
      </c>
    </row>
    <row r="25" spans="1:19" x14ac:dyDescent="0.25">
      <c r="H25" s="1" t="s">
        <v>93</v>
      </c>
    </row>
    <row r="26" spans="1:19" x14ac:dyDescent="0.25">
      <c r="H26" s="1" t="s">
        <v>94</v>
      </c>
      <c r="I26">
        <f>Table2[[#Totals],[Total Rent cost per year]]</f>
        <v>7308</v>
      </c>
    </row>
    <row r="27" spans="1:19" x14ac:dyDescent="0.25">
      <c r="H27" s="1" t="s">
        <v>95</v>
      </c>
      <c r="I27">
        <f>Table2[[#Totals],[Energy Cost per year in CU]]</f>
        <v>3900.4488391680002</v>
      </c>
    </row>
    <row r="28" spans="1:19" x14ac:dyDescent="0.25">
      <c r="H28" s="1" t="s">
        <v>96</v>
      </c>
      <c r="I28">
        <f>Table2[[#Totals],[FM Cost]]+L20</f>
        <v>6008.5530527698265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H29" s="1" t="s">
        <v>97</v>
      </c>
      <c r="I29">
        <f>0.05*SUM(I26:I28)</f>
        <v>860.85009459689138</v>
      </c>
      <c r="S29">
        <v>11727.88547395296</v>
      </c>
    </row>
    <row r="30" spans="1:19" x14ac:dyDescent="0.25">
      <c r="H30" s="1" t="s">
        <v>98</v>
      </c>
      <c r="I30">
        <f>0.07*SUM(I26:I28)</f>
        <v>1205.1901324356479</v>
      </c>
    </row>
    <row r="31" spans="1:19" x14ac:dyDescent="0.25">
      <c r="I31">
        <f>SUM(I26:I30)</f>
        <v>19283.042118970367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N26" sqref="N26:N30"/>
    </sheetView>
  </sheetViews>
  <sheetFormatPr defaultRowHeight="15" x14ac:dyDescent="0.25"/>
  <cols>
    <col min="1" max="1" width="23.28515625" customWidth="1"/>
    <col min="2" max="2" width="27.42578125" customWidth="1"/>
    <col min="3" max="3" width="21.28515625" customWidth="1"/>
    <col min="4" max="4" width="21.140625" customWidth="1"/>
    <col min="5" max="5" width="31.42578125" customWidth="1"/>
    <col min="6" max="6" width="25" customWidth="1"/>
    <col min="7" max="7" width="22.5703125" customWidth="1"/>
    <col min="8" max="8" width="23.85546875" customWidth="1"/>
    <col min="9" max="9" width="25.5703125" customWidth="1"/>
    <col min="10" max="10" width="18.28515625" customWidth="1"/>
    <col min="12" max="12" width="25.7109375" customWidth="1"/>
    <col min="13" max="13" width="34.140625" customWidth="1"/>
    <col min="14" max="14" width="10.7109375" customWidth="1"/>
    <col min="15" max="15" width="26.28515625" customWidth="1"/>
    <col min="16" max="16" width="25" customWidth="1"/>
    <col min="17" max="17" width="18.28515625" customWidth="1"/>
    <col min="18" max="18" width="17.85546875" customWidth="1"/>
    <col min="19" max="19" width="19" customWidth="1"/>
    <col min="20" max="20" width="23.42578125" customWidth="1"/>
    <col min="21" max="21" width="19.28515625" customWidth="1"/>
    <col min="22" max="22" width="15" customWidth="1"/>
    <col min="23" max="23" width="19.28515625" customWidth="1"/>
    <col min="24" max="24" width="23.5703125" customWidth="1"/>
    <col min="25" max="25" width="21.28515625" customWidth="1"/>
    <col min="26" max="26" width="16.140625" customWidth="1"/>
    <col min="27" max="27" width="1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t="s">
        <v>3</v>
      </c>
      <c r="B2" t="s">
        <v>60</v>
      </c>
      <c r="C2">
        <v>80</v>
      </c>
      <c r="D2">
        <v>54</v>
      </c>
      <c r="E2">
        <v>5</v>
      </c>
      <c r="F2">
        <f>Table3[[#This Row],[Floor Space per component]]*Table3[[#This Row],[Quantity]]</f>
        <v>270</v>
      </c>
      <c r="G2">
        <v>10.6</v>
      </c>
      <c r="H2">
        <f>Table3[[#This Row],[Rent per sqm per year]]*Table3[[#This Row],[Total Floor Space]]</f>
        <v>2862</v>
      </c>
      <c r="I2">
        <f>0.5+(1/6)*Table3[[#This Row],[Quantity]]</f>
        <v>9.5</v>
      </c>
      <c r="J2">
        <v>2</v>
      </c>
      <c r="K2">
        <v>256</v>
      </c>
      <c r="L2">
        <f>100*Table3[[#This Row],[Quantity]]</f>
        <v>5400</v>
      </c>
      <c r="M2">
        <f>Table3[[#This Row],[Energy consumption in W]]*24*365/1000</f>
        <v>47304</v>
      </c>
      <c r="N2">
        <f>0.3048/50</f>
        <v>6.0960000000000007E-3</v>
      </c>
      <c r="O2">
        <f>Table3[[#This Row],[Yearly Energy Consumption in kWh]]*Table3[[#This Row],[CU/kWh]]</f>
        <v>288.36518400000006</v>
      </c>
      <c r="P2">
        <v>0</v>
      </c>
      <c r="Q2">
        <v>20</v>
      </c>
      <c r="R2">
        <f>Table3[[#This Row],[Quantity]]*(Table3[[#This Row],[FIT]]*24*365)/1000000000</f>
        <v>0.12109824</v>
      </c>
      <c r="S2">
        <f>2*Table3[[#This Row],[Mean dist in km from CO]]/Table3[[#This Row],[Avg Travel Speed]]</f>
        <v>0</v>
      </c>
      <c r="T2">
        <f>Table3[[#This Row],[MTTR]]+Table3[[#This Row],[Twice Travel Time]]</f>
        <v>2</v>
      </c>
      <c r="U2">
        <v>1</v>
      </c>
      <c r="V2">
        <f>190/50</f>
        <v>3.8</v>
      </c>
      <c r="W2">
        <f>Table3[[#This Row],[Cost per hour]]*Table3[[#This Row],[Total Time to Repair(h)]]*Table3[[#This Row],[Failures per year]]</f>
        <v>0.92034662399999989</v>
      </c>
    </row>
    <row r="3" spans="1:27" x14ac:dyDescent="0.25">
      <c r="A3" t="s">
        <v>3</v>
      </c>
      <c r="B3" t="s">
        <v>61</v>
      </c>
      <c r="C3">
        <v>12</v>
      </c>
      <c r="D3">
        <v>156</v>
      </c>
      <c r="E3">
        <v>0</v>
      </c>
      <c r="F3" s="6">
        <f>Table3[[#This Row],[Floor Space per component]]*Table3[[#This Row],[Quantity]]</f>
        <v>0</v>
      </c>
      <c r="G3">
        <v>0</v>
      </c>
      <c r="H3" s="6">
        <f>Table3[[#This Row],[Rent per sqm per year]]*Table3[[#This Row],[Total Floor Space]]</f>
        <v>0</v>
      </c>
      <c r="I3">
        <v>0</v>
      </c>
      <c r="J3">
        <v>0</v>
      </c>
      <c r="K3">
        <v>0</v>
      </c>
      <c r="L3">
        <f>4.5*Table3[[#This Row],[Quantity]]</f>
        <v>702</v>
      </c>
      <c r="M3" s="6">
        <f>Table3[[#This Row],[Energy consumption in W]]*24*365/1000</f>
        <v>6149.52</v>
      </c>
      <c r="N3" s="6">
        <f t="shared" ref="N3:N10" si="0">0.3048/50</f>
        <v>6.0960000000000007E-3</v>
      </c>
      <c r="O3" s="6">
        <f>Table3[[#This Row],[Yearly Energy Consumption in kWh]]*Table3[[#This Row],[CU/kWh]]</f>
        <v>37.487473920000006</v>
      </c>
      <c r="P3">
        <v>0</v>
      </c>
      <c r="Q3" s="6">
        <v>20</v>
      </c>
      <c r="R3" s="8">
        <f>Table3[[#This Row],[Quantity]]*(Table3[[#This Row],[FIT]]*24*365)/1000000000</f>
        <v>0</v>
      </c>
      <c r="S3" s="6">
        <f>2*Table3[[#This Row],[Mean dist in km from CO]]/Table3[[#This Row],[Avg Travel Speed]]</f>
        <v>0</v>
      </c>
      <c r="T3" s="6">
        <f>Table3[[#This Row],[MTTR]]+Table3[[#This Row],[Twice Travel Time]]</f>
        <v>0</v>
      </c>
      <c r="U3" s="6">
        <v>1</v>
      </c>
      <c r="V3" s="6">
        <f t="shared" ref="V3:V10" si="1">190/50</f>
        <v>3.8</v>
      </c>
      <c r="W3" s="6">
        <f>Table3[[#This Row],[Cost per hour]]*Table3[[#This Row],[Total Time to Repair(h)]]*Table3[[#This Row],[Failures per year]]</f>
        <v>0</v>
      </c>
    </row>
    <row r="4" spans="1:27" x14ac:dyDescent="0.25">
      <c r="A4" t="s">
        <v>3</v>
      </c>
      <c r="B4" t="s">
        <v>6</v>
      </c>
      <c r="C4">
        <v>1.1111111E-2</v>
      </c>
      <c r="D4">
        <v>1200</v>
      </c>
      <c r="E4">
        <v>0</v>
      </c>
      <c r="F4" s="6">
        <f>Table3[[#This Row],[Floor Space per component]]*Table3[[#This Row],[Quantity]]</f>
        <v>0</v>
      </c>
      <c r="G4">
        <v>0</v>
      </c>
      <c r="H4" s="6">
        <f>Table3[[#This Row],[Rent per sqm per year]]*Table3[[#This Row],[Total Floor Space]]</f>
        <v>0</v>
      </c>
      <c r="I4">
        <v>0</v>
      </c>
      <c r="J4">
        <v>0</v>
      </c>
      <c r="K4">
        <v>0</v>
      </c>
      <c r="L4">
        <f>1*Table3[[#This Row],[Quantity]]</f>
        <v>1200</v>
      </c>
      <c r="M4" s="6">
        <f>Table3[[#This Row],[Energy consumption in W]]*24*365/1000</f>
        <v>10512</v>
      </c>
      <c r="N4" s="6">
        <f t="shared" si="0"/>
        <v>6.0960000000000007E-3</v>
      </c>
      <c r="O4" s="6">
        <f>Table3[[#This Row],[Yearly Energy Consumption in kWh]]*Table3[[#This Row],[CU/kWh]]</f>
        <v>64.081152000000003</v>
      </c>
      <c r="P4">
        <v>0</v>
      </c>
      <c r="Q4" s="6">
        <v>20</v>
      </c>
      <c r="R4" s="8">
        <f>Table3[[#This Row],[Quantity]]*(Table3[[#This Row],[FIT]]*24*365)/1000000000</f>
        <v>0</v>
      </c>
      <c r="S4" s="6">
        <f>2*Table3[[#This Row],[Mean dist in km from CO]]/Table3[[#This Row],[Avg Travel Speed]]</f>
        <v>0</v>
      </c>
      <c r="T4" s="6">
        <f>Table3[[#This Row],[MTTR]]+Table3[[#This Row],[Twice Travel Time]]</f>
        <v>0</v>
      </c>
      <c r="U4" s="6">
        <v>1</v>
      </c>
      <c r="V4" s="6">
        <f t="shared" si="1"/>
        <v>3.8</v>
      </c>
      <c r="W4" s="6">
        <f>Table3[[#This Row],[Cost per hour]]*Table3[[#This Row],[Total Time to Repair(h)]]*Table3[[#This Row],[Failures per year]]</f>
        <v>0</v>
      </c>
    </row>
    <row r="5" spans="1:27" x14ac:dyDescent="0.25">
      <c r="A5" t="s">
        <v>3</v>
      </c>
      <c r="B5" t="s">
        <v>7</v>
      </c>
      <c r="C5">
        <v>200</v>
      </c>
      <c r="D5">
        <v>1</v>
      </c>
      <c r="E5">
        <v>20</v>
      </c>
      <c r="F5" s="6">
        <f>Table3[[#This Row],[Floor Space per component]]*Table3[[#This Row],[Quantity]]</f>
        <v>20</v>
      </c>
      <c r="G5">
        <v>10.6</v>
      </c>
      <c r="H5" s="6">
        <f>Table3[[#This Row],[Rent per sqm per year]]*Table3[[#This Row],[Total Floor Space]]</f>
        <v>212</v>
      </c>
      <c r="I5">
        <v>4</v>
      </c>
      <c r="J5">
        <v>0</v>
      </c>
      <c r="K5">
        <v>0</v>
      </c>
      <c r="L5">
        <f>100*Table3[[#This Row],[Quantity]]</f>
        <v>100</v>
      </c>
      <c r="M5" s="6">
        <f>Table3[[#This Row],[Energy consumption in W]]*24*365/1000</f>
        <v>876</v>
      </c>
      <c r="N5" s="6">
        <f t="shared" si="0"/>
        <v>6.0960000000000007E-3</v>
      </c>
      <c r="O5" s="6">
        <f>Table3[[#This Row],[Yearly Energy Consumption in kWh]]*Table3[[#This Row],[CU/kWh]]</f>
        <v>5.3400960000000008</v>
      </c>
      <c r="P5">
        <v>0</v>
      </c>
      <c r="Q5" s="6">
        <v>20</v>
      </c>
      <c r="R5" s="8">
        <f>Table3[[#This Row],[Quantity]]*(Table3[[#This Row],[FIT]]*24*365)/1000000000</f>
        <v>0</v>
      </c>
      <c r="S5" s="6">
        <f>2*Table3[[#This Row],[Mean dist in km from CO]]/Table3[[#This Row],[Avg Travel Speed]]</f>
        <v>0</v>
      </c>
      <c r="T5" s="6">
        <f>Table3[[#This Row],[MTTR]]+Table3[[#This Row],[Twice Travel Time]]</f>
        <v>0</v>
      </c>
      <c r="U5" s="6">
        <v>1</v>
      </c>
      <c r="V5" s="6">
        <f t="shared" si="1"/>
        <v>3.8</v>
      </c>
      <c r="W5" s="6">
        <f>Table3[[#This Row],[Cost per hour]]*Table3[[#This Row],[Total Time to Repair(h)]]*Table3[[#This Row],[Failures per year]]</f>
        <v>0</v>
      </c>
    </row>
    <row r="6" spans="1:27" x14ac:dyDescent="0.25">
      <c r="A6" t="s">
        <v>8</v>
      </c>
      <c r="B6" t="s">
        <v>9</v>
      </c>
      <c r="C6">
        <v>1.8</v>
      </c>
      <c r="D6">
        <v>156</v>
      </c>
      <c r="E6">
        <v>0</v>
      </c>
      <c r="F6" s="6">
        <f>Table3[[#This Row],[Floor Space per component]]*Table3[[#This Row],[Quantity]]</f>
        <v>0</v>
      </c>
      <c r="G6">
        <v>0</v>
      </c>
      <c r="H6" s="6">
        <f>Table3[[#This Row],[Rent per sqm per year]]*Table3[[#This Row],[Total Floor Space]]</f>
        <v>0</v>
      </c>
      <c r="I6">
        <f>1/6*(1+Table3[[#This Row],[Quantity]])</f>
        <v>26.166666666666664</v>
      </c>
      <c r="J6">
        <v>6</v>
      </c>
      <c r="K6">
        <v>50</v>
      </c>
      <c r="L6">
        <f>0*Table3[[#This Row],[Quantity]]</f>
        <v>0</v>
      </c>
      <c r="M6" s="6">
        <f>Table3[[#This Row],[Energy consumption in W]]*24*365/1000</f>
        <v>0</v>
      </c>
      <c r="N6" s="6">
        <f t="shared" si="0"/>
        <v>6.0960000000000007E-3</v>
      </c>
      <c r="O6" s="6">
        <f>Table3[[#This Row],[Yearly Energy Consumption in kWh]]*Table3[[#This Row],[CU/kWh]]</f>
        <v>0</v>
      </c>
      <c r="P6">
        <v>1.5</v>
      </c>
      <c r="Q6" s="6">
        <v>20</v>
      </c>
      <c r="R6" s="8">
        <f>Table3[[#This Row],[Quantity]]*(Table3[[#This Row],[FIT]]*24*365)/1000000000</f>
        <v>6.8328E-2</v>
      </c>
      <c r="S6" s="6">
        <f>2*Table3[[#This Row],[Mean dist in km from CO]]/Table3[[#This Row],[Avg Travel Speed]]</f>
        <v>0.15</v>
      </c>
      <c r="T6" s="6">
        <f>Table3[[#This Row],[MTTR]]+Table3[[#This Row],[Twice Travel Time]]</f>
        <v>6.15</v>
      </c>
      <c r="U6" s="6">
        <v>1</v>
      </c>
      <c r="V6" s="6">
        <f t="shared" si="1"/>
        <v>3.8</v>
      </c>
      <c r="W6" s="6">
        <f>Table3[[#This Row],[Cost per hour]]*Table3[[#This Row],[Total Time to Repair(h)]]*Table3[[#This Row],[Failures per year]]</f>
        <v>1.59682536</v>
      </c>
    </row>
    <row r="7" spans="1:27" x14ac:dyDescent="0.25">
      <c r="A7" t="s">
        <v>8</v>
      </c>
      <c r="B7" t="s">
        <v>61</v>
      </c>
      <c r="C7">
        <v>12</v>
      </c>
      <c r="D7">
        <v>156</v>
      </c>
      <c r="E7">
        <v>0</v>
      </c>
      <c r="F7" s="6">
        <f>Table3[[#This Row],[Floor Space per component]]*Table3[[#This Row],[Quantity]]</f>
        <v>0</v>
      </c>
      <c r="G7">
        <v>0</v>
      </c>
      <c r="H7" s="6">
        <f>Table3[[#This Row],[Rent per sqm per year]]*Table3[[#This Row],[Total Floor Space]]</f>
        <v>0</v>
      </c>
      <c r="I7">
        <v>0</v>
      </c>
      <c r="J7">
        <v>0</v>
      </c>
      <c r="K7">
        <v>0</v>
      </c>
      <c r="L7">
        <f>4.5*Table3[[#This Row],[Quantity]]</f>
        <v>702</v>
      </c>
      <c r="M7" s="6">
        <f>Table3[[#This Row],[Energy consumption in W]]*24*365/1000</f>
        <v>6149.52</v>
      </c>
      <c r="N7" s="6">
        <f t="shared" si="0"/>
        <v>6.0960000000000007E-3</v>
      </c>
      <c r="O7" s="6">
        <f>Table3[[#This Row],[Yearly Energy Consumption in kWh]]*Table3[[#This Row],[CU/kWh]]</f>
        <v>37.487473920000006</v>
      </c>
      <c r="P7">
        <v>1.5</v>
      </c>
      <c r="Q7" s="6">
        <v>20</v>
      </c>
      <c r="R7" s="8">
        <f>Table3[[#This Row],[Quantity]]*(Table3[[#This Row],[FIT]]*24*365)/1000000000</f>
        <v>0</v>
      </c>
      <c r="S7" s="6">
        <f>2*Table3[[#This Row],[Mean dist in km from CO]]/Table3[[#This Row],[Avg Travel Speed]]</f>
        <v>0.15</v>
      </c>
      <c r="T7" s="6">
        <f>Table3[[#This Row],[MTTR]]+Table3[[#This Row],[Twice Travel Time]]</f>
        <v>0.15</v>
      </c>
      <c r="U7" s="6">
        <v>1</v>
      </c>
      <c r="V7" s="6">
        <f t="shared" si="1"/>
        <v>3.8</v>
      </c>
      <c r="W7" s="6">
        <f>Table3[[#This Row],[Cost per hour]]*Table3[[#This Row],[Total Time to Repair(h)]]*Table3[[#This Row],[Failures per year]]</f>
        <v>0</v>
      </c>
    </row>
    <row r="8" spans="1:27" x14ac:dyDescent="0.25">
      <c r="A8" t="s">
        <v>10</v>
      </c>
      <c r="B8" t="s">
        <v>9</v>
      </c>
      <c r="C8">
        <v>1.8</v>
      </c>
      <c r="D8">
        <v>610</v>
      </c>
      <c r="E8">
        <v>0</v>
      </c>
      <c r="F8" s="6">
        <f>Table3[[#This Row],[Floor Space per component]]*Table3[[#This Row],[Quantity]]</f>
        <v>0</v>
      </c>
      <c r="G8">
        <v>0</v>
      </c>
      <c r="H8" s="6">
        <f>Table3[[#This Row],[Rent per sqm per year]]*Table3[[#This Row],[Total Floor Space]]</f>
        <v>0</v>
      </c>
      <c r="I8" s="6">
        <f>1/6*(1+Table3[[#This Row],[Quantity]])</f>
        <v>101.83333333333333</v>
      </c>
      <c r="J8">
        <v>6</v>
      </c>
      <c r="K8">
        <v>50</v>
      </c>
      <c r="L8">
        <f>0*Table3[[#This Row],[Quantity]]</f>
        <v>0</v>
      </c>
      <c r="M8" s="6">
        <f>Table3[[#This Row],[Energy consumption in W]]*24*365/1000</f>
        <v>0</v>
      </c>
      <c r="N8" s="6">
        <f t="shared" si="0"/>
        <v>6.0960000000000007E-3</v>
      </c>
      <c r="O8" s="6">
        <f>Table3[[#This Row],[Yearly Energy Consumption in kWh]]*Table3[[#This Row],[CU/kWh]]</f>
        <v>0</v>
      </c>
      <c r="P8">
        <v>2</v>
      </c>
      <c r="Q8" s="6">
        <v>20</v>
      </c>
      <c r="R8" s="8">
        <f>Table3[[#This Row],[Quantity]]*(Table3[[#This Row],[FIT]]*24*365)/1000000000</f>
        <v>0.26717999999999997</v>
      </c>
      <c r="S8" s="6">
        <f>2*Table3[[#This Row],[Mean dist in km from CO]]/Table3[[#This Row],[Avg Travel Speed]]</f>
        <v>0.2</v>
      </c>
      <c r="T8" s="6">
        <f>Table3[[#This Row],[MTTR]]+Table3[[#This Row],[Twice Travel Time]]</f>
        <v>6.2</v>
      </c>
      <c r="U8" s="6">
        <v>1</v>
      </c>
      <c r="V8" s="6">
        <f t="shared" si="1"/>
        <v>3.8</v>
      </c>
      <c r="W8" s="6">
        <f>Table3[[#This Row],[Cost per hour]]*Table3[[#This Row],[Total Time to Repair(h)]]*Table3[[#This Row],[Failures per year]]</f>
        <v>6.2947607999999988</v>
      </c>
    </row>
    <row r="9" spans="1:27" x14ac:dyDescent="0.25">
      <c r="A9" t="s">
        <v>13</v>
      </c>
      <c r="B9" t="s">
        <v>62</v>
      </c>
      <c r="C9">
        <v>10</v>
      </c>
      <c r="D9">
        <v>5000</v>
      </c>
      <c r="E9">
        <v>0</v>
      </c>
      <c r="F9" s="6">
        <f>Table3[[#This Row],[Floor Space per component]]*Table3[[#This Row],[Quantity]]</f>
        <v>0</v>
      </c>
      <c r="G9">
        <v>4</v>
      </c>
      <c r="H9" s="6">
        <f>Table3[[#This Row],[Rent per sqm per year]]*Table3[[#This Row],[Total Floor Space]]</f>
        <v>0</v>
      </c>
      <c r="I9">
        <f>(0.5+1/6*8)*Table3[[#This Row],[Quantity]]</f>
        <v>9166.6666666666661</v>
      </c>
      <c r="J9">
        <v>24</v>
      </c>
      <c r="K9">
        <v>5000</v>
      </c>
      <c r="L9">
        <f>50*Table3[[#This Row],[Quantity]]</f>
        <v>250000</v>
      </c>
      <c r="M9" s="6">
        <f>Table3[[#This Row],[Energy consumption in W]]*24*365/1000</f>
        <v>2190000</v>
      </c>
      <c r="N9" s="6">
        <f t="shared" si="0"/>
        <v>6.0960000000000007E-3</v>
      </c>
      <c r="O9" s="6">
        <f>Table3[[#This Row],[Yearly Energy Consumption in kWh]]*Table3[[#This Row],[CU/kWh]]</f>
        <v>13350.240000000002</v>
      </c>
      <c r="P9">
        <v>2.25</v>
      </c>
      <c r="Q9" s="6">
        <v>20</v>
      </c>
      <c r="R9" s="8">
        <f>Table3[[#This Row],[Quantity]]*(Table3[[#This Row],[FIT]]*24*365)/1000000000</f>
        <v>219</v>
      </c>
      <c r="S9" s="6">
        <f>2*Table3[[#This Row],[Mean dist in km from CO]]/Table3[[#This Row],[Avg Travel Speed]]</f>
        <v>0.22500000000000001</v>
      </c>
      <c r="T9" s="6">
        <f>Table3[[#This Row],[MTTR]]+Table3[[#This Row],[Twice Travel Time]]</f>
        <v>24.225000000000001</v>
      </c>
      <c r="U9" s="6">
        <v>1</v>
      </c>
      <c r="V9" s="6">
        <f t="shared" si="1"/>
        <v>3.8</v>
      </c>
      <c r="W9" s="6">
        <f>Table3[[#This Row],[Cost per hour]]*Table3[[#This Row],[Total Time to Repair(h)]]*Table3[[#This Row],[Failures per year]]</f>
        <v>20160.045000000002</v>
      </c>
    </row>
    <row r="10" spans="1:27" x14ac:dyDescent="0.25">
      <c r="A10" t="s">
        <v>13</v>
      </c>
      <c r="B10" t="s">
        <v>63</v>
      </c>
      <c r="C10">
        <v>2.1</v>
      </c>
      <c r="D10">
        <v>5000</v>
      </c>
      <c r="E10">
        <v>0</v>
      </c>
      <c r="F10" s="6">
        <f>Table3[[#This Row],[Floor Space per component]]*Table3[[#This Row],[Quantity]]</f>
        <v>0</v>
      </c>
      <c r="G10">
        <v>0</v>
      </c>
      <c r="H10" s="6">
        <f>Table3[[#This Row],[Rent per sqm per year]]*Table3[[#This Row],[Total Floor Space]]</f>
        <v>0</v>
      </c>
      <c r="I10">
        <f>1*Table3[[#This Row],[Quantity]]</f>
        <v>5000</v>
      </c>
      <c r="J10">
        <v>6</v>
      </c>
      <c r="K10">
        <v>256</v>
      </c>
      <c r="L10">
        <f>6.5*Table3[[#This Row],[Quantity]]</f>
        <v>32500</v>
      </c>
      <c r="M10" s="6">
        <f>Table3[[#This Row],[Energy consumption in W]]*24*365/1000</f>
        <v>284700</v>
      </c>
      <c r="N10" s="6">
        <f t="shared" si="0"/>
        <v>6.0960000000000007E-3</v>
      </c>
      <c r="O10" s="6">
        <f>Table3[[#This Row],[Yearly Energy Consumption in kWh]]*Table3[[#This Row],[CU/kWh]]</f>
        <v>1735.5312000000001</v>
      </c>
      <c r="P10">
        <v>2.25</v>
      </c>
      <c r="Q10" s="6">
        <v>20</v>
      </c>
      <c r="R10" s="8">
        <f>Table3[[#This Row],[Quantity]]*(Table3[[#This Row],[FIT]]*24*365)/1000000000</f>
        <v>11.2128</v>
      </c>
      <c r="S10" s="6">
        <f>2*Table3[[#This Row],[Mean dist in km from CO]]/Table3[[#This Row],[Avg Travel Speed]]</f>
        <v>0.22500000000000001</v>
      </c>
      <c r="T10" s="6">
        <f>Table3[[#This Row],[MTTR]]+Table3[[#This Row],[Twice Travel Time]]</f>
        <v>6.2249999999999996</v>
      </c>
      <c r="U10" s="6">
        <v>1</v>
      </c>
      <c r="V10" s="6">
        <f t="shared" si="1"/>
        <v>3.8</v>
      </c>
      <c r="W10" s="6">
        <f>Table3[[#This Row],[Cost per hour]]*Table3[[#This Row],[Total Time to Repair(h)]]*Table3[[#This Row],[Failures per year]]</f>
        <v>265.23878399999995</v>
      </c>
    </row>
    <row r="11" spans="1:27" x14ac:dyDescent="0.25">
      <c r="H11">
        <f>SUM(Table3[Total Rent cost per year])</f>
        <v>3074</v>
      </c>
      <c r="O11">
        <f>SUBTOTAL(109,Table3[Energy Cost per year in CU])</f>
        <v>15518.532579840001</v>
      </c>
      <c r="W11">
        <f>SUBTOTAL(109,Table3[FM Cost])</f>
        <v>20434.095716784002</v>
      </c>
    </row>
    <row r="14" spans="1:27" x14ac:dyDescent="0.25">
      <c r="A14" t="s">
        <v>40</v>
      </c>
      <c r="B14" t="s">
        <v>65</v>
      </c>
      <c r="C14" t="s">
        <v>66</v>
      </c>
      <c r="D14" t="s">
        <v>17</v>
      </c>
      <c r="E14" t="s">
        <v>67</v>
      </c>
      <c r="F14" t="s">
        <v>26</v>
      </c>
      <c r="G14" t="s">
        <v>68</v>
      </c>
      <c r="H14" t="s">
        <v>69</v>
      </c>
      <c r="I14" t="s">
        <v>70</v>
      </c>
    </row>
    <row r="15" spans="1:27" x14ac:dyDescent="0.25">
      <c r="B15" s="7">
        <f>171056.493544313/1000</f>
        <v>171.05649354431301</v>
      </c>
      <c r="C15">
        <v>570</v>
      </c>
      <c r="E15">
        <v>20</v>
      </c>
    </row>
    <row r="16" spans="1:27" x14ac:dyDescent="0.25">
      <c r="B16" s="7">
        <f>85582.6331149716/1000</f>
        <v>85.5826331149716</v>
      </c>
      <c r="C16">
        <v>570</v>
      </c>
      <c r="E16">
        <v>20</v>
      </c>
    </row>
    <row r="17" spans="1:14" x14ac:dyDescent="0.25">
      <c r="B17" s="7">
        <f>384090.367674523/1000</f>
        <v>384.09036767452295</v>
      </c>
      <c r="C17">
        <v>570</v>
      </c>
      <c r="E17">
        <v>20</v>
      </c>
      <c r="M17" t="s">
        <v>71</v>
      </c>
    </row>
    <row r="18" spans="1:14" x14ac:dyDescent="0.25">
      <c r="M18">
        <f>Table3[[#Totals],[Total Rent cost per year]]+Table3[[#Totals],[Energy Cost per year in CU]]+Table3[[#Totals],[FM Cost]]+I23</f>
        <v>39321.968045115842</v>
      </c>
    </row>
    <row r="19" spans="1:14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  <c r="K19" s="8"/>
    </row>
    <row r="20" spans="1:14" x14ac:dyDescent="0.25">
      <c r="A20" t="s">
        <v>43</v>
      </c>
      <c r="B20">
        <f>C15*B15</f>
        <v>97502.20132025842</v>
      </c>
      <c r="C20" s="15">
        <v>24</v>
      </c>
      <c r="D20">
        <v>1</v>
      </c>
      <c r="E20">
        <v>3.8</v>
      </c>
      <c r="F20">
        <v>1</v>
      </c>
      <c r="G20">
        <f>2*F20/20</f>
        <v>0.1</v>
      </c>
      <c r="H20">
        <f>G20+C20</f>
        <v>24.1</v>
      </c>
      <c r="I20">
        <f>B20*24*365*E20*FTTB_XGPON_50!H20/1000000000</f>
        <v>78.220243988925176</v>
      </c>
    </row>
    <row r="21" spans="1:14" x14ac:dyDescent="0.25">
      <c r="A21" t="s">
        <v>44</v>
      </c>
      <c r="B21" s="8">
        <f>C16*B16</f>
        <v>48782.100875533812</v>
      </c>
      <c r="C21" s="15">
        <v>24</v>
      </c>
      <c r="D21">
        <v>1</v>
      </c>
      <c r="E21">
        <v>3.8</v>
      </c>
      <c r="F21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</row>
    <row r="22" spans="1:14" x14ac:dyDescent="0.25">
      <c r="A22" t="s">
        <v>64</v>
      </c>
      <c r="B22" s="8">
        <f>C17*B17</f>
        <v>218931.50957447808</v>
      </c>
      <c r="C22" s="15">
        <v>24</v>
      </c>
      <c r="D22">
        <v>2</v>
      </c>
      <c r="E22">
        <v>3.8</v>
      </c>
      <c r="F22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</row>
    <row r="23" spans="1:14" x14ac:dyDescent="0.25">
      <c r="I23">
        <f>SUM(I20:I22)</f>
        <v>295.33974849184011</v>
      </c>
    </row>
    <row r="25" spans="1:14" x14ac:dyDescent="0.25">
      <c r="M25" s="8" t="s">
        <v>93</v>
      </c>
      <c r="N25" s="8"/>
    </row>
    <row r="26" spans="1:14" x14ac:dyDescent="0.25">
      <c r="M26" s="8" t="s">
        <v>94</v>
      </c>
      <c r="N26" s="8">
        <f>Table3[[#Totals],[Total Rent cost per year]]</f>
        <v>3074</v>
      </c>
    </row>
    <row r="27" spans="1:14" x14ac:dyDescent="0.25">
      <c r="M27" s="8" t="s">
        <v>95</v>
      </c>
      <c r="N27" s="8">
        <f>Table3[[#Totals],[Energy Cost per year in CU]]</f>
        <v>15518.532579840001</v>
      </c>
    </row>
    <row r="28" spans="1:14" x14ac:dyDescent="0.25">
      <c r="M28" s="8" t="s">
        <v>96</v>
      </c>
      <c r="N28" s="8">
        <f>Table3[[#Totals],[FM Cost]]+Q20</f>
        <v>20434.095716784002</v>
      </c>
    </row>
    <row r="29" spans="1:14" x14ac:dyDescent="0.25">
      <c r="M29" s="8" t="s">
        <v>97</v>
      </c>
      <c r="N29" s="8">
        <f>0.05*SUM(N26:N28)</f>
        <v>1951.3314148312002</v>
      </c>
    </row>
    <row r="30" spans="1:14" x14ac:dyDescent="0.25">
      <c r="M30" s="8" t="s">
        <v>98</v>
      </c>
      <c r="N30" s="8">
        <f>0.07*SUM(N26:N28)</f>
        <v>2731.8639807636805</v>
      </c>
    </row>
    <row r="31" spans="1:14" x14ac:dyDescent="0.25">
      <c r="N31">
        <f>SUM(N26:N30)</f>
        <v>43709.823692218881</v>
      </c>
    </row>
    <row r="32" spans="1:14" x14ac:dyDescent="0.25">
      <c r="B32" s="7"/>
      <c r="C32" s="7"/>
      <c r="D32" s="7"/>
    </row>
  </sheetData>
  <pageMargins left="0.7" right="0.7" top="0.75" bottom="0.75" header="0.3" footer="0.3"/>
  <pageSetup paperSize="9" orientation="portrait" r:id="rId1"/>
  <headerFooter>
    <oddFooter>&amp;LUnrestricted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N22" sqref="N22:N26"/>
    </sheetView>
  </sheetViews>
  <sheetFormatPr defaultRowHeight="15" x14ac:dyDescent="0.25"/>
  <cols>
    <col min="1" max="1" width="23.5703125" customWidth="1"/>
    <col min="2" max="2" width="19.140625" customWidth="1"/>
    <col min="3" max="3" width="20.140625" customWidth="1"/>
    <col min="4" max="4" width="16.425781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24" customWidth="1"/>
    <col min="10" max="10" width="15.140625" customWidth="1"/>
    <col min="12" max="12" width="24.42578125" customWidth="1"/>
    <col min="13" max="13" width="32.28515625" customWidth="1"/>
    <col min="14" max="14" width="10.140625" customWidth="1"/>
    <col min="15" max="15" width="25" customWidth="1"/>
    <col min="16" max="16" width="23.7109375" customWidth="1"/>
    <col min="17" max="17" width="17.28515625" customWidth="1"/>
    <col min="18" max="18" width="16.5703125" customWidth="1"/>
    <col min="19" max="19" width="17.7109375" customWidth="1"/>
    <col min="20" max="20" width="22.140625" customWidth="1"/>
    <col min="21" max="21" width="18.28515625" customWidth="1"/>
    <col min="22" max="22" width="14.28515625" customWidth="1"/>
    <col min="23" max="23" width="9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t="s">
        <v>39</v>
      </c>
      <c r="I1" t="s">
        <v>19</v>
      </c>
      <c r="J1" t="s">
        <v>16</v>
      </c>
      <c r="K1" t="s">
        <v>17</v>
      </c>
      <c r="L1" t="s">
        <v>18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</row>
    <row r="2" spans="1:24" x14ac:dyDescent="0.25">
      <c r="A2" s="16" t="s">
        <v>3</v>
      </c>
      <c r="B2" s="17" t="s">
        <v>72</v>
      </c>
      <c r="C2" s="18">
        <v>16</v>
      </c>
      <c r="D2" s="18">
        <v>3</v>
      </c>
      <c r="E2">
        <v>0</v>
      </c>
      <c r="F2">
        <f>E2*D2</f>
        <v>0</v>
      </c>
      <c r="G2">
        <v>10.6</v>
      </c>
      <c r="H2">
        <f>G2*F2</f>
        <v>0</v>
      </c>
      <c r="I2">
        <v>0</v>
      </c>
      <c r="J2">
        <v>2</v>
      </c>
      <c r="K2">
        <v>256</v>
      </c>
      <c r="L2">
        <f>12*D2</f>
        <v>36</v>
      </c>
      <c r="M2">
        <f>Table1[[#This Row],[Energy consumption in W]]*24*365/1000</f>
        <v>315.36</v>
      </c>
      <c r="N2">
        <f>0.3048/50</f>
        <v>6.0960000000000007E-3</v>
      </c>
      <c r="O2">
        <f>Table1[[#This Row],[Yearly Energy Consumption in kWh]]*Table1[[#This Row],[CU/kWh]]</f>
        <v>1.9224345600000003</v>
      </c>
      <c r="P2">
        <v>0</v>
      </c>
      <c r="Q2">
        <v>20</v>
      </c>
      <c r="R2">
        <f>Table1[[#This Row],[Quantity]]*Table1[[#This Row],[FIT]]*24*365/1000000000</f>
        <v>6.7276799999999998E-3</v>
      </c>
      <c r="S2">
        <f>2*Table1[[#This Row],[Mean dist in km from CO]]/Table1[[#This Row],[Avg Travel Speed]]</f>
        <v>0</v>
      </c>
      <c r="T2">
        <f>Table1[[#This Row],[MTTR]]+Table1[[#This Row],[Twice Travel Time]]</f>
        <v>2</v>
      </c>
      <c r="U2">
        <v>1</v>
      </c>
      <c r="V2">
        <v>3.8</v>
      </c>
      <c r="W2">
        <f>Table1[[#This Row],[Cost per hour]]*Table1[[#This Row],[No. Of technicians]]*Table1[[#This Row],[Total Time to Repair(h)]]*Table1[[#This Row],[Failures per year]]</f>
        <v>5.1130367999999995E-2</v>
      </c>
    </row>
    <row r="3" spans="1:24" x14ac:dyDescent="0.25">
      <c r="A3" s="19" t="s">
        <v>3</v>
      </c>
      <c r="B3" s="20" t="s">
        <v>73</v>
      </c>
      <c r="C3" s="21">
        <v>8.8000000000000007</v>
      </c>
      <c r="D3" s="21">
        <v>65</v>
      </c>
      <c r="E3">
        <v>5</v>
      </c>
      <c r="F3" s="8">
        <f t="shared" ref="F3:F10" si="0">E3*D3</f>
        <v>325</v>
      </c>
      <c r="G3" s="8">
        <v>10.6</v>
      </c>
      <c r="H3" s="8">
        <f t="shared" ref="H3:H10" si="1">G3*F3</f>
        <v>3445</v>
      </c>
      <c r="I3">
        <f>0.5+(1/6*D3)</f>
        <v>11.333333333333332</v>
      </c>
      <c r="J3">
        <v>2</v>
      </c>
      <c r="K3">
        <v>50</v>
      </c>
      <c r="L3">
        <f>5*D3</f>
        <v>325</v>
      </c>
      <c r="M3" s="8">
        <f>Table1[[#This Row],[Energy consumption in W]]*24*365/1000</f>
        <v>2847</v>
      </c>
      <c r="N3" s="8">
        <f t="shared" ref="N3:N10" si="2">0.3048/50</f>
        <v>6.0960000000000007E-3</v>
      </c>
      <c r="O3" s="8">
        <f>Table1[[#This Row],[Yearly Energy Consumption in kWh]]*Table1[[#This Row],[CU/kWh]]</f>
        <v>17.355312000000001</v>
      </c>
      <c r="P3">
        <v>0</v>
      </c>
      <c r="Q3">
        <v>20</v>
      </c>
      <c r="R3" s="8">
        <f>Table1[[#This Row],[Quantity]]*Table1[[#This Row],[FIT]]*24*365/1000000000</f>
        <v>2.8469999999999999E-2</v>
      </c>
      <c r="S3" s="8">
        <f>2*Table1[[#This Row],[Mean dist in km from CO]]/Table1[[#This Row],[Avg Travel Speed]]</f>
        <v>0</v>
      </c>
      <c r="T3" s="8">
        <f>Table1[[#This Row],[MTTR]]+Table1[[#This Row],[Twice Travel Time]]</f>
        <v>2</v>
      </c>
      <c r="U3">
        <v>1</v>
      </c>
      <c r="V3" s="8">
        <v>3.8</v>
      </c>
      <c r="W3" s="8">
        <f>Table1[[#This Row],[Cost per hour]]*Table1[[#This Row],[No. Of technicians]]*Table1[[#This Row],[Total Time to Repair(h)]]*Table1[[#This Row],[Failures per year]]</f>
        <v>0.21637199999999998</v>
      </c>
    </row>
    <row r="4" spans="1:24" x14ac:dyDescent="0.25">
      <c r="A4" s="16" t="s">
        <v>3</v>
      </c>
      <c r="B4" s="17" t="s">
        <v>74</v>
      </c>
      <c r="C4" s="18">
        <v>63</v>
      </c>
      <c r="D4" s="18">
        <v>65</v>
      </c>
      <c r="E4">
        <v>0</v>
      </c>
      <c r="F4" s="8">
        <f t="shared" si="0"/>
        <v>0</v>
      </c>
      <c r="G4" s="8">
        <v>10.6</v>
      </c>
      <c r="H4" s="8">
        <f t="shared" si="1"/>
        <v>0</v>
      </c>
      <c r="I4">
        <v>0</v>
      </c>
      <c r="J4">
        <v>2</v>
      </c>
      <c r="K4">
        <v>50</v>
      </c>
      <c r="L4">
        <f>48*C4</f>
        <v>3024</v>
      </c>
      <c r="M4" s="8">
        <f>Table1[[#This Row],[Energy consumption in W]]*24*365/1000</f>
        <v>26490.240000000002</v>
      </c>
      <c r="N4" s="8">
        <f t="shared" si="2"/>
        <v>6.0960000000000007E-3</v>
      </c>
      <c r="O4" s="8">
        <f>Table1[[#This Row],[Yearly Energy Consumption in kWh]]*Table1[[#This Row],[CU/kWh]]</f>
        <v>161.48450304000002</v>
      </c>
      <c r="P4">
        <v>0</v>
      </c>
      <c r="Q4">
        <v>20</v>
      </c>
      <c r="R4" s="8">
        <f>Table1[[#This Row],[Quantity]]*Table1[[#This Row],[FIT]]*24*365/1000000000</f>
        <v>2.8469999999999999E-2</v>
      </c>
      <c r="S4" s="8">
        <f>2*Table1[[#This Row],[Mean dist in km from CO]]/Table1[[#This Row],[Avg Travel Speed]]</f>
        <v>0</v>
      </c>
      <c r="T4" s="8">
        <f>Table1[[#This Row],[MTTR]]+Table1[[#This Row],[Twice Travel Time]]</f>
        <v>2</v>
      </c>
      <c r="U4">
        <v>1</v>
      </c>
      <c r="V4" s="8">
        <v>3.8</v>
      </c>
      <c r="W4" s="8">
        <f>Table1[[#This Row],[Cost per hour]]*Table1[[#This Row],[No. Of technicians]]*Table1[[#This Row],[Total Time to Repair(h)]]*Table1[[#This Row],[Failures per year]]</f>
        <v>0.21637199999999998</v>
      </c>
    </row>
    <row r="5" spans="1:24" x14ac:dyDescent="0.25">
      <c r="A5" s="19" t="s">
        <v>3</v>
      </c>
      <c r="B5" s="20" t="s">
        <v>75</v>
      </c>
      <c r="C5" s="21">
        <v>2.2999999999999998</v>
      </c>
      <c r="D5" s="21">
        <v>65</v>
      </c>
      <c r="E5">
        <v>0</v>
      </c>
      <c r="F5" s="8">
        <f t="shared" si="0"/>
        <v>0</v>
      </c>
      <c r="G5" s="8">
        <v>10.6</v>
      </c>
      <c r="H5" s="8">
        <f t="shared" si="1"/>
        <v>0</v>
      </c>
      <c r="I5">
        <v>0</v>
      </c>
      <c r="J5">
        <v>2</v>
      </c>
      <c r="K5">
        <v>50</v>
      </c>
      <c r="L5">
        <v>0</v>
      </c>
      <c r="M5" s="8">
        <f>Table1[[#This Row],[Energy consumption in W]]*24*365/1000</f>
        <v>0</v>
      </c>
      <c r="N5" s="8">
        <f t="shared" si="2"/>
        <v>6.0960000000000007E-3</v>
      </c>
      <c r="O5" s="8">
        <f>Table1[[#This Row],[Yearly Energy Consumption in kWh]]*Table1[[#This Row],[CU/kWh]]</f>
        <v>0</v>
      </c>
      <c r="P5">
        <v>0</v>
      </c>
      <c r="Q5">
        <v>20</v>
      </c>
      <c r="R5" s="8">
        <f>Table1[[#This Row],[Quantity]]*Table1[[#This Row],[FIT]]*24*365/1000000000</f>
        <v>2.8469999999999999E-2</v>
      </c>
      <c r="S5" s="8">
        <f>2*Table1[[#This Row],[Mean dist in km from CO]]/Table1[[#This Row],[Avg Travel Speed]]</f>
        <v>0</v>
      </c>
      <c r="T5" s="8">
        <f>Table1[[#This Row],[MTTR]]+Table1[[#This Row],[Twice Travel Time]]</f>
        <v>2</v>
      </c>
      <c r="U5">
        <v>1</v>
      </c>
      <c r="V5" s="8">
        <v>3.8</v>
      </c>
      <c r="W5" s="8">
        <f>Table1[[#This Row],[Cost per hour]]*Table1[[#This Row],[No. Of technicians]]*Table1[[#This Row],[Total Time to Repair(h)]]*Table1[[#This Row],[Failures per year]]</f>
        <v>0.21637199999999998</v>
      </c>
    </row>
    <row r="6" spans="1:24" x14ac:dyDescent="0.25">
      <c r="A6" s="16" t="s">
        <v>3</v>
      </c>
      <c r="B6" s="17" t="s">
        <v>76</v>
      </c>
      <c r="C6" s="18">
        <f>0.1/4.5</f>
        <v>2.2222222222222223E-2</v>
      </c>
      <c r="D6" s="18">
        <v>1560</v>
      </c>
      <c r="E6">
        <v>0</v>
      </c>
      <c r="F6" s="8">
        <f t="shared" si="0"/>
        <v>0</v>
      </c>
      <c r="G6" s="8">
        <v>10.6</v>
      </c>
      <c r="H6" s="8">
        <f t="shared" si="1"/>
        <v>0</v>
      </c>
      <c r="I6">
        <v>0</v>
      </c>
      <c r="J6">
        <v>0</v>
      </c>
      <c r="K6">
        <v>0</v>
      </c>
      <c r="L6">
        <f>1*D6</f>
        <v>1560</v>
      </c>
      <c r="M6" s="8">
        <f>Table1[[#This Row],[Energy consumption in W]]*24*365/1000</f>
        <v>13665.6</v>
      </c>
      <c r="N6" s="8">
        <f t="shared" si="2"/>
        <v>6.0960000000000007E-3</v>
      </c>
      <c r="O6" s="8">
        <f>Table1[[#This Row],[Yearly Energy Consumption in kWh]]*Table1[[#This Row],[CU/kWh]]</f>
        <v>83.30549760000001</v>
      </c>
      <c r="P6">
        <v>0</v>
      </c>
      <c r="Q6">
        <v>20</v>
      </c>
      <c r="R6" s="8">
        <f>Table1[[#This Row],[Quantity]]*Table1[[#This Row],[FIT]]*24*365/1000000000</f>
        <v>0</v>
      </c>
      <c r="S6" s="8">
        <f>2*Table1[[#This Row],[Mean dist in km from CO]]/Table1[[#This Row],[Avg Travel Speed]]</f>
        <v>0</v>
      </c>
      <c r="T6" s="8">
        <f>Table1[[#This Row],[MTTR]]+Table1[[#This Row],[Twice Travel Time]]</f>
        <v>0</v>
      </c>
      <c r="U6">
        <v>1</v>
      </c>
      <c r="V6" s="8">
        <v>3.8</v>
      </c>
      <c r="W6" s="8">
        <f>Table1[[#This Row],[Cost per hour]]*Table1[[#This Row],[No. Of technicians]]*Table1[[#This Row],[Total Time to Repair(h)]]*Table1[[#This Row],[Failures per year]]</f>
        <v>0</v>
      </c>
    </row>
    <row r="7" spans="1:24" x14ac:dyDescent="0.25">
      <c r="A7" s="19" t="s">
        <v>3</v>
      </c>
      <c r="B7" s="20" t="s">
        <v>77</v>
      </c>
      <c r="C7" s="21">
        <v>400</v>
      </c>
      <c r="D7" s="21">
        <v>1</v>
      </c>
      <c r="E7">
        <v>40</v>
      </c>
      <c r="F7" s="8">
        <f t="shared" si="0"/>
        <v>40</v>
      </c>
      <c r="G7" s="8">
        <v>10.6</v>
      </c>
      <c r="H7" s="8">
        <f t="shared" si="1"/>
        <v>424</v>
      </c>
      <c r="I7">
        <v>24</v>
      </c>
      <c r="J7">
        <v>0</v>
      </c>
      <c r="K7">
        <v>0</v>
      </c>
      <c r="L7">
        <v>50</v>
      </c>
      <c r="M7" s="8">
        <f>Table1[[#This Row],[Energy consumption in W]]*24*365/1000</f>
        <v>438</v>
      </c>
      <c r="N7" s="8">
        <f t="shared" si="2"/>
        <v>6.0960000000000007E-3</v>
      </c>
      <c r="O7" s="8">
        <f>Table1[[#This Row],[Yearly Energy Consumption in kWh]]*Table1[[#This Row],[CU/kWh]]</f>
        <v>2.6700480000000004</v>
      </c>
      <c r="P7">
        <v>0</v>
      </c>
      <c r="Q7">
        <v>20</v>
      </c>
      <c r="R7" s="8">
        <f>Table1[[#This Row],[Quantity]]*Table1[[#This Row],[FIT]]*24*365/1000000000</f>
        <v>0</v>
      </c>
      <c r="S7" s="8">
        <f>2*Table1[[#This Row],[Mean dist in km from CO]]/Table1[[#This Row],[Avg Travel Speed]]</f>
        <v>0</v>
      </c>
      <c r="T7" s="8">
        <f>Table1[[#This Row],[MTTR]]+Table1[[#This Row],[Twice Travel Time]]</f>
        <v>0</v>
      </c>
      <c r="U7">
        <v>1</v>
      </c>
      <c r="V7" s="8">
        <v>3.8</v>
      </c>
      <c r="W7" s="8">
        <f>Table1[[#This Row],[Cost per hour]]*Table1[[#This Row],[No. Of technicians]]*Table1[[#This Row],[Total Time to Repair(h)]]*Table1[[#This Row],[Failures per year]]</f>
        <v>0</v>
      </c>
    </row>
    <row r="8" spans="1:24" x14ac:dyDescent="0.25">
      <c r="A8" s="16" t="s">
        <v>8</v>
      </c>
      <c r="B8" s="17" t="s">
        <v>78</v>
      </c>
      <c r="C8" s="18">
        <f>80*0.3</f>
        <v>24</v>
      </c>
      <c r="D8" s="18">
        <v>65</v>
      </c>
      <c r="E8">
        <v>0</v>
      </c>
      <c r="F8" s="8">
        <f t="shared" si="0"/>
        <v>0</v>
      </c>
      <c r="G8" s="8">
        <v>10.6</v>
      </c>
      <c r="H8" s="8">
        <f t="shared" si="1"/>
        <v>0</v>
      </c>
      <c r="I8">
        <f>1/6*D8</f>
        <v>10.833333333333332</v>
      </c>
      <c r="J8">
        <v>6</v>
      </c>
      <c r="K8">
        <v>200</v>
      </c>
      <c r="L8">
        <v>0</v>
      </c>
      <c r="M8" s="8">
        <f>Table1[[#This Row],[Energy consumption in W]]*24*365/1000</f>
        <v>0</v>
      </c>
      <c r="N8" s="8">
        <f t="shared" si="2"/>
        <v>6.0960000000000007E-3</v>
      </c>
      <c r="O8" s="8">
        <f>Table1[[#This Row],[Yearly Energy Consumption in kWh]]*Table1[[#This Row],[CU/kWh]]</f>
        <v>0</v>
      </c>
      <c r="P8">
        <v>1.5</v>
      </c>
      <c r="Q8">
        <v>20</v>
      </c>
      <c r="R8" s="8">
        <f>Table1[[#This Row],[Quantity]]*Table1[[#This Row],[FIT]]*24*365/1000000000</f>
        <v>0.11388</v>
      </c>
      <c r="S8" s="8">
        <f>2*Table1[[#This Row],[Mean dist in km from CO]]/Table1[[#This Row],[Avg Travel Speed]]</f>
        <v>0.15</v>
      </c>
      <c r="T8" s="8">
        <f>Table1[[#This Row],[MTTR]]+Table1[[#This Row],[Twice Travel Time]]</f>
        <v>6.15</v>
      </c>
      <c r="U8">
        <v>1</v>
      </c>
      <c r="V8" s="8">
        <v>3.8</v>
      </c>
      <c r="W8" s="8">
        <f>Table1[[#This Row],[Cost per hour]]*Table1[[#This Row],[No. Of technicians]]*Table1[[#This Row],[Total Time to Repair(h)]]*Table1[[#This Row],[Failures per year]]</f>
        <v>2.6613756</v>
      </c>
    </row>
    <row r="9" spans="1:24" x14ac:dyDescent="0.25">
      <c r="A9" s="19" t="s">
        <v>13</v>
      </c>
      <c r="B9" s="20" t="s">
        <v>62</v>
      </c>
      <c r="C9" s="21">
        <v>10</v>
      </c>
      <c r="D9" s="21">
        <v>5000</v>
      </c>
      <c r="E9">
        <v>1</v>
      </c>
      <c r="F9" s="8">
        <f t="shared" si="0"/>
        <v>5000</v>
      </c>
      <c r="G9" s="8">
        <v>0</v>
      </c>
      <c r="H9" s="8">
        <f t="shared" si="1"/>
        <v>0</v>
      </c>
      <c r="I9">
        <f>D9*(0.5+(1/6*8))</f>
        <v>9166.6666666666661</v>
      </c>
      <c r="J9">
        <v>24</v>
      </c>
      <c r="K9">
        <v>5000</v>
      </c>
      <c r="L9">
        <f>50*D9</f>
        <v>250000</v>
      </c>
      <c r="M9" s="8">
        <f>Table1[[#This Row],[Energy consumption in W]]*24*365/1000</f>
        <v>2190000</v>
      </c>
      <c r="N9" s="8">
        <f t="shared" si="2"/>
        <v>6.0960000000000007E-3</v>
      </c>
      <c r="O9" s="8">
        <f>Table1[[#This Row],[Yearly Energy Consumption in kWh]]*Table1[[#This Row],[CU/kWh]]</f>
        <v>13350.240000000002</v>
      </c>
      <c r="P9">
        <v>2.25</v>
      </c>
      <c r="Q9">
        <v>20</v>
      </c>
      <c r="R9" s="8">
        <f>Table1[[#This Row],[Quantity]]*Table1[[#This Row],[FIT]]*24*365/1000000000</f>
        <v>219</v>
      </c>
      <c r="S9" s="8">
        <f>2*Table1[[#This Row],[Mean dist in km from CO]]/Table1[[#This Row],[Avg Travel Speed]]</f>
        <v>0.22500000000000001</v>
      </c>
      <c r="T9" s="8">
        <f>Table1[[#This Row],[MTTR]]+Table1[[#This Row],[Twice Travel Time]]</f>
        <v>24.225000000000001</v>
      </c>
      <c r="U9">
        <v>1</v>
      </c>
      <c r="V9" s="8">
        <v>3.8</v>
      </c>
      <c r="W9" s="8">
        <f>Table1[[#This Row],[Cost per hour]]*Table1[[#This Row],[No. Of technicians]]*Table1[[#This Row],[Total Time to Repair(h)]]*Table1[[#This Row],[Failures per year]]</f>
        <v>20160.045000000002</v>
      </c>
    </row>
    <row r="10" spans="1:24" x14ac:dyDescent="0.25">
      <c r="A10" s="16" t="s">
        <v>13</v>
      </c>
      <c r="B10" s="17" t="s">
        <v>79</v>
      </c>
      <c r="C10" s="18">
        <v>1.86</v>
      </c>
      <c r="D10" s="18">
        <v>5000</v>
      </c>
      <c r="E10">
        <v>0</v>
      </c>
      <c r="F10" s="8">
        <f t="shared" si="0"/>
        <v>0</v>
      </c>
      <c r="G10" s="8">
        <v>0</v>
      </c>
      <c r="H10" s="8">
        <f t="shared" si="1"/>
        <v>0</v>
      </c>
      <c r="I10">
        <f>1*D10</f>
        <v>5000</v>
      </c>
      <c r="J10">
        <v>6</v>
      </c>
      <c r="K10">
        <v>256</v>
      </c>
      <c r="L10">
        <f>4.7*D10</f>
        <v>23500</v>
      </c>
      <c r="M10" s="8">
        <f>Table1[[#This Row],[Energy consumption in W]]*24*365/1000</f>
        <v>205860</v>
      </c>
      <c r="N10" s="8">
        <f t="shared" si="2"/>
        <v>6.0960000000000007E-3</v>
      </c>
      <c r="O10" s="8">
        <f>Table1[[#This Row],[Yearly Energy Consumption in kWh]]*Table1[[#This Row],[CU/kWh]]</f>
        <v>1254.9225600000002</v>
      </c>
      <c r="P10">
        <v>2.25</v>
      </c>
      <c r="Q10">
        <v>20</v>
      </c>
      <c r="R10" s="8">
        <f>Table1[[#This Row],[Quantity]]*Table1[[#This Row],[FIT]]*24*365/1000000000</f>
        <v>11.2128</v>
      </c>
      <c r="S10" s="8">
        <f>2*Table1[[#This Row],[Mean dist in km from CO]]/Table1[[#This Row],[Avg Travel Speed]]</f>
        <v>0.22500000000000001</v>
      </c>
      <c r="T10" s="8">
        <f>Table1[[#This Row],[MTTR]]+Table1[[#This Row],[Twice Travel Time]]</f>
        <v>6.2249999999999996</v>
      </c>
      <c r="U10">
        <v>1</v>
      </c>
      <c r="V10" s="8">
        <v>3.8</v>
      </c>
      <c r="W10" s="8">
        <f>Table1[[#This Row],[Cost per hour]]*Table1[[#This Row],[No. Of technicians]]*Table1[[#This Row],[Total Time to Repair(h)]]*Table1[[#This Row],[Failures per year]]</f>
        <v>265.23878399999995</v>
      </c>
    </row>
    <row r="11" spans="1:24" x14ac:dyDescent="0.25">
      <c r="B11" s="23"/>
      <c r="C11" s="24"/>
      <c r="D11" s="24"/>
      <c r="E11" s="25"/>
      <c r="F11" s="25"/>
      <c r="G11" s="25"/>
      <c r="H11" s="25">
        <f>SUBTOTAL(109,Table1[Total Rent cost per year])</f>
        <v>3869</v>
      </c>
      <c r="I11" s="25"/>
      <c r="J11" s="25"/>
      <c r="K11" s="25"/>
      <c r="L11" s="25"/>
      <c r="M11" s="25"/>
      <c r="N11" s="25"/>
      <c r="O11" s="25">
        <f>SUBTOTAL(109,Table1[Energy Cost per year in CU])</f>
        <v>14871.900355200003</v>
      </c>
      <c r="P11" s="25"/>
      <c r="Q11" s="25"/>
      <c r="R11" s="25"/>
      <c r="S11" s="25"/>
      <c r="T11" s="25"/>
      <c r="U11" s="25"/>
      <c r="V11" s="25"/>
      <c r="W11" s="25">
        <f>SUM(Table1[FM Cost])</f>
        <v>20428.645405968004</v>
      </c>
    </row>
    <row r="16" spans="1:24" x14ac:dyDescent="0.25">
      <c r="M16" t="s">
        <v>71</v>
      </c>
    </row>
    <row r="17" spans="1:14" x14ac:dyDescent="0.25">
      <c r="A17" s="8" t="s">
        <v>41</v>
      </c>
      <c r="B17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>
        <f>Table1[[#Totals],[Total Rent cost per year]]+Table1[[#Totals],[Energy Cost per year in CU]]+Table1[[#Totals],[FM Cost]]+J20</f>
        <v>39507.519689765715</v>
      </c>
    </row>
    <row r="18" spans="1:14" x14ac:dyDescent="0.25">
      <c r="A18" t="s">
        <v>43</v>
      </c>
      <c r="B18" s="9">
        <f>72320.0059456714/1000</f>
        <v>72.320005945671397</v>
      </c>
      <c r="C18">
        <f>570*B18</f>
        <v>41222.403389032697</v>
      </c>
      <c r="D18">
        <v>24</v>
      </c>
      <c r="E18">
        <v>1</v>
      </c>
      <c r="F18">
        <v>3.8</v>
      </c>
      <c r="G18">
        <v>2</v>
      </c>
      <c r="H18">
        <f>2*G18/20</f>
        <v>0.2</v>
      </c>
      <c r="I18">
        <f>D18+H18</f>
        <v>24.2</v>
      </c>
      <c r="J18">
        <f>C18*24*365*F18*E18*I18/1000000000</f>
        <v>33.207515009141716</v>
      </c>
    </row>
    <row r="19" spans="1:14" x14ac:dyDescent="0.25">
      <c r="A19" t="s">
        <v>64</v>
      </c>
      <c r="B19" s="9">
        <f>658286.152663246/1000</f>
        <v>658.28615266324607</v>
      </c>
      <c r="C19">
        <f>570*B19</f>
        <v>375223.10701805027</v>
      </c>
      <c r="D19">
        <v>24</v>
      </c>
      <c r="E19">
        <v>1</v>
      </c>
      <c r="F19">
        <v>3.8</v>
      </c>
      <c r="G19">
        <v>4</v>
      </c>
      <c r="H19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4" x14ac:dyDescent="0.25">
      <c r="J20">
        <f>SUM(J18:J19)</f>
        <v>337.97392859771304</v>
      </c>
    </row>
    <row r="21" spans="1:14" x14ac:dyDescent="0.25">
      <c r="M21" s="8" t="s">
        <v>93</v>
      </c>
      <c r="N21" s="8"/>
    </row>
    <row r="22" spans="1:14" x14ac:dyDescent="0.25">
      <c r="M22" s="8" t="s">
        <v>94</v>
      </c>
      <c r="N22" s="8">
        <f>Table1[[#Totals],[Total Rent cost per year]]</f>
        <v>3869</v>
      </c>
    </row>
    <row r="23" spans="1:14" x14ac:dyDescent="0.25">
      <c r="M23" s="8" t="s">
        <v>95</v>
      </c>
      <c r="N23" s="8">
        <f>Table1[[#Totals],[Energy Cost per year in CU]]</f>
        <v>14871.900355200003</v>
      </c>
    </row>
    <row r="24" spans="1:14" x14ac:dyDescent="0.25">
      <c r="M24" s="8" t="s">
        <v>96</v>
      </c>
      <c r="N24" s="8">
        <f>Table1[[#Totals],[FM Cost]]+J20</f>
        <v>20766.619334565716</v>
      </c>
    </row>
    <row r="25" spans="1:14" x14ac:dyDescent="0.25">
      <c r="M25" s="8" t="s">
        <v>97</v>
      </c>
      <c r="N25" s="8">
        <f>0.05*SUM(N22:N24)</f>
        <v>1975.3759844882859</v>
      </c>
    </row>
    <row r="26" spans="1:14" x14ac:dyDescent="0.25">
      <c r="M26" s="8" t="s">
        <v>98</v>
      </c>
      <c r="N26" s="8">
        <f>0.07*SUM(N22:N24)</f>
        <v>2765.5263782836005</v>
      </c>
    </row>
    <row r="27" spans="1:14" x14ac:dyDescent="0.25">
      <c r="M27" s="8"/>
      <c r="N27" s="8">
        <f>SUM(N22:N26)</f>
        <v>44248.4220525376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F1" workbookViewId="0">
      <selection activeCell="N21" sqref="N21:N25"/>
    </sheetView>
  </sheetViews>
  <sheetFormatPr defaultRowHeight="15" x14ac:dyDescent="0.25"/>
  <cols>
    <col min="1" max="1" width="22.140625" customWidth="1"/>
    <col min="2" max="2" width="25.28515625" customWidth="1"/>
    <col min="3" max="3" width="25" customWidth="1"/>
    <col min="4" max="4" width="22.28515625" customWidth="1"/>
    <col min="5" max="5" width="26" customWidth="1"/>
    <col min="6" max="6" width="17.28515625" customWidth="1"/>
    <col min="7" max="7" width="21.28515625" customWidth="1"/>
    <col min="8" max="8" width="22.7109375" customWidth="1"/>
    <col min="9" max="9" width="17.7109375" customWidth="1"/>
    <col min="12" max="12" width="21.7109375" customWidth="1"/>
    <col min="13" max="13" width="16.140625" customWidth="1"/>
    <col min="16" max="16" width="14.8554687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15</v>
      </c>
      <c r="E1" t="s">
        <v>37</v>
      </c>
      <c r="F1" t="s">
        <v>36</v>
      </c>
      <c r="G1" t="s">
        <v>38</v>
      </c>
      <c r="H1" s="10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</row>
    <row r="2" spans="1:23" x14ac:dyDescent="0.25">
      <c r="A2" t="s">
        <v>3</v>
      </c>
      <c r="B2" s="27" t="s">
        <v>72</v>
      </c>
      <c r="C2">
        <v>16</v>
      </c>
      <c r="D2" s="26">
        <v>6</v>
      </c>
      <c r="E2">
        <v>0</v>
      </c>
      <c r="F2">
        <v>0</v>
      </c>
      <c r="G2">
        <v>10.6</v>
      </c>
      <c r="H2">
        <f>G2*F2</f>
        <v>0</v>
      </c>
      <c r="I2" s="8">
        <v>0</v>
      </c>
      <c r="J2" s="8">
        <v>2</v>
      </c>
      <c r="K2" s="8">
        <v>256</v>
      </c>
      <c r="L2" s="8">
        <f>12*E2</f>
        <v>0</v>
      </c>
      <c r="M2" s="8">
        <f>Table4[[#This Row],[Energy consumption in W]]*24*365/1000</f>
        <v>0</v>
      </c>
      <c r="N2" s="8">
        <f>0.3048/50</f>
        <v>6.0960000000000007E-3</v>
      </c>
      <c r="O2" s="8">
        <f>Table4[[#This Row],[Yearly Energy Consumption in kWh]]*Table1[[#This Row],[CU/kWh]]</f>
        <v>0</v>
      </c>
      <c r="P2" s="8">
        <v>0</v>
      </c>
      <c r="Q2" s="8">
        <v>20</v>
      </c>
      <c r="R2" s="8">
        <f>Table4[[#This Row],[Quantity]]*Table4[[#This Row],[FIT]]*24*365/1000000000</f>
        <v>1.345536E-2</v>
      </c>
      <c r="S2" s="8">
        <f>2*Table4[[#This Row],[Mean dist in km from CO]]/Table4[[#This Row],[Avg Travel Speed]]</f>
        <v>0</v>
      </c>
      <c r="T2" s="8">
        <f>Table4[[#This Row],[MTTR]]+Table4[[#This Row],[Twice Travel Time]]</f>
        <v>2</v>
      </c>
      <c r="U2" s="8">
        <v>1</v>
      </c>
      <c r="V2" s="8">
        <v>3.8</v>
      </c>
      <c r="W2" s="8">
        <f>Table4[[#This Row],[Cost per hour]]*Table4[[#This Row],[No. Of technicians]]*Table4[[#This Row],[Total Time to Repair(h)]]*Table4[[#This Row],[Failures per year]]</f>
        <v>0.10226073599999999</v>
      </c>
    </row>
    <row r="3" spans="1:23" x14ac:dyDescent="0.25">
      <c r="A3" t="s">
        <v>3</v>
      </c>
      <c r="B3" s="27" t="s">
        <v>73</v>
      </c>
      <c r="C3">
        <v>8.8000000000000007</v>
      </c>
      <c r="D3" s="26">
        <v>130</v>
      </c>
      <c r="E3">
        <v>5</v>
      </c>
      <c r="F3">
        <v>325</v>
      </c>
      <c r="G3">
        <v>10.6</v>
      </c>
      <c r="H3" s="8">
        <f t="shared" ref="H3:H10" si="0">G3*F3</f>
        <v>3445</v>
      </c>
      <c r="I3" s="8">
        <f>0.5+(1/6*D3)</f>
        <v>22.166666666666664</v>
      </c>
      <c r="J3" s="8">
        <v>2</v>
      </c>
      <c r="K3" s="8">
        <v>50</v>
      </c>
      <c r="L3" s="8">
        <f>5*80*Table4[[#This Row],[Quantity]]</f>
        <v>52000</v>
      </c>
      <c r="M3" s="8">
        <f>Table4[[#This Row],[Energy consumption in W]]*24*365/1000</f>
        <v>455520</v>
      </c>
      <c r="N3" s="8">
        <f t="shared" ref="N3:N10" si="1">0.3048/50</f>
        <v>6.0960000000000007E-3</v>
      </c>
      <c r="O3" s="8">
        <f>Table4[[#This Row],[Yearly Energy Consumption in kWh]]*Table1[[#This Row],[CU/kWh]]</f>
        <v>2776.8499200000001</v>
      </c>
      <c r="P3" s="8">
        <v>0</v>
      </c>
      <c r="Q3" s="8">
        <v>20</v>
      </c>
      <c r="R3" s="8">
        <f>Table4[[#This Row],[Quantity]]*Table4[[#This Row],[FIT]]*24*365/1000000000</f>
        <v>5.6939999999999998E-2</v>
      </c>
      <c r="S3" s="8">
        <f>2*Table4[[#This Row],[Mean dist in km from CO]]/Table4[[#This Row],[Avg Travel Speed]]</f>
        <v>0</v>
      </c>
      <c r="T3" s="8">
        <f>Table4[[#This Row],[MTTR]]+Table4[[#This Row],[Twice Travel Time]]</f>
        <v>2</v>
      </c>
      <c r="U3" s="8">
        <v>1</v>
      </c>
      <c r="V3" s="8">
        <v>3.8</v>
      </c>
      <c r="W3" s="8">
        <f>Table4[[#This Row],[Cost per hour]]*Table4[[#This Row],[No. Of technicians]]*Table4[[#This Row],[Total Time to Repair(h)]]*Table4[[#This Row],[Failures per year]]</f>
        <v>0.43274399999999996</v>
      </c>
    </row>
    <row r="4" spans="1:23" x14ac:dyDescent="0.25">
      <c r="A4" t="s">
        <v>3</v>
      </c>
      <c r="B4" s="27" t="s">
        <v>74</v>
      </c>
      <c r="C4">
        <v>63</v>
      </c>
      <c r="D4" s="26">
        <v>130</v>
      </c>
      <c r="E4">
        <v>0</v>
      </c>
      <c r="F4">
        <v>0</v>
      </c>
      <c r="G4">
        <v>10.6</v>
      </c>
      <c r="H4" s="8">
        <f t="shared" si="0"/>
        <v>0</v>
      </c>
      <c r="I4" s="8">
        <f t="shared" ref="I4:I10" si="2">0.5+(1/6*D4)</f>
        <v>22.166666666666664</v>
      </c>
      <c r="J4" s="8">
        <v>2</v>
      </c>
      <c r="K4" s="8">
        <v>50</v>
      </c>
      <c r="L4" s="8">
        <f>48*D4</f>
        <v>6240</v>
      </c>
      <c r="M4" s="8">
        <f>Table4[[#This Row],[Energy consumption in W]]*24*365/1000</f>
        <v>54662.400000000001</v>
      </c>
      <c r="N4" s="8">
        <f t="shared" si="1"/>
        <v>6.0960000000000007E-3</v>
      </c>
      <c r="O4" s="8">
        <f>Table4[[#This Row],[Yearly Energy Consumption in kWh]]*Table1[[#This Row],[CU/kWh]]</f>
        <v>333.22199040000004</v>
      </c>
      <c r="P4" s="8">
        <v>0</v>
      </c>
      <c r="Q4" s="8">
        <v>20</v>
      </c>
      <c r="R4" s="8">
        <f>Table4[[#This Row],[Quantity]]*Table4[[#This Row],[FIT]]*24*365/1000000000</f>
        <v>5.6939999999999998E-2</v>
      </c>
      <c r="S4" s="8">
        <f>2*Table4[[#This Row],[Mean dist in km from CO]]/Table4[[#This Row],[Avg Travel Speed]]</f>
        <v>0</v>
      </c>
      <c r="T4" s="8">
        <f>Table4[[#This Row],[MTTR]]+Table4[[#This Row],[Twice Travel Time]]</f>
        <v>2</v>
      </c>
      <c r="U4" s="8">
        <v>1</v>
      </c>
      <c r="V4" s="8">
        <v>3.8</v>
      </c>
      <c r="W4" s="8">
        <f>Table4[[#This Row],[Cost per hour]]*Table4[[#This Row],[No. Of technicians]]*Table4[[#This Row],[Total Time to Repair(h)]]*Table4[[#This Row],[Failures per year]]</f>
        <v>0.43274399999999996</v>
      </c>
    </row>
    <row r="5" spans="1:23" x14ac:dyDescent="0.25">
      <c r="A5" t="s">
        <v>3</v>
      </c>
      <c r="B5" s="27" t="s">
        <v>75</v>
      </c>
      <c r="C5">
        <v>2.2999999999999998</v>
      </c>
      <c r="D5" s="26">
        <v>130</v>
      </c>
      <c r="E5">
        <v>0</v>
      </c>
      <c r="F5">
        <v>0</v>
      </c>
      <c r="G5">
        <v>10.6</v>
      </c>
      <c r="H5" s="8">
        <f t="shared" si="0"/>
        <v>0</v>
      </c>
      <c r="I5" s="8">
        <f t="shared" si="2"/>
        <v>22.166666666666664</v>
      </c>
      <c r="J5" s="8">
        <v>2</v>
      </c>
      <c r="K5" s="8">
        <v>50</v>
      </c>
      <c r="L5" s="8">
        <v>0</v>
      </c>
      <c r="M5" s="8">
        <f>Table4[[#This Row],[Energy consumption in W]]*24*365/1000</f>
        <v>0</v>
      </c>
      <c r="N5" s="8">
        <f t="shared" si="1"/>
        <v>6.0960000000000007E-3</v>
      </c>
      <c r="O5" s="8">
        <f>Table4[[#This Row],[Yearly Energy Consumption in kWh]]*Table1[[#This Row],[CU/kWh]]</f>
        <v>0</v>
      </c>
      <c r="P5" s="8">
        <v>0</v>
      </c>
      <c r="Q5" s="8">
        <v>20</v>
      </c>
      <c r="R5" s="8">
        <f>Table4[[#This Row],[Quantity]]*Table4[[#This Row],[FIT]]*24*365/1000000000</f>
        <v>5.6939999999999998E-2</v>
      </c>
      <c r="S5" s="8">
        <f>2*Table4[[#This Row],[Mean dist in km from CO]]/Table4[[#This Row],[Avg Travel Speed]]</f>
        <v>0</v>
      </c>
      <c r="T5" s="8">
        <f>Table4[[#This Row],[MTTR]]+Table4[[#This Row],[Twice Travel Time]]</f>
        <v>2</v>
      </c>
      <c r="U5" s="8">
        <v>1</v>
      </c>
      <c r="V5" s="8">
        <v>3.8</v>
      </c>
      <c r="W5" s="8">
        <f>Table4[[#This Row],[Cost per hour]]*Table4[[#This Row],[No. Of technicians]]*Table4[[#This Row],[Total Time to Repair(h)]]*Table4[[#This Row],[Failures per year]]</f>
        <v>0.43274399999999996</v>
      </c>
    </row>
    <row r="6" spans="1:23" x14ac:dyDescent="0.25">
      <c r="A6" t="s">
        <v>3</v>
      </c>
      <c r="B6" s="27" t="s">
        <v>76</v>
      </c>
      <c r="C6">
        <v>2.2222222222222223E-2</v>
      </c>
      <c r="D6" s="26">
        <v>3120</v>
      </c>
      <c r="E6">
        <v>0</v>
      </c>
      <c r="F6">
        <v>0</v>
      </c>
      <c r="G6">
        <v>10.6</v>
      </c>
      <c r="H6" s="8">
        <f t="shared" si="0"/>
        <v>0</v>
      </c>
      <c r="I6" s="8">
        <f t="shared" si="2"/>
        <v>520.5</v>
      </c>
      <c r="J6" s="8">
        <v>0</v>
      </c>
      <c r="K6" s="8">
        <v>0</v>
      </c>
      <c r="L6" s="8">
        <f>1*Table4[[#This Row],[Quantity]]</f>
        <v>3120</v>
      </c>
      <c r="M6" s="8">
        <f>Table4[[#This Row],[Energy consumption in W]]*24*365/1000</f>
        <v>27331.200000000001</v>
      </c>
      <c r="N6" s="8">
        <f t="shared" si="1"/>
        <v>6.0960000000000007E-3</v>
      </c>
      <c r="O6" s="8">
        <f>Table4[[#This Row],[Yearly Energy Consumption in kWh]]*Table1[[#This Row],[CU/kWh]]</f>
        <v>166.61099520000002</v>
      </c>
      <c r="P6" s="8">
        <v>0</v>
      </c>
      <c r="Q6" s="8">
        <v>20</v>
      </c>
      <c r="R6" s="8">
        <f>Table4[[#This Row],[Quantity]]*Table4[[#This Row],[FIT]]*24*365/1000000000</f>
        <v>0</v>
      </c>
      <c r="S6" s="8">
        <f>2*Table4[[#This Row],[Mean dist in km from CO]]/Table4[[#This Row],[Avg Travel Speed]]</f>
        <v>0</v>
      </c>
      <c r="T6" s="8">
        <f>Table4[[#This Row],[MTTR]]+Table4[[#This Row],[Twice Travel Time]]</f>
        <v>0</v>
      </c>
      <c r="U6" s="8">
        <v>1</v>
      </c>
      <c r="V6" s="8">
        <v>3.8</v>
      </c>
      <c r="W6" s="8">
        <f>Table4[[#This Row],[Cost per hour]]*Table4[[#This Row],[No. Of technicians]]*Table4[[#This Row],[Total Time to Repair(h)]]*Table4[[#This Row],[Failures per year]]</f>
        <v>0</v>
      </c>
    </row>
    <row r="7" spans="1:23" x14ac:dyDescent="0.25">
      <c r="A7" t="s">
        <v>3</v>
      </c>
      <c r="B7" s="27" t="s">
        <v>77</v>
      </c>
      <c r="C7">
        <v>400</v>
      </c>
      <c r="D7" s="26">
        <v>1</v>
      </c>
      <c r="E7">
        <v>40</v>
      </c>
      <c r="F7">
        <v>40</v>
      </c>
      <c r="G7">
        <v>10.6</v>
      </c>
      <c r="H7" s="8">
        <f t="shared" si="0"/>
        <v>424</v>
      </c>
      <c r="I7" s="8">
        <f t="shared" si="2"/>
        <v>0.66666666666666663</v>
      </c>
      <c r="J7" s="8">
        <v>0</v>
      </c>
      <c r="K7" s="8">
        <v>0</v>
      </c>
      <c r="L7" s="8">
        <v>50</v>
      </c>
      <c r="M7" s="8">
        <f>Table4[[#This Row],[Energy consumption in W]]*24*365/1000</f>
        <v>438</v>
      </c>
      <c r="N7" s="8">
        <f t="shared" si="1"/>
        <v>6.0960000000000007E-3</v>
      </c>
      <c r="O7" s="8">
        <f>Table4[[#This Row],[Yearly Energy Consumption in kWh]]*Table1[[#This Row],[CU/kWh]]</f>
        <v>2.6700480000000004</v>
      </c>
      <c r="P7" s="8">
        <v>0</v>
      </c>
      <c r="Q7" s="8">
        <v>20</v>
      </c>
      <c r="R7" s="8">
        <f>Table4[[#This Row],[Quantity]]*Table4[[#This Row],[FIT]]*24*365/1000000000</f>
        <v>0</v>
      </c>
      <c r="S7" s="8">
        <f>2*Table4[[#This Row],[Mean dist in km from CO]]/Table4[[#This Row],[Avg Travel Speed]]</f>
        <v>0</v>
      </c>
      <c r="T7" s="8">
        <f>Table4[[#This Row],[MTTR]]+Table4[[#This Row],[Twice Travel Time]]</f>
        <v>0</v>
      </c>
      <c r="U7" s="8">
        <v>1</v>
      </c>
      <c r="V7" s="8">
        <v>3.8</v>
      </c>
      <c r="W7" s="8">
        <f>Table4[[#This Row],[Cost per hour]]*Table4[[#This Row],[No. Of technicians]]*Table4[[#This Row],[Total Time to Repair(h)]]*Table4[[#This Row],[Failures per year]]</f>
        <v>0</v>
      </c>
    </row>
    <row r="8" spans="1:23" x14ac:dyDescent="0.25">
      <c r="A8" t="s">
        <v>8</v>
      </c>
      <c r="B8" s="27" t="s">
        <v>78</v>
      </c>
      <c r="C8">
        <v>24</v>
      </c>
      <c r="D8" s="26">
        <v>65</v>
      </c>
      <c r="E8">
        <v>0</v>
      </c>
      <c r="F8">
        <v>0</v>
      </c>
      <c r="G8">
        <v>10.6</v>
      </c>
      <c r="H8" s="8">
        <f t="shared" si="0"/>
        <v>0</v>
      </c>
      <c r="I8" s="8">
        <f t="shared" si="2"/>
        <v>11.333333333333332</v>
      </c>
      <c r="J8" s="8">
        <v>6</v>
      </c>
      <c r="K8" s="8">
        <v>200</v>
      </c>
      <c r="L8" s="8">
        <v>0</v>
      </c>
      <c r="M8" s="8">
        <f>Table4[[#This Row],[Energy consumption in W]]*24*365/1000</f>
        <v>0</v>
      </c>
      <c r="N8" s="8">
        <f t="shared" si="1"/>
        <v>6.0960000000000007E-3</v>
      </c>
      <c r="O8" s="8">
        <f>Table4[[#This Row],[Yearly Energy Consumption in kWh]]*Table1[[#This Row],[CU/kWh]]</f>
        <v>0</v>
      </c>
      <c r="P8" s="8">
        <v>1.5</v>
      </c>
      <c r="Q8" s="8">
        <v>20</v>
      </c>
      <c r="R8" s="8">
        <f>Table4[[#This Row],[Quantity]]*Table4[[#This Row],[FIT]]*24*365/1000000000</f>
        <v>0.11388</v>
      </c>
      <c r="S8" s="8">
        <f>2*Table4[[#This Row],[Mean dist in km from CO]]/Table4[[#This Row],[Avg Travel Speed]]</f>
        <v>0.15</v>
      </c>
      <c r="T8" s="8">
        <f>Table4[[#This Row],[MTTR]]+Table4[[#This Row],[Twice Travel Time]]</f>
        <v>6.15</v>
      </c>
      <c r="U8" s="8">
        <v>1</v>
      </c>
      <c r="V8" s="8">
        <v>3.8</v>
      </c>
      <c r="W8" s="8">
        <f>Table4[[#This Row],[Cost per hour]]*Table4[[#This Row],[No. Of technicians]]*Table4[[#This Row],[Total Time to Repair(h)]]*Table4[[#This Row],[Failures per year]]</f>
        <v>2.6613756</v>
      </c>
    </row>
    <row r="9" spans="1:23" x14ac:dyDescent="0.25">
      <c r="A9" t="s">
        <v>13</v>
      </c>
      <c r="B9" s="27" t="s">
        <v>80</v>
      </c>
      <c r="C9">
        <v>1.8</v>
      </c>
      <c r="D9" s="26">
        <v>5000</v>
      </c>
      <c r="E9">
        <v>0</v>
      </c>
      <c r="F9">
        <v>0</v>
      </c>
      <c r="G9">
        <v>0</v>
      </c>
      <c r="H9" s="8">
        <f t="shared" si="0"/>
        <v>0</v>
      </c>
      <c r="I9" s="8">
        <f t="shared" si="2"/>
        <v>833.83333333333326</v>
      </c>
      <c r="J9" s="8">
        <v>6</v>
      </c>
      <c r="K9" s="8">
        <v>50</v>
      </c>
      <c r="L9" s="8">
        <f>50*E9</f>
        <v>0</v>
      </c>
      <c r="M9" s="8">
        <f>Table4[[#This Row],[Energy consumption in W]]*24*365/1000</f>
        <v>0</v>
      </c>
      <c r="N9" s="8">
        <f t="shared" si="1"/>
        <v>6.0960000000000007E-3</v>
      </c>
      <c r="O9" s="8">
        <f>Table4[[#This Row],[Yearly Energy Consumption in kWh]]*Table1[[#This Row],[CU/kWh]]</f>
        <v>0</v>
      </c>
      <c r="P9" s="8">
        <v>2.25</v>
      </c>
      <c r="Q9" s="8">
        <v>20</v>
      </c>
      <c r="R9" s="8">
        <f>Table4[[#This Row],[Quantity]]*Table4[[#This Row],[FIT]]*24*365/1000000000</f>
        <v>2.19</v>
      </c>
      <c r="S9" s="8">
        <f>2*Table4[[#This Row],[Mean dist in km from CO]]/Table4[[#This Row],[Avg Travel Speed]]</f>
        <v>0.22500000000000001</v>
      </c>
      <c r="T9" s="8">
        <f>Table4[[#This Row],[MTTR]]+Table4[[#This Row],[Twice Travel Time]]</f>
        <v>6.2249999999999996</v>
      </c>
      <c r="U9" s="8">
        <v>1</v>
      </c>
      <c r="V9" s="8">
        <v>3.8</v>
      </c>
      <c r="W9" s="8">
        <f>Table4[[#This Row],[Cost per hour]]*Table4[[#This Row],[No. Of technicians]]*Table4[[#This Row],[Total Time to Repair(h)]]*Table4[[#This Row],[Failures per year]]</f>
        <v>51.804449999999996</v>
      </c>
    </row>
    <row r="10" spans="1:23" x14ac:dyDescent="0.25">
      <c r="A10" t="s">
        <v>13</v>
      </c>
      <c r="B10" s="27" t="s">
        <v>81</v>
      </c>
      <c r="C10">
        <v>1.86</v>
      </c>
      <c r="D10" s="26">
        <v>30000</v>
      </c>
      <c r="E10">
        <v>0</v>
      </c>
      <c r="F10">
        <v>0</v>
      </c>
      <c r="G10">
        <v>0</v>
      </c>
      <c r="H10" s="8">
        <f t="shared" si="0"/>
        <v>0</v>
      </c>
      <c r="I10" s="8">
        <f t="shared" si="2"/>
        <v>5000.5</v>
      </c>
      <c r="J10" s="8">
        <v>6</v>
      </c>
      <c r="K10" s="8">
        <v>256</v>
      </c>
      <c r="L10" s="8">
        <f>4.7*E10</f>
        <v>0</v>
      </c>
      <c r="M10" s="8">
        <f>Table4[[#This Row],[Energy consumption in W]]*24*365/1000</f>
        <v>0</v>
      </c>
      <c r="N10" s="8">
        <f t="shared" si="1"/>
        <v>6.0960000000000007E-3</v>
      </c>
      <c r="O10" s="8">
        <f>Table4[[#This Row],[Yearly Energy Consumption in kWh]]*Table1[[#This Row],[CU/kWh]]</f>
        <v>0</v>
      </c>
      <c r="P10" s="8">
        <v>2.25</v>
      </c>
      <c r="Q10" s="8">
        <v>20</v>
      </c>
      <c r="R10" s="8">
        <f>Table4[[#This Row],[Quantity]]*Table4[[#This Row],[FIT]]*24*365/1000000000</f>
        <v>67.276799999999994</v>
      </c>
      <c r="S10" s="8">
        <f>2*Table4[[#This Row],[Mean dist in km from CO]]/Table4[[#This Row],[Avg Travel Speed]]</f>
        <v>0.22500000000000001</v>
      </c>
      <c r="T10" s="8">
        <f>Table4[[#This Row],[MTTR]]+Table4[[#This Row],[Twice Travel Time]]</f>
        <v>6.2249999999999996</v>
      </c>
      <c r="U10" s="8">
        <v>1</v>
      </c>
      <c r="V10" s="8">
        <v>3.8</v>
      </c>
      <c r="W10" s="8">
        <f>Table4[[#This Row],[Cost per hour]]*Table4[[#This Row],[No. Of technicians]]*Table4[[#This Row],[Total Time to Repair(h)]]*Table4[[#This Row],[Failures per year]]</f>
        <v>1591.4327039999996</v>
      </c>
    </row>
    <row r="11" spans="1:23" x14ac:dyDescent="0.25">
      <c r="H11">
        <f>SUBTOTAL(109,Table4[Total Rent cost per year])</f>
        <v>3869</v>
      </c>
      <c r="O11">
        <f>SUBTOTAL(109,Table4[Energy Cost per year in CU])</f>
        <v>3279.3529536000001</v>
      </c>
      <c r="W11">
        <f>SUM(Table4[FM Cost])</f>
        <v>1647.2990223359996</v>
      </c>
    </row>
    <row r="15" spans="1:23" x14ac:dyDescent="0.25">
      <c r="A15" s="8" t="s">
        <v>41</v>
      </c>
      <c r="B15" s="8" t="s">
        <v>65</v>
      </c>
      <c r="C15" s="8" t="s">
        <v>17</v>
      </c>
      <c r="D15" s="8" t="s">
        <v>16</v>
      </c>
      <c r="E15" s="8" t="s">
        <v>42</v>
      </c>
      <c r="F15" s="8" t="s">
        <v>30</v>
      </c>
      <c r="G15" s="8" t="s">
        <v>46</v>
      </c>
      <c r="H15" s="8" t="s">
        <v>49</v>
      </c>
      <c r="I15" s="8" t="s">
        <v>50</v>
      </c>
      <c r="J15" s="8" t="s">
        <v>52</v>
      </c>
      <c r="O15" t="s">
        <v>71</v>
      </c>
    </row>
    <row r="16" spans="1:23" x14ac:dyDescent="0.25">
      <c r="A16" s="8" t="s">
        <v>43</v>
      </c>
      <c r="B16" s="9">
        <f>72320.0059456714/1000</f>
        <v>72.320005945671397</v>
      </c>
      <c r="C16" s="8">
        <f>570*B16</f>
        <v>41222.403389032697</v>
      </c>
      <c r="D16" s="8">
        <v>24</v>
      </c>
      <c r="E16" s="8">
        <v>1</v>
      </c>
      <c r="F16" s="8">
        <v>3.8</v>
      </c>
      <c r="G16" s="8">
        <v>2</v>
      </c>
      <c r="H16" s="8">
        <f>2*G16/20</f>
        <v>0.2</v>
      </c>
      <c r="I16" s="8">
        <f>D16+H16</f>
        <v>24.2</v>
      </c>
      <c r="J16" s="8">
        <f>C16*E16*F16*I16*24*365/1000000000</f>
        <v>33.207515009141716</v>
      </c>
      <c r="O16">
        <f>Table4[[#Totals],[Total Rent cost per year]]+Table4[[#Totals],[Energy Cost per year in CU]]+Table4[[#Totals],[FM Cost]]+J18</f>
        <v>9411.4076069337134</v>
      </c>
    </row>
    <row r="17" spans="1:14" x14ac:dyDescent="0.25">
      <c r="A17" s="8" t="s">
        <v>64</v>
      </c>
      <c r="B17" s="9">
        <f>(658286.152663246+20*30000)/1000</f>
        <v>1258.286152663246</v>
      </c>
      <c r="C17" s="8">
        <f>570*B17</f>
        <v>717223.10701805016</v>
      </c>
      <c r="D17" s="8">
        <v>24</v>
      </c>
      <c r="E17" s="8">
        <v>1</v>
      </c>
      <c r="F17" s="8">
        <v>3.8</v>
      </c>
      <c r="G17" s="8">
        <v>4</v>
      </c>
      <c r="H17" s="8">
        <f>2*G17/20</f>
        <v>0.4</v>
      </c>
      <c r="I17" s="8">
        <f>D17+H17</f>
        <v>24.4</v>
      </c>
      <c r="J17" s="8">
        <f>C17*E17*F17*I17*24*365/1000000000</f>
        <v>582.54811598857111</v>
      </c>
    </row>
    <row r="18" spans="1:14" x14ac:dyDescent="0.25">
      <c r="J18">
        <f>SUM(J16:J17)</f>
        <v>615.75563099771284</v>
      </c>
    </row>
    <row r="20" spans="1:14" x14ac:dyDescent="0.25">
      <c r="M20" s="8" t="s">
        <v>93</v>
      </c>
      <c r="N20" s="8"/>
    </row>
    <row r="21" spans="1:14" x14ac:dyDescent="0.25">
      <c r="M21" s="8" t="s">
        <v>94</v>
      </c>
      <c r="N21" s="8">
        <f>Table4[[#Totals],[Total Rent cost per year]]</f>
        <v>3869</v>
      </c>
    </row>
    <row r="22" spans="1:14" x14ac:dyDescent="0.25">
      <c r="M22" s="8" t="s">
        <v>95</v>
      </c>
      <c r="N22" s="8">
        <f>Table4[[#Totals],[Energy Cost per year in CU]]</f>
        <v>3279.3529536000001</v>
      </c>
    </row>
    <row r="23" spans="1:14" x14ac:dyDescent="0.25">
      <c r="M23" s="8" t="s">
        <v>96</v>
      </c>
      <c r="N23" s="8">
        <f>Table4[[#Totals],[FM Cost]]+J18</f>
        <v>2263.0546533337124</v>
      </c>
    </row>
    <row r="24" spans="1:14" x14ac:dyDescent="0.25">
      <c r="M24" s="8" t="s">
        <v>97</v>
      </c>
      <c r="N24" s="8">
        <f>0.05*SUM(N21:N23)</f>
        <v>470.57038034668568</v>
      </c>
    </row>
    <row r="25" spans="1:14" x14ac:dyDescent="0.25">
      <c r="M25" s="8" t="s">
        <v>98</v>
      </c>
      <c r="N25" s="8">
        <f>0.07*SUM(N21:N23)</f>
        <v>658.79853248536006</v>
      </c>
    </row>
    <row r="26" spans="1:14" x14ac:dyDescent="0.25">
      <c r="M26" s="8"/>
      <c r="N26" s="8">
        <f>SUM(N21:N25)</f>
        <v>10540.776519765759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M1" workbookViewId="0">
      <selection activeCell="M22" sqref="M22:M26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27" t="s">
        <v>60</v>
      </c>
      <c r="C2" s="8">
        <v>80</v>
      </c>
      <c r="D2" s="26">
        <f>54*2</f>
        <v>108</v>
      </c>
      <c r="E2" s="8">
        <v>5</v>
      </c>
      <c r="F2" s="8">
        <f>Table36[[#This Row],[Floor Space per component]]*Table36[[#This Row],[Quantity]]</f>
        <v>540</v>
      </c>
      <c r="G2" s="8">
        <v>10.6</v>
      </c>
      <c r="H2" s="8">
        <f>Table36[[#This Row],[Rent per sqm per year]]*Table36[[#This Row],[Total Floor Space]]</f>
        <v>5724</v>
      </c>
      <c r="I2" s="8">
        <f>0.5+(1/6)*Table36[[#This Row],[Quantity]]</f>
        <v>18.5</v>
      </c>
      <c r="J2" s="8">
        <v>2</v>
      </c>
      <c r="K2" s="8">
        <v>256</v>
      </c>
      <c r="L2" s="8">
        <f>100*Table36[[#This Row],[Quantity]]</f>
        <v>10800</v>
      </c>
      <c r="M2" s="8">
        <f>Table36[[#This Row],[Energy consumption in W]]*24*365/1000</f>
        <v>94608</v>
      </c>
      <c r="N2" s="8">
        <f>0.3048/50</f>
        <v>6.0960000000000007E-3</v>
      </c>
      <c r="O2" s="8">
        <f>Table36[[#This Row],[Yearly Energy Consumption in kWh]]*Table36[[#This Row],[CU/kWh]]</f>
        <v>576.73036800000011</v>
      </c>
      <c r="P2" s="8">
        <v>0</v>
      </c>
      <c r="Q2" s="8">
        <v>20</v>
      </c>
      <c r="R2" s="8">
        <f>Table36[[#This Row],[Quantity]]*(Table36[[#This Row],[FIT]]*24*365)/1000000000</f>
        <v>0.24219647999999999</v>
      </c>
      <c r="S2" s="8">
        <f>2*Table36[[#This Row],[Mean dist in km from CO]]/Table36[[#This Row],[Avg Travel Speed]]</f>
        <v>0</v>
      </c>
      <c r="T2" s="8">
        <f>Table36[[#This Row],[MTTR]]+Table36[[#This Row],[Twice Travel Time]]</f>
        <v>2</v>
      </c>
      <c r="U2" s="8">
        <v>1</v>
      </c>
      <c r="V2" s="8">
        <f>190/50</f>
        <v>3.8</v>
      </c>
      <c r="W2" s="8">
        <f>Table36[[#This Row],[Cost per hour]]*Table36[[#This Row],[Total Time to Repair(h)]]*Table36[[#This Row],[Failures per year]]</f>
        <v>1.8406932479999998</v>
      </c>
    </row>
    <row r="3" spans="1:27" x14ac:dyDescent="0.25">
      <c r="A3" s="8" t="s">
        <v>3</v>
      </c>
      <c r="B3" s="27" t="s">
        <v>61</v>
      </c>
      <c r="C3" s="8">
        <v>12</v>
      </c>
      <c r="D3" s="26">
        <f>156*2</f>
        <v>312</v>
      </c>
      <c r="E3" s="8">
        <v>0</v>
      </c>
      <c r="F3" s="8">
        <f>Table36[[#This Row],[Floor Space per component]]*Table36[[#This Row],[Quantity]]</f>
        <v>0</v>
      </c>
      <c r="G3" s="8">
        <v>0</v>
      </c>
      <c r="H3" s="8">
        <f>Table36[[#This Row],[Rent per sqm per year]]*Table36[[#This Row],[Total Floor Space]]</f>
        <v>0</v>
      </c>
      <c r="I3" s="8">
        <v>0</v>
      </c>
      <c r="J3" s="8">
        <v>0</v>
      </c>
      <c r="K3" s="8">
        <v>0</v>
      </c>
      <c r="L3" s="8">
        <f>100*Table36[[#This Row],[Quantity]]</f>
        <v>31200</v>
      </c>
      <c r="M3" s="8">
        <f>Table36[[#This Row],[Energy consumption in W]]*24*365/1000</f>
        <v>273312</v>
      </c>
      <c r="N3" s="8">
        <f t="shared" ref="N3:N10" si="0">0.3048/50</f>
        <v>6.0960000000000007E-3</v>
      </c>
      <c r="O3" s="8">
        <f>Table36[[#This Row],[Yearly Energy Consumption in kWh]]*Table36[[#This Row],[CU/kWh]]</f>
        <v>1666.1099520000002</v>
      </c>
      <c r="P3" s="8">
        <v>0</v>
      </c>
      <c r="Q3" s="8">
        <v>20</v>
      </c>
      <c r="R3" s="8">
        <f>Table36[[#This Row],[Quantity]]*(Table36[[#This Row],[FIT]]*24*365)/1000000000</f>
        <v>0</v>
      </c>
      <c r="S3" s="8">
        <f>2*Table36[[#This Row],[Mean dist in km from CO]]/Table36[[#This Row],[Avg Travel Speed]]</f>
        <v>0</v>
      </c>
      <c r="T3" s="8">
        <f>Table36[[#This Row],[MTTR]]+Table36[[#This Row],[Twice Travel Time]]</f>
        <v>0</v>
      </c>
      <c r="U3" s="8">
        <v>1</v>
      </c>
      <c r="V3" s="8">
        <f t="shared" ref="V3:V10" si="1">190/50</f>
        <v>3.8</v>
      </c>
      <c r="W3" s="8">
        <f>Table36[[#This Row],[Cost per hour]]*Table36[[#This Row],[Total Time to Repair(h)]]*Table36[[#This Row],[Failures per year]]</f>
        <v>0</v>
      </c>
    </row>
    <row r="4" spans="1:27" x14ac:dyDescent="0.25">
      <c r="A4" s="8" t="s">
        <v>3</v>
      </c>
      <c r="B4" s="27" t="s">
        <v>6</v>
      </c>
      <c r="C4" s="8">
        <v>1.1111111E-2</v>
      </c>
      <c r="D4" s="26">
        <v>3120</v>
      </c>
      <c r="E4" s="8">
        <v>0</v>
      </c>
      <c r="F4" s="8">
        <f>Table36[[#This Row],[Floor Space per component]]*Table36[[#This Row],[Quantity]]</f>
        <v>0</v>
      </c>
      <c r="G4" s="8">
        <v>0</v>
      </c>
      <c r="H4" s="8">
        <f>Table36[[#This Row],[Rent per sqm per year]]*Table36[[#This Row],[Total Floor Space]]</f>
        <v>0</v>
      </c>
      <c r="I4" s="8">
        <v>0</v>
      </c>
      <c r="J4" s="8">
        <v>0</v>
      </c>
      <c r="K4" s="8">
        <v>0</v>
      </c>
      <c r="L4" s="8">
        <f>1*Table36[[#This Row],[Quantity]]</f>
        <v>3120</v>
      </c>
      <c r="M4" s="8">
        <f>Table36[[#This Row],[Energy consumption in W]]*24*365/1000</f>
        <v>27331.200000000001</v>
      </c>
      <c r="N4" s="8">
        <f t="shared" si="0"/>
        <v>6.0960000000000007E-3</v>
      </c>
      <c r="O4" s="8">
        <f>Table36[[#This Row],[Yearly Energy Consumption in kWh]]*Table36[[#This Row],[CU/kWh]]</f>
        <v>166.61099520000002</v>
      </c>
      <c r="P4" s="8">
        <v>0</v>
      </c>
      <c r="Q4" s="8">
        <v>20</v>
      </c>
      <c r="R4" s="8">
        <f>Table36[[#This Row],[Quantity]]*(Table36[[#This Row],[FIT]]*24*365)/1000000000</f>
        <v>0</v>
      </c>
      <c r="S4" s="8">
        <f>2*Table36[[#This Row],[Mean dist in km from CO]]/Table36[[#This Row],[Avg Travel Speed]]</f>
        <v>0</v>
      </c>
      <c r="T4" s="8">
        <f>Table36[[#This Row],[MTTR]]+Table36[[#This Row],[Twice Travel Time]]</f>
        <v>0</v>
      </c>
      <c r="U4" s="8">
        <v>1</v>
      </c>
      <c r="V4" s="8">
        <f t="shared" si="1"/>
        <v>3.8</v>
      </c>
      <c r="W4" s="8">
        <f>Table36[[#This Row],[Cost per hour]]*Table36[[#This Row],[Total Time to Repair(h)]]*Table36[[#This Row],[Failures per year]]</f>
        <v>0</v>
      </c>
    </row>
    <row r="5" spans="1:27" x14ac:dyDescent="0.25">
      <c r="A5" s="8" t="s">
        <v>3</v>
      </c>
      <c r="B5" s="27" t="s">
        <v>7</v>
      </c>
      <c r="C5" s="8">
        <v>200</v>
      </c>
      <c r="D5" s="26">
        <v>1</v>
      </c>
      <c r="E5" s="8">
        <v>20</v>
      </c>
      <c r="F5" s="8">
        <f>Table36[[#This Row],[Floor Space per component]]*Table36[[#This Row],[Quantity]]</f>
        <v>20</v>
      </c>
      <c r="G5" s="8">
        <v>10.6</v>
      </c>
      <c r="H5" s="8">
        <f>Table36[[#This Row],[Rent per sqm per year]]*Table36[[#This Row],[Total Floor Space]]</f>
        <v>212</v>
      </c>
      <c r="I5" s="8">
        <v>4</v>
      </c>
      <c r="J5" s="8">
        <v>0</v>
      </c>
      <c r="K5" s="8">
        <v>0</v>
      </c>
      <c r="L5" s="8">
        <f>100*Table36[[#This Row],[Quantity]]</f>
        <v>100</v>
      </c>
      <c r="M5" s="8">
        <f>Table36[[#This Row],[Energy consumption in W]]*24*365/1000</f>
        <v>876</v>
      </c>
      <c r="N5" s="8">
        <f t="shared" si="0"/>
        <v>6.0960000000000007E-3</v>
      </c>
      <c r="O5" s="8">
        <f>Table36[[#This Row],[Yearly Energy Consumption in kWh]]*Table36[[#This Row],[CU/kWh]]</f>
        <v>5.3400960000000008</v>
      </c>
      <c r="P5" s="8">
        <v>0</v>
      </c>
      <c r="Q5" s="8">
        <v>20</v>
      </c>
      <c r="R5" s="8">
        <f>Table36[[#This Row],[Quantity]]*(Table36[[#This Row],[FIT]]*24*365)/1000000000</f>
        <v>0</v>
      </c>
      <c r="S5" s="8">
        <f>2*Table36[[#This Row],[Mean dist in km from CO]]/Table36[[#This Row],[Avg Travel Speed]]</f>
        <v>0</v>
      </c>
      <c r="T5" s="8">
        <f>Table36[[#This Row],[MTTR]]+Table36[[#This Row],[Twice Travel Time]]</f>
        <v>0</v>
      </c>
      <c r="U5" s="8">
        <v>1</v>
      </c>
      <c r="V5" s="8">
        <f t="shared" si="1"/>
        <v>3.8</v>
      </c>
      <c r="W5" s="8">
        <f>Table36[[#This Row],[Cost per hour]]*Table36[[#This Row],[Total Time to Repair(h)]]*Table36[[#This Row],[Failures per year]]</f>
        <v>0</v>
      </c>
    </row>
    <row r="6" spans="1:27" x14ac:dyDescent="0.25">
      <c r="A6" s="8" t="s">
        <v>8</v>
      </c>
      <c r="B6" s="27" t="s">
        <v>9</v>
      </c>
      <c r="C6" s="8">
        <v>1.8</v>
      </c>
      <c r="D6" s="26">
        <f>156*2</f>
        <v>312</v>
      </c>
      <c r="E6" s="8">
        <v>0</v>
      </c>
      <c r="F6" s="8">
        <f>Table36[[#This Row],[Floor Space per component]]*Table36[[#This Row],[Quantity]]</f>
        <v>0</v>
      </c>
      <c r="G6" s="8">
        <v>0</v>
      </c>
      <c r="H6" s="8">
        <f>Table36[[#This Row],[Rent per sqm per year]]*Table36[[#This Row],[Total Floor Space]]</f>
        <v>0</v>
      </c>
      <c r="I6" s="8">
        <f>1/6*(1+Table36[[#This Row],[Quantity]])</f>
        <v>52.166666666666664</v>
      </c>
      <c r="J6" s="8">
        <v>6</v>
      </c>
      <c r="K6" s="8">
        <v>50</v>
      </c>
      <c r="L6" s="8">
        <v>0</v>
      </c>
      <c r="M6" s="8">
        <f>Table36[[#This Row],[Energy consumption in W]]*24*365/1000</f>
        <v>0</v>
      </c>
      <c r="N6" s="8">
        <f t="shared" si="0"/>
        <v>6.0960000000000007E-3</v>
      </c>
      <c r="O6" s="8">
        <f>Table36[[#This Row],[Yearly Energy Consumption in kWh]]*Table36[[#This Row],[CU/kWh]]</f>
        <v>0</v>
      </c>
      <c r="P6" s="8">
        <v>1.5</v>
      </c>
      <c r="Q6" s="8">
        <v>20</v>
      </c>
      <c r="R6" s="8">
        <f>Table36[[#This Row],[Quantity]]*(Table36[[#This Row],[FIT]]*24*365)/1000000000</f>
        <v>0.136656</v>
      </c>
      <c r="S6" s="8">
        <f>2*Table36[[#This Row],[Mean dist in km from CO]]/Table36[[#This Row],[Avg Travel Speed]]</f>
        <v>0.15</v>
      </c>
      <c r="T6" s="8">
        <f>Table36[[#This Row],[MTTR]]+Table36[[#This Row],[Twice Travel Time]]</f>
        <v>6.15</v>
      </c>
      <c r="U6" s="8">
        <v>1</v>
      </c>
      <c r="V6" s="8">
        <f t="shared" si="1"/>
        <v>3.8</v>
      </c>
      <c r="W6" s="8">
        <f>Table36[[#This Row],[Cost per hour]]*Table36[[#This Row],[Total Time to Repair(h)]]*Table36[[#This Row],[Failures per year]]</f>
        <v>3.1936507199999999</v>
      </c>
    </row>
    <row r="7" spans="1:27" x14ac:dyDescent="0.25">
      <c r="A7" s="8" t="s">
        <v>8</v>
      </c>
      <c r="B7" s="27" t="s">
        <v>61</v>
      </c>
      <c r="C7" s="8">
        <v>12</v>
      </c>
      <c r="D7" s="26">
        <f>156*2</f>
        <v>312</v>
      </c>
      <c r="E7" s="8">
        <v>0</v>
      </c>
      <c r="F7" s="8">
        <f>Table36[[#This Row],[Floor Space per component]]*Table36[[#This Row],[Quantity]]</f>
        <v>0</v>
      </c>
      <c r="G7" s="8">
        <v>0</v>
      </c>
      <c r="H7" s="8">
        <f>Table36[[#This Row],[Rent per sqm per year]]*Table36[[#This Row],[Total Floor Space]]</f>
        <v>0</v>
      </c>
      <c r="I7" s="8">
        <v>0</v>
      </c>
      <c r="J7" s="8">
        <v>0</v>
      </c>
      <c r="K7" s="8">
        <v>0</v>
      </c>
      <c r="L7" s="8">
        <f>4.5*Table36[[#This Row],[Quantity]]</f>
        <v>1404</v>
      </c>
      <c r="M7" s="8">
        <f>Table36[[#This Row],[Energy consumption in W]]*24*365/1000</f>
        <v>12299.04</v>
      </c>
      <c r="N7" s="8">
        <f t="shared" si="0"/>
        <v>6.0960000000000007E-3</v>
      </c>
      <c r="O7" s="8">
        <f>Table36[[#This Row],[Yearly Energy Consumption in kWh]]*Table36[[#This Row],[CU/kWh]]</f>
        <v>74.974947840000013</v>
      </c>
      <c r="P7" s="8">
        <v>1.5</v>
      </c>
      <c r="Q7" s="8">
        <v>20</v>
      </c>
      <c r="R7" s="8">
        <f>Table36[[#This Row],[Quantity]]*(Table36[[#This Row],[FIT]]*24*365)/1000000000</f>
        <v>0</v>
      </c>
      <c r="S7" s="8">
        <f>2*Table36[[#This Row],[Mean dist in km from CO]]/Table36[[#This Row],[Avg Travel Speed]]</f>
        <v>0.15</v>
      </c>
      <c r="T7" s="8">
        <f>Table36[[#This Row],[MTTR]]+Table36[[#This Row],[Twice Travel Time]]</f>
        <v>0.15</v>
      </c>
      <c r="U7" s="8">
        <v>1</v>
      </c>
      <c r="V7" s="8">
        <f t="shared" si="1"/>
        <v>3.8</v>
      </c>
      <c r="W7" s="8">
        <f>Table36[[#This Row],[Cost per hour]]*Table36[[#This Row],[Total Time to Repair(h)]]*Table36[[#This Row],[Failures per year]]</f>
        <v>0</v>
      </c>
    </row>
    <row r="8" spans="1:27" x14ac:dyDescent="0.25">
      <c r="A8" s="8" t="s">
        <v>10</v>
      </c>
      <c r="B8" s="27" t="s">
        <v>9</v>
      </c>
      <c r="C8" s="8">
        <v>1.8</v>
      </c>
      <c r="D8" s="26">
        <f>610*2</f>
        <v>1220</v>
      </c>
      <c r="E8" s="8">
        <v>0</v>
      </c>
      <c r="F8" s="8">
        <f>Table36[[#This Row],[Floor Space per component]]*Table36[[#This Row],[Quantity]]</f>
        <v>0</v>
      </c>
      <c r="G8" s="8">
        <v>0</v>
      </c>
      <c r="H8" s="8">
        <f>Table36[[#This Row],[Rent per sqm per year]]*Table36[[#This Row],[Total Floor Space]]</f>
        <v>0</v>
      </c>
      <c r="I8" s="8">
        <f>1/6*(1+Table36[[#This Row],[Quantity]])</f>
        <v>203.5</v>
      </c>
      <c r="J8" s="8">
        <v>6</v>
      </c>
      <c r="K8" s="8">
        <v>50</v>
      </c>
      <c r="L8" s="8">
        <v>0</v>
      </c>
      <c r="M8" s="8">
        <f>Table36[[#This Row],[Energy consumption in W]]*24*365/1000</f>
        <v>0</v>
      </c>
      <c r="N8" s="8">
        <f t="shared" si="0"/>
        <v>6.0960000000000007E-3</v>
      </c>
      <c r="O8" s="8">
        <f>Table36[[#This Row],[Yearly Energy Consumption in kWh]]*Table36[[#This Row],[CU/kWh]]</f>
        <v>0</v>
      </c>
      <c r="P8" s="8">
        <v>2</v>
      </c>
      <c r="Q8" s="8">
        <v>20</v>
      </c>
      <c r="R8" s="8">
        <f>Table36[[#This Row],[Quantity]]*(Table36[[#This Row],[FIT]]*24*365)/1000000000</f>
        <v>0.53435999999999995</v>
      </c>
      <c r="S8" s="8">
        <f>2*Table36[[#This Row],[Mean dist in km from CO]]/Table36[[#This Row],[Avg Travel Speed]]</f>
        <v>0.2</v>
      </c>
      <c r="T8" s="8">
        <f>Table36[[#This Row],[MTTR]]+Table36[[#This Row],[Twice Travel Time]]</f>
        <v>6.2</v>
      </c>
      <c r="U8" s="8">
        <v>1</v>
      </c>
      <c r="V8" s="8">
        <f t="shared" si="1"/>
        <v>3.8</v>
      </c>
      <c r="W8" s="8">
        <f>Table36[[#This Row],[Cost per hour]]*Table36[[#This Row],[Total Time to Repair(h)]]*Table36[[#This Row],[Failures per year]]</f>
        <v>12.589521599999998</v>
      </c>
    </row>
    <row r="9" spans="1:27" x14ac:dyDescent="0.25">
      <c r="A9" s="8" t="s">
        <v>13</v>
      </c>
      <c r="B9" s="27" t="s">
        <v>9</v>
      </c>
      <c r="C9" s="8">
        <v>10</v>
      </c>
      <c r="D9" s="26">
        <v>5000</v>
      </c>
      <c r="E9" s="8">
        <v>0</v>
      </c>
      <c r="F9" s="8">
        <f>Table36[[#This Row],[Floor Space per component]]*Table36[[#This Row],[Quantity]]</f>
        <v>0</v>
      </c>
      <c r="G9" s="8">
        <v>4</v>
      </c>
      <c r="H9" s="8">
        <f>Table36[[#This Row],[Rent per sqm per year]]*Table36[[#This Row],[Total Floor Space]]</f>
        <v>0</v>
      </c>
      <c r="I9" s="8">
        <f>(0.5+1/6*8)*Table36[[#This Row],[Quantity]]</f>
        <v>9166.6666666666661</v>
      </c>
      <c r="J9" s="8">
        <v>6</v>
      </c>
      <c r="K9" s="8">
        <v>50</v>
      </c>
      <c r="L9" s="8">
        <v>0</v>
      </c>
      <c r="M9" s="8">
        <f>Table36[[#This Row],[Energy consumption in W]]*24*365/1000</f>
        <v>0</v>
      </c>
      <c r="N9" s="8">
        <f t="shared" si="0"/>
        <v>6.0960000000000007E-3</v>
      </c>
      <c r="O9" s="8">
        <f>Table36[[#This Row],[Yearly Energy Consumption in kWh]]*Table36[[#This Row],[CU/kWh]]</f>
        <v>0</v>
      </c>
      <c r="P9" s="8">
        <v>2.25</v>
      </c>
      <c r="Q9" s="8">
        <v>20</v>
      </c>
      <c r="R9" s="8">
        <f>Table36[[#This Row],[Quantity]]*(Table36[[#This Row],[FIT]]*24*365)/1000000000</f>
        <v>2.19</v>
      </c>
      <c r="S9" s="8">
        <f>2*Table36[[#This Row],[Mean dist in km from CO]]/Table36[[#This Row],[Avg Travel Speed]]</f>
        <v>0.22500000000000001</v>
      </c>
      <c r="T9" s="8">
        <f>Table36[[#This Row],[MTTR]]+Table36[[#This Row],[Twice Travel Time]]</f>
        <v>6.2249999999999996</v>
      </c>
      <c r="U9" s="8">
        <v>1</v>
      </c>
      <c r="V9" s="8">
        <f t="shared" si="1"/>
        <v>3.8</v>
      </c>
      <c r="W9" s="8">
        <f>Table36[[#This Row],[Cost per hour]]*Table36[[#This Row],[Total Time to Repair(h)]]*Table36[[#This Row],[Failures per year]]</f>
        <v>51.804449999999996</v>
      </c>
    </row>
    <row r="10" spans="1:27" x14ac:dyDescent="0.25">
      <c r="A10" s="8" t="s">
        <v>13</v>
      </c>
      <c r="B10" s="27" t="s">
        <v>63</v>
      </c>
      <c r="C10" s="8">
        <v>2.1</v>
      </c>
      <c r="D10" s="26">
        <v>30000</v>
      </c>
      <c r="E10" s="8">
        <v>0</v>
      </c>
      <c r="F10" s="8">
        <f>Table36[[#This Row],[Floor Space per component]]*Table36[[#This Row],[Quantity]]</f>
        <v>0</v>
      </c>
      <c r="G10" s="8">
        <v>0</v>
      </c>
      <c r="H10" s="8">
        <f>Table36[[#This Row],[Rent per sqm per year]]*Table36[[#This Row],[Total Floor Space]]</f>
        <v>0</v>
      </c>
      <c r="I10" s="8">
        <f>1*Table36[[#This Row],[Quantity]]</f>
        <v>30000</v>
      </c>
      <c r="J10" s="8">
        <v>6</v>
      </c>
      <c r="K10" s="8">
        <v>256</v>
      </c>
      <c r="L10" s="8">
        <v>0</v>
      </c>
      <c r="M10" s="8">
        <f>Table36[[#This Row],[Energy consumption in W]]*24*365/1000</f>
        <v>0</v>
      </c>
      <c r="N10" s="8">
        <f t="shared" si="0"/>
        <v>6.0960000000000007E-3</v>
      </c>
      <c r="O10" s="8">
        <f>Table36[[#This Row],[Yearly Energy Consumption in kWh]]*Table36[[#This Row],[CU/kWh]]</f>
        <v>0</v>
      </c>
      <c r="P10" s="8">
        <v>2.25</v>
      </c>
      <c r="Q10" s="8">
        <v>20</v>
      </c>
      <c r="R10" s="8">
        <f>Table36[[#This Row],[Quantity]]*(Table36[[#This Row],[FIT]]*24*365)/1000000000</f>
        <v>67.276799999999994</v>
      </c>
      <c r="S10" s="8">
        <f>2*Table36[[#This Row],[Mean dist in km from CO]]/Table36[[#This Row],[Avg Travel Speed]]</f>
        <v>0.22500000000000001</v>
      </c>
      <c r="T10" s="8">
        <f>Table36[[#This Row],[MTTR]]+Table36[[#This Row],[Twice Travel Time]]</f>
        <v>6.2249999999999996</v>
      </c>
      <c r="U10" s="8">
        <v>1</v>
      </c>
      <c r="V10" s="8">
        <f t="shared" si="1"/>
        <v>3.8</v>
      </c>
      <c r="W10" s="8">
        <f>Table36[[#This Row],[Cost per hour]]*Table36[[#This Row],[Total Time to Repair(h)]]*Table36[[#This Row],[Failures per year]]</f>
        <v>1591.4327039999996</v>
      </c>
    </row>
    <row r="11" spans="1:27" x14ac:dyDescent="0.25">
      <c r="H11" s="8">
        <f>SUM(Table36[Total Rent cost per year])</f>
        <v>5936</v>
      </c>
      <c r="O11" s="8">
        <f>SUBTOTAL(109,Table36[Energy Cost per year in CU])</f>
        <v>2489.7663590400002</v>
      </c>
      <c r="W11" s="8">
        <f>SUBTOTAL(109,Table36[FM Cost])</f>
        <v>1660.8610195679996</v>
      </c>
    </row>
    <row r="14" spans="1:27" x14ac:dyDescent="0.25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25">
      <c r="B15" s="9">
        <f>171056.493544313/1000</f>
        <v>171.05649354431301</v>
      </c>
      <c r="C15" s="8">
        <v>570</v>
      </c>
      <c r="E15" s="8">
        <v>20</v>
      </c>
    </row>
    <row r="16" spans="1:27" x14ac:dyDescent="0.25">
      <c r="B16" s="9">
        <f>85582.6331149716/1000</f>
        <v>85.5826331149716</v>
      </c>
      <c r="C16" s="8">
        <v>570</v>
      </c>
      <c r="E16" s="8">
        <v>20</v>
      </c>
    </row>
    <row r="17" spans="1:13" x14ac:dyDescent="0.25">
      <c r="B17" s="9">
        <f>(384090.367674523+20*30000)/1000</f>
        <v>984.09036767452301</v>
      </c>
      <c r="C17" s="8">
        <v>570</v>
      </c>
      <c r="E17" s="8">
        <v>20</v>
      </c>
      <c r="M17" s="8" t="s">
        <v>71</v>
      </c>
    </row>
    <row r="18" spans="1:13" x14ac:dyDescent="0.25">
      <c r="M18" s="8">
        <f>Table36[[#Totals],[Total Rent cost per year]]+Table36[[#Totals],[Energy Cost per year in CU]]+Table36[[#Totals],[FM Cost]]+I23</f>
        <v>10659.74882949984</v>
      </c>
    </row>
    <row r="19" spans="1:13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25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</row>
    <row r="21" spans="1:13" x14ac:dyDescent="0.25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93</v>
      </c>
    </row>
    <row r="22" spans="1:13" x14ac:dyDescent="0.25">
      <c r="A22" s="8" t="s">
        <v>64</v>
      </c>
      <c r="B22" s="8">
        <f>C17*B17</f>
        <v>560931.50957447814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455.60382941345154</v>
      </c>
      <c r="L22" s="8" t="s">
        <v>94</v>
      </c>
      <c r="M22" s="8">
        <f>Table36[[#Totals],[Total Rent cost per year]]</f>
        <v>5936</v>
      </c>
    </row>
    <row r="23" spans="1:13" x14ac:dyDescent="0.25">
      <c r="I23" s="8">
        <f>SUM(I20:I22)</f>
        <v>573.12145089184014</v>
      </c>
      <c r="L23" s="8" t="s">
        <v>95</v>
      </c>
      <c r="M23" s="8">
        <f>Table36[[#Totals],[Energy Cost per year in CU]]</f>
        <v>2489.7663590400002</v>
      </c>
    </row>
    <row r="24" spans="1:13" x14ac:dyDescent="0.25">
      <c r="L24" s="8" t="s">
        <v>96</v>
      </c>
      <c r="M24" s="8">
        <f>Table36[[#Totals],[FM Cost]]+I23</f>
        <v>2233.9824704598395</v>
      </c>
    </row>
    <row r="25" spans="1:13" x14ac:dyDescent="0.25">
      <c r="L25" s="8" t="s">
        <v>97</v>
      </c>
      <c r="M25" s="8">
        <f>0.05*SUM(M22:M24)</f>
        <v>532.98744147499201</v>
      </c>
    </row>
    <row r="26" spans="1:13" x14ac:dyDescent="0.25">
      <c r="L26" s="8" t="s">
        <v>98</v>
      </c>
      <c r="M26" s="8">
        <f>0.07*SUM(M22:M24)</f>
        <v>746.18241806498884</v>
      </c>
    </row>
    <row r="27" spans="1:13" x14ac:dyDescent="0.25">
      <c r="M27" s="8">
        <f>SUM(M22:M26)</f>
        <v>11938.918689039821</v>
      </c>
    </row>
    <row r="32" spans="1:13" x14ac:dyDescent="0.25">
      <c r="B32" s="9"/>
      <c r="C32" s="9"/>
      <c r="D32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topLeftCell="G1" workbookViewId="0">
      <selection activeCell="P24" sqref="P24:P28"/>
    </sheetView>
  </sheetViews>
  <sheetFormatPr defaultColWidth="8.85546875" defaultRowHeight="15" x14ac:dyDescent="0.25"/>
  <cols>
    <col min="1" max="1" width="23.28515625" style="8" customWidth="1"/>
    <col min="2" max="2" width="19.28515625" style="8" customWidth="1"/>
    <col min="3" max="3" width="21.28515625" style="8" customWidth="1"/>
    <col min="4" max="4" width="10.85546875" style="8" customWidth="1"/>
    <col min="5" max="8" width="18" style="8" customWidth="1"/>
    <col min="9" max="9" width="20.7109375" style="8" customWidth="1"/>
    <col min="10" max="10" width="21" style="8" customWidth="1"/>
    <col min="11" max="11" width="20" style="8" customWidth="1"/>
    <col min="12" max="12" width="17.140625" style="8" customWidth="1"/>
    <col min="13" max="13" width="20.85546875" style="8" customWidth="1"/>
    <col min="14" max="14" width="24.140625" style="8" customWidth="1"/>
    <col min="15" max="15" width="26.42578125" style="8" customWidth="1"/>
    <col min="16" max="16" width="21.140625" style="8" customWidth="1"/>
    <col min="17" max="17" width="14.85546875" style="8" customWidth="1"/>
    <col min="18" max="18" width="23.5703125" style="8" customWidth="1"/>
    <col min="19" max="19" width="19.7109375" style="8" customWidth="1"/>
    <col min="20" max="20" width="7.5703125" style="8" customWidth="1"/>
    <col min="21" max="21" width="8.85546875" style="8"/>
    <col min="22" max="23" width="16.7109375" style="8" customWidth="1"/>
    <col min="24" max="25" width="8.85546875" style="8"/>
    <col min="26" max="26" width="14.42578125" style="8" customWidth="1"/>
    <col min="27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2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2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2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27" t="s">
        <v>82</v>
      </c>
      <c r="C2" s="26">
        <v>80</v>
      </c>
      <c r="D2" s="26">
        <v>54</v>
      </c>
      <c r="E2" s="8">
        <v>5</v>
      </c>
      <c r="F2" s="8">
        <f>Table27[[#This Row],[Floor Space per component]]*Table27[[#This Row],[Quantity]]</f>
        <v>270</v>
      </c>
      <c r="G2" s="8">
        <f>530/50</f>
        <v>10.6</v>
      </c>
      <c r="H2" s="2">
        <f>Table27[[#This Row],[Rent per sqm per year]]*Table27[[#This Row],[Total Floor Space]]</f>
        <v>2862</v>
      </c>
      <c r="I2" s="8">
        <v>7.1666666666666696</v>
      </c>
      <c r="J2" s="8">
        <v>2</v>
      </c>
      <c r="K2" s="8">
        <v>256</v>
      </c>
      <c r="L2" s="8">
        <f>10+Table27[[#This Row],[Quantity]]*2.5*0.5</f>
        <v>77.5</v>
      </c>
      <c r="M2" s="8">
        <f>Table27[[#This Row],[Energy consumption in W]]*24*365/1000</f>
        <v>678.9</v>
      </c>
      <c r="N2" s="8">
        <f>0.3048/50</f>
        <v>6.0960000000000007E-3</v>
      </c>
      <c r="O2" s="2">
        <f>Table27[[#This Row],[Yearly Energy Consumption in kWh]]*Table27[[#This Row],[CU/kWh]]</f>
        <v>4.1385744000000004</v>
      </c>
      <c r="P2" s="8">
        <v>0</v>
      </c>
      <c r="Q2" s="8">
        <v>20</v>
      </c>
      <c r="R2" s="8">
        <f>Table27[[#This Row],[Quantity]]*(Table27[[#This Row],[FIT]]*24*365)/1000000000</f>
        <v>0.12109824</v>
      </c>
      <c r="S2" s="8">
        <f>2*Table27[[#This Row],[Mean dist in km from CO]]/Table27[[#This Row],[Avg Travel Speed]]</f>
        <v>0</v>
      </c>
      <c r="T2" s="8">
        <f>Table27[[#This Row],[MTTR]]+Table27[[#This Row],[Twice Travel Time]]</f>
        <v>2</v>
      </c>
      <c r="U2" s="8">
        <v>1</v>
      </c>
      <c r="V2" s="8">
        <f>190/50</f>
        <v>3.8</v>
      </c>
      <c r="W2" s="2">
        <f>Table27[[#This Row],[Cost per hour]]*Table27[[#This Row],[Total Time to Repair(h)]]*Table27[[#This Row],[Failures per year]]</f>
        <v>0.92034662399999989</v>
      </c>
      <c r="X2" s="8">
        <v>0</v>
      </c>
      <c r="Y2" s="8">
        <f>1200/50</f>
        <v>24</v>
      </c>
      <c r="Z2" s="8">
        <f>2000/50</f>
        <v>40</v>
      </c>
    </row>
    <row r="3" spans="1:27" x14ac:dyDescent="0.25">
      <c r="A3" s="8" t="s">
        <v>3</v>
      </c>
      <c r="B3" s="27" t="s">
        <v>61</v>
      </c>
      <c r="C3" s="26">
        <v>12</v>
      </c>
      <c r="D3" s="26">
        <f>156</f>
        <v>156</v>
      </c>
      <c r="E3" s="8">
        <v>0</v>
      </c>
      <c r="F3" s="8">
        <f>Table27[[#This Row],[Floor Space per component]]*Table27[[#This Row],[Quantity]]</f>
        <v>0</v>
      </c>
      <c r="G3" s="8">
        <v>0</v>
      </c>
      <c r="H3" s="2">
        <f>Table27[[#This Row],[Rent per sqm per year]]*Table27[[#This Row],[Total Floor Space]]</f>
        <v>0</v>
      </c>
      <c r="I3" s="8">
        <v>0</v>
      </c>
      <c r="J3" s="8">
        <v>0</v>
      </c>
      <c r="K3" s="8">
        <v>0</v>
      </c>
      <c r="L3" s="8">
        <f>1.2*Table27[[#This Row],[Quantity]]</f>
        <v>187.2</v>
      </c>
      <c r="M3" s="8">
        <f>Table27[[#This Row],[Energy consumption in W]]*24*365/1000</f>
        <v>1639.8719999999998</v>
      </c>
      <c r="N3" s="8">
        <f t="shared" ref="N3:N10" si="0">0.3048/50</f>
        <v>6.0960000000000007E-3</v>
      </c>
      <c r="O3" s="2">
        <f>Table27[[#This Row],[Yearly Energy Consumption in kWh]]*Table27[[#This Row],[CU/kWh]]</f>
        <v>9.9966597119999996</v>
      </c>
      <c r="P3" s="8">
        <v>0</v>
      </c>
      <c r="Q3" s="8">
        <v>20</v>
      </c>
      <c r="R3" s="8">
        <f>Table27[[#This Row],[Quantity]]*(Table27[[#This Row],[FIT]]*24*365)/1000000000</f>
        <v>0</v>
      </c>
      <c r="S3" s="8">
        <f>2*Table27[[#This Row],[Mean dist in km from CO]]/Table27[[#This Row],[Avg Travel Speed]]</f>
        <v>0</v>
      </c>
      <c r="T3" s="8">
        <f>Table27[[#This Row],[MTTR]]+Table27[[#This Row],[Twice Travel Time]]</f>
        <v>0</v>
      </c>
      <c r="U3" s="8">
        <v>1</v>
      </c>
      <c r="V3" s="8">
        <f t="shared" ref="V3:V10" si="1">190/50</f>
        <v>3.8</v>
      </c>
      <c r="W3" s="2">
        <f>Table27[[#This Row],[Cost per hour]]*Table27[[#This Row],[Total Time to Repair(h)]]*Table27[[#This Row],[Failures per year]]</f>
        <v>0</v>
      </c>
      <c r="X3" s="8">
        <v>0</v>
      </c>
      <c r="Y3" s="8">
        <f t="shared" ref="Y3:Y10" si="2">1200/50</f>
        <v>24</v>
      </c>
      <c r="Z3" s="8">
        <f t="shared" ref="Z3:Z10" si="3">2000/50</f>
        <v>40</v>
      </c>
    </row>
    <row r="4" spans="1:27" x14ac:dyDescent="0.25">
      <c r="A4" s="8" t="s">
        <v>3</v>
      </c>
      <c r="B4" s="27" t="s">
        <v>6</v>
      </c>
      <c r="C4" s="26">
        <f>0.1/9</f>
        <v>1.1111111111111112E-2</v>
      </c>
      <c r="D4" s="26">
        <v>3120</v>
      </c>
      <c r="E4" s="8">
        <v>0</v>
      </c>
      <c r="F4" s="8">
        <f>Table27[[#This Row],[Floor Space per component]]*Table27[[#This Row],[Quantity]]</f>
        <v>0</v>
      </c>
      <c r="G4" s="8">
        <v>0</v>
      </c>
      <c r="H4" s="2">
        <f>Table27[[#This Row],[Rent per sqm per year]]*Table27[[#This Row],[Total Floor Space]]</f>
        <v>0</v>
      </c>
      <c r="I4" s="8">
        <v>0</v>
      </c>
      <c r="J4" s="8">
        <v>0</v>
      </c>
      <c r="K4" s="8">
        <v>0</v>
      </c>
      <c r="L4" s="8">
        <f>0.1*Table27[[#This Row],[Quantity]]</f>
        <v>312</v>
      </c>
      <c r="M4" s="8">
        <f>Table27[[#This Row],[Energy consumption in W]]*24*365/1000</f>
        <v>2733.12</v>
      </c>
      <c r="N4" s="8">
        <f t="shared" si="0"/>
        <v>6.0960000000000007E-3</v>
      </c>
      <c r="O4" s="2">
        <f>Table27[[#This Row],[Yearly Energy Consumption in kWh]]*Table27[[#This Row],[CU/kWh]]</f>
        <v>16.66109952</v>
      </c>
      <c r="P4" s="8">
        <v>0</v>
      </c>
      <c r="Q4" s="8">
        <v>20</v>
      </c>
      <c r="R4" s="8">
        <f>Table27[[#This Row],[Quantity]]*(Table27[[#This Row],[FIT]]*24*365)/1000000000</f>
        <v>0</v>
      </c>
      <c r="S4" s="8">
        <f>2*Table27[[#This Row],[Mean dist in km from CO]]/Table27[[#This Row],[Avg Travel Speed]]</f>
        <v>0</v>
      </c>
      <c r="T4" s="8">
        <f>Table27[[#This Row],[MTTR]]+Table27[[#This Row],[Twice Travel Time]]</f>
        <v>0</v>
      </c>
      <c r="U4" s="8">
        <v>1</v>
      </c>
      <c r="V4" s="8">
        <f t="shared" si="1"/>
        <v>3.8</v>
      </c>
      <c r="W4" s="2">
        <f>Table27[[#This Row],[Cost per hour]]*Table27[[#This Row],[Total Time to Repair(h)]]*Table27[[#This Row],[Failures per year]]</f>
        <v>0</v>
      </c>
      <c r="X4" s="8">
        <v>0</v>
      </c>
      <c r="Y4" s="8">
        <f t="shared" si="2"/>
        <v>24</v>
      </c>
      <c r="Z4" s="8">
        <f t="shared" si="3"/>
        <v>40</v>
      </c>
    </row>
    <row r="5" spans="1:27" x14ac:dyDescent="0.25">
      <c r="A5" s="8" t="s">
        <v>3</v>
      </c>
      <c r="B5" s="27" t="s">
        <v>7</v>
      </c>
      <c r="C5" s="26">
        <v>200</v>
      </c>
      <c r="D5" s="26">
        <v>1</v>
      </c>
      <c r="E5" s="8">
        <v>20</v>
      </c>
      <c r="F5" s="8">
        <f>Table27[[#This Row],[Floor Space per component]]*Table27[[#This Row],[Quantity]]</f>
        <v>20</v>
      </c>
      <c r="G5" s="8">
        <v>10.6</v>
      </c>
      <c r="H5" s="2">
        <f>Table27[[#This Row],[Rent per sqm per year]]*Table27[[#This Row],[Total Floor Space]]</f>
        <v>212</v>
      </c>
      <c r="I5" s="8">
        <v>1</v>
      </c>
      <c r="J5" s="8">
        <v>0</v>
      </c>
      <c r="K5" s="8">
        <v>0</v>
      </c>
      <c r="L5" s="8">
        <v>0</v>
      </c>
      <c r="M5" s="8">
        <f>Table27[[#This Row],[Energy consumption in W]]*24*365/1000</f>
        <v>0</v>
      </c>
      <c r="N5" s="8">
        <f t="shared" si="0"/>
        <v>6.0960000000000007E-3</v>
      </c>
      <c r="O5" s="2">
        <f>Table27[[#This Row],[Yearly Energy Consumption in kWh]]*Table27[[#This Row],[CU/kWh]]</f>
        <v>0</v>
      </c>
      <c r="P5" s="8">
        <v>0</v>
      </c>
      <c r="Q5" s="8">
        <v>20</v>
      </c>
      <c r="R5" s="8">
        <f>Table27[[#This Row],[Quantity]]*(Table27[[#This Row],[FIT]]*24*365)/1000000000</f>
        <v>0</v>
      </c>
      <c r="S5" s="8">
        <f>2*Table27[[#This Row],[Mean dist in km from CO]]/Table27[[#This Row],[Avg Travel Speed]]</f>
        <v>0</v>
      </c>
      <c r="T5" s="8">
        <f>Table27[[#This Row],[MTTR]]+Table27[[#This Row],[Twice Travel Time]]</f>
        <v>0</v>
      </c>
      <c r="U5" s="8">
        <v>1</v>
      </c>
      <c r="V5" s="8">
        <f t="shared" si="1"/>
        <v>3.8</v>
      </c>
      <c r="W5" s="2">
        <f>Table27[[#This Row],[Cost per hour]]*Table27[[#This Row],[Total Time to Repair(h)]]*Table27[[#This Row],[Failures per year]]</f>
        <v>0</v>
      </c>
      <c r="X5" s="8">
        <v>0</v>
      </c>
      <c r="Y5" s="8">
        <f t="shared" si="2"/>
        <v>24</v>
      </c>
      <c r="Z5" s="8">
        <f t="shared" si="3"/>
        <v>40</v>
      </c>
    </row>
    <row r="6" spans="1:27" x14ac:dyDescent="0.25">
      <c r="A6" s="8" t="s">
        <v>8</v>
      </c>
      <c r="B6" s="27" t="s">
        <v>9</v>
      </c>
      <c r="C6" s="26">
        <v>1.8</v>
      </c>
      <c r="D6" s="26">
        <f>156*2</f>
        <v>312</v>
      </c>
      <c r="E6" s="8">
        <v>0</v>
      </c>
      <c r="F6" s="8">
        <f>Table27[[#This Row],[Floor Space per component]]*Table27[[#This Row],[Quantity]]</f>
        <v>0</v>
      </c>
      <c r="G6" s="8">
        <v>0</v>
      </c>
      <c r="H6" s="2">
        <f>Table27[[#This Row],[Rent per sqm per year]]*Table27[[#This Row],[Total Floor Space]]</f>
        <v>0</v>
      </c>
      <c r="I6" s="8">
        <v>52.166666666666664</v>
      </c>
      <c r="J6" s="8">
        <v>6</v>
      </c>
      <c r="K6" s="8">
        <v>120</v>
      </c>
      <c r="L6" s="8">
        <v>0</v>
      </c>
      <c r="M6" s="8">
        <f>Table27[[#This Row],[Energy consumption in W]]*24*365/1000</f>
        <v>0</v>
      </c>
      <c r="N6" s="8">
        <f t="shared" si="0"/>
        <v>6.0960000000000007E-3</v>
      </c>
      <c r="O6" s="2">
        <f>Table27[[#This Row],[Yearly Energy Consumption in kWh]]*Table27[[#This Row],[CU/kWh]]</f>
        <v>0</v>
      </c>
      <c r="P6" s="8">
        <v>0.5</v>
      </c>
      <c r="Q6" s="8">
        <v>20</v>
      </c>
      <c r="R6" s="8">
        <f>Table27[[#This Row],[Quantity]]*(Table27[[#This Row],[FIT]]*24*365)/1000000000</f>
        <v>0.3279744</v>
      </c>
      <c r="S6" s="8">
        <f>2*Table27[[#This Row],[Mean dist in km from CO]]/Table27[[#This Row],[Avg Travel Speed]]</f>
        <v>0.05</v>
      </c>
      <c r="T6" s="8">
        <f>Table27[[#This Row],[MTTR]]+Table27[[#This Row],[Twice Travel Time]]</f>
        <v>6.05</v>
      </c>
      <c r="U6" s="8">
        <v>1</v>
      </c>
      <c r="V6" s="8">
        <f t="shared" si="1"/>
        <v>3.8</v>
      </c>
      <c r="W6" s="2">
        <f>Table27[[#This Row],[Cost per hour]]*Table27[[#This Row],[Total Time to Repair(h)]]*Table27[[#This Row],[Failures per year]]</f>
        <v>7.5401314559999992</v>
      </c>
      <c r="X6" s="8">
        <v>0</v>
      </c>
      <c r="Y6" s="8">
        <f t="shared" si="2"/>
        <v>24</v>
      </c>
      <c r="Z6" s="8">
        <f t="shared" si="3"/>
        <v>40</v>
      </c>
    </row>
    <row r="7" spans="1:27" x14ac:dyDescent="0.25">
      <c r="A7" s="8" t="s">
        <v>10</v>
      </c>
      <c r="B7" s="27" t="s">
        <v>61</v>
      </c>
      <c r="C7" s="26">
        <v>12</v>
      </c>
      <c r="D7" s="26">
        <f>156*2</f>
        <v>312</v>
      </c>
      <c r="E7" s="8">
        <v>0</v>
      </c>
      <c r="F7" s="8">
        <f>Table27[[#This Row],[Floor Space per component]]*Table27[[#This Row],[Quantity]]</f>
        <v>0</v>
      </c>
      <c r="G7" s="8">
        <v>0</v>
      </c>
      <c r="H7" s="2">
        <f>Table27[[#This Row],[Rent per sqm per year]]*Table27[[#This Row],[Total Floor Space]]</f>
        <v>0</v>
      </c>
      <c r="I7" s="8">
        <v>0</v>
      </c>
      <c r="J7" s="8">
        <v>0</v>
      </c>
      <c r="K7" s="8">
        <v>50</v>
      </c>
      <c r="L7" s="8">
        <f>1.2*Table27[[#This Row],[Quantity]]</f>
        <v>374.4</v>
      </c>
      <c r="M7" s="8">
        <f>Table27[[#This Row],[Energy consumption in W]]*24*365/1000</f>
        <v>3279.7439999999997</v>
      </c>
      <c r="N7" s="8">
        <f t="shared" si="0"/>
        <v>6.0960000000000007E-3</v>
      </c>
      <c r="O7" s="2">
        <f>Table27[[#This Row],[Yearly Energy Consumption in kWh]]*Table27[[#This Row],[CU/kWh]]</f>
        <v>19.993319423999999</v>
      </c>
      <c r="P7" s="8">
        <v>1.5</v>
      </c>
      <c r="Q7" s="8">
        <v>20</v>
      </c>
      <c r="R7" s="8">
        <f>Table27[[#This Row],[Quantity]]*(Table27[[#This Row],[FIT]]*24*365)/1000000000</f>
        <v>0.136656</v>
      </c>
      <c r="S7" s="8">
        <f>2*Table27[[#This Row],[Mean dist in km from CO]]/Table27[[#This Row],[Avg Travel Speed]]</f>
        <v>0.15</v>
      </c>
      <c r="T7" s="8">
        <f>Table27[[#This Row],[MTTR]]+Table27[[#This Row],[Twice Travel Time]]</f>
        <v>0.15</v>
      </c>
      <c r="U7" s="8">
        <v>1</v>
      </c>
      <c r="V7" s="8">
        <f t="shared" si="1"/>
        <v>3.8</v>
      </c>
      <c r="W7" s="2">
        <f>Table27[[#This Row],[Cost per hour]]*Table27[[#This Row],[Total Time to Repair(h)]]*Table27[[#This Row],[Failures per year]]</f>
        <v>7.7893919999999991E-2</v>
      </c>
      <c r="X7" s="8">
        <v>0</v>
      </c>
      <c r="Y7" s="8">
        <f t="shared" si="2"/>
        <v>24</v>
      </c>
      <c r="Z7" s="8">
        <f t="shared" si="3"/>
        <v>40</v>
      </c>
    </row>
    <row r="8" spans="1:27" x14ac:dyDescent="0.25">
      <c r="A8" s="8" t="s">
        <v>10</v>
      </c>
      <c r="B8" s="27" t="s">
        <v>11</v>
      </c>
      <c r="C8" s="26">
        <v>1</v>
      </c>
      <c r="D8" s="26">
        <f>5000</f>
        <v>5000</v>
      </c>
      <c r="E8" s="8">
        <v>0</v>
      </c>
      <c r="F8" s="8">
        <f>Table27[[#This Row],[Floor Space per component]]*Table27[[#This Row],[Quantity]]</f>
        <v>0</v>
      </c>
      <c r="G8" s="8">
        <v>4</v>
      </c>
      <c r="H8" s="2">
        <f>Table27[[#This Row],[Rent per sqm per year]]*Table27[[#This Row],[Total Floor Space]]</f>
        <v>0</v>
      </c>
      <c r="I8" s="8">
        <v>2488</v>
      </c>
      <c r="J8" s="8">
        <v>6</v>
      </c>
      <c r="K8" s="8">
        <v>256</v>
      </c>
      <c r="L8" s="8">
        <f>4*Table27[[#This Row],[Quantity]]</f>
        <v>20000</v>
      </c>
      <c r="M8" s="8">
        <f>Table27[[#This Row],[Energy consumption in W]]*24*365/1000</f>
        <v>175200</v>
      </c>
      <c r="N8" s="8">
        <f t="shared" si="0"/>
        <v>6.0960000000000007E-3</v>
      </c>
      <c r="O8" s="2">
        <f>Table27[[#This Row],[Yearly Energy Consumption in kWh]]*Table27[[#This Row],[CU/kWh]]</f>
        <v>1068.0192000000002</v>
      </c>
      <c r="P8" s="8">
        <v>2</v>
      </c>
      <c r="Q8" s="8">
        <v>20</v>
      </c>
      <c r="R8" s="8">
        <f>Table27[[#This Row],[Quantity]]*(Table27[[#This Row],[FIT]]*24*365)/1000000000</f>
        <v>11.2128</v>
      </c>
      <c r="S8" s="8">
        <f>2*Table27[[#This Row],[Mean dist in km from CO]]/Table27[[#This Row],[Avg Travel Speed]]</f>
        <v>0.2</v>
      </c>
      <c r="T8" s="8">
        <f>Table27[[#This Row],[MTTR]]+Table27[[#This Row],[Twice Travel Time]]</f>
        <v>6.2</v>
      </c>
      <c r="U8" s="8">
        <v>1</v>
      </c>
      <c r="V8" s="8">
        <f t="shared" si="1"/>
        <v>3.8</v>
      </c>
      <c r="W8" s="2">
        <f>Table27[[#This Row],[Cost per hour]]*Table27[[#This Row],[Total Time to Repair(h)]]*Table27[[#This Row],[Failures per year]]</f>
        <v>264.17356799999999</v>
      </c>
      <c r="X8" s="8">
        <v>0</v>
      </c>
      <c r="Y8" s="8">
        <f t="shared" si="2"/>
        <v>24</v>
      </c>
      <c r="Z8" s="8">
        <f t="shared" si="3"/>
        <v>40</v>
      </c>
    </row>
    <row r="9" spans="1:27" x14ac:dyDescent="0.25">
      <c r="A9" s="8" t="s">
        <v>10</v>
      </c>
      <c r="B9" s="27" t="s">
        <v>83</v>
      </c>
      <c r="C9" s="26">
        <v>1.2</v>
      </c>
      <c r="D9" s="26">
        <v>1244</v>
      </c>
      <c r="E9" s="8">
        <v>0</v>
      </c>
      <c r="F9" s="8">
        <f>Table27[[#This Row],[Floor Space per component]]*Table27[[#This Row],[Quantity]]</f>
        <v>0</v>
      </c>
      <c r="G9" s="8">
        <v>4</v>
      </c>
      <c r="H9" s="2">
        <f>Table27[[#This Row],[Rent per sqm per year]]*Table27[[#This Row],[Total Floor Space]]</f>
        <v>0</v>
      </c>
      <c r="I9" s="8">
        <v>207.83333333333331</v>
      </c>
      <c r="J9" s="8">
        <v>24</v>
      </c>
      <c r="K9" s="8">
        <v>50</v>
      </c>
      <c r="L9" s="8">
        <f>50*Table27[[#This Row],[Quantity]]</f>
        <v>62200</v>
      </c>
      <c r="M9" s="8">
        <f>Table27[[#This Row],[Energy consumption in W]]*24*365/1000</f>
        <v>544872</v>
      </c>
      <c r="N9" s="8">
        <f t="shared" si="0"/>
        <v>6.0960000000000007E-3</v>
      </c>
      <c r="O9" s="2">
        <f>Table27[[#This Row],[Yearly Energy Consumption in kWh]]*Table27[[#This Row],[CU/kWh]]</f>
        <v>3321.5397120000002</v>
      </c>
      <c r="P9" s="8">
        <v>2</v>
      </c>
      <c r="Q9" s="8">
        <v>20</v>
      </c>
      <c r="R9" s="8">
        <f>Table27[[#This Row],[Quantity]]*(Table27[[#This Row],[FIT]]*24*365)/1000000000</f>
        <v>0.54487200000000002</v>
      </c>
      <c r="S9" s="8">
        <f>2*Table27[[#This Row],[Mean dist in km from CO]]/Table27[[#This Row],[Avg Travel Speed]]</f>
        <v>0.2</v>
      </c>
      <c r="T9" s="8">
        <f>Table27[[#This Row],[MTTR]]+Table27[[#This Row],[Twice Travel Time]]</f>
        <v>24.2</v>
      </c>
      <c r="U9" s="8">
        <v>1</v>
      </c>
      <c r="V9" s="8">
        <f t="shared" si="1"/>
        <v>3.8</v>
      </c>
      <c r="W9" s="2">
        <f>Table27[[#This Row],[Cost per hour]]*Table27[[#This Row],[Total Time to Repair(h)]]*Table27[[#This Row],[Failures per year]]</f>
        <v>50.106429120000001</v>
      </c>
      <c r="X9" s="8">
        <v>0</v>
      </c>
      <c r="Y9" s="8">
        <f t="shared" si="2"/>
        <v>24</v>
      </c>
      <c r="Z9" s="8">
        <f t="shared" si="3"/>
        <v>40</v>
      </c>
    </row>
    <row r="10" spans="1:27" x14ac:dyDescent="0.25">
      <c r="A10" s="8" t="s">
        <v>10</v>
      </c>
      <c r="B10" s="27" t="s">
        <v>84</v>
      </c>
      <c r="C10" s="26">
        <f>12+(100/4)</f>
        <v>37</v>
      </c>
      <c r="D10" s="26">
        <f>5000</f>
        <v>5000</v>
      </c>
      <c r="E10" s="8">
        <v>1</v>
      </c>
      <c r="F10" s="8">
        <f>Table27[[#This Row],[Floor Space per component]]*Table27[[#This Row],[Quantity]]</f>
        <v>5000</v>
      </c>
      <c r="G10" s="8">
        <v>2</v>
      </c>
      <c r="H10" s="2">
        <f>Table27[[#This Row],[Rent per sqm per year]]*Table27[[#This Row],[Total Floor Space]]</f>
        <v>10000</v>
      </c>
      <c r="I10" s="8">
        <v>0</v>
      </c>
      <c r="J10" s="8">
        <v>24</v>
      </c>
      <c r="K10" s="8">
        <v>5000</v>
      </c>
      <c r="L10" s="8">
        <f>25*Table27[[#This Row],[Quantity]]</f>
        <v>125000</v>
      </c>
      <c r="M10" s="8">
        <f>Table27[[#This Row],[Energy consumption in W]]*24*365/1000</f>
        <v>1095000</v>
      </c>
      <c r="N10" s="8">
        <f t="shared" si="0"/>
        <v>6.0960000000000007E-3</v>
      </c>
      <c r="O10" s="2">
        <f>Table27[[#This Row],[Yearly Energy Consumption in kWh]]*Table27[[#This Row],[CU/kWh]]</f>
        <v>6675.1200000000008</v>
      </c>
      <c r="P10" s="8">
        <v>2</v>
      </c>
      <c r="Q10" s="8">
        <v>20</v>
      </c>
      <c r="R10" s="8">
        <f>Table27[[#This Row],[Quantity]]*(Table27[[#This Row],[FIT]]*24*365)/1000000000</f>
        <v>219</v>
      </c>
      <c r="S10" s="8">
        <f>2*Table27[[#This Row],[Mean dist in km from CO]]/Table27[[#This Row],[Avg Travel Speed]]</f>
        <v>0.2</v>
      </c>
      <c r="T10" s="8">
        <f>Table27[[#This Row],[MTTR]]+Table27[[#This Row],[Twice Travel Time]]</f>
        <v>24.2</v>
      </c>
      <c r="U10" s="8">
        <v>1</v>
      </c>
      <c r="V10" s="8">
        <f t="shared" si="1"/>
        <v>3.8</v>
      </c>
      <c r="W10" s="2">
        <f>Table27[[#This Row],[Cost per hour]]*Table27[[#This Row],[Total Time to Repair(h)]]*Table27[[#This Row],[Failures per year]]</f>
        <v>20139.239999999998</v>
      </c>
      <c r="X10" s="8">
        <v>0</v>
      </c>
      <c r="Y10" s="8">
        <f t="shared" si="2"/>
        <v>24</v>
      </c>
      <c r="Z10" s="8">
        <f t="shared" si="3"/>
        <v>40</v>
      </c>
    </row>
    <row r="11" spans="1:27" x14ac:dyDescent="0.25">
      <c r="B11" s="31"/>
      <c r="H11" s="32">
        <f>SUM(Table27[Total Rent cost per year])</f>
        <v>13074</v>
      </c>
      <c r="O11" s="32">
        <f>SUM(Table27[Energy Cost per year in CU])</f>
        <v>11115.468565056002</v>
      </c>
      <c r="W11" s="32">
        <f>SUM(Table27[FM Cost])+L20</f>
        <v>20896.88245642011</v>
      </c>
    </row>
    <row r="14" spans="1:27" x14ac:dyDescent="0.25">
      <c r="A14" s="8" t="s">
        <v>41</v>
      </c>
      <c r="B14" s="8" t="s">
        <v>17</v>
      </c>
      <c r="C14" s="8" t="s">
        <v>16</v>
      </c>
      <c r="D14" s="8" t="s">
        <v>42</v>
      </c>
      <c r="E14" s="8" t="s">
        <v>30</v>
      </c>
      <c r="F14" s="8" t="s">
        <v>46</v>
      </c>
      <c r="G14" s="8" t="s">
        <v>47</v>
      </c>
      <c r="H14" s="8" t="s">
        <v>49</v>
      </c>
      <c r="I14" s="8" t="s">
        <v>48</v>
      </c>
      <c r="J14" s="8" t="s">
        <v>50</v>
      </c>
      <c r="K14" s="8" t="s">
        <v>51</v>
      </c>
      <c r="L14" s="8" t="s">
        <v>52</v>
      </c>
    </row>
    <row r="15" spans="1:27" x14ac:dyDescent="0.25">
      <c r="A15" s="8" t="s">
        <v>43</v>
      </c>
      <c r="B15" s="8">
        <f>570*B29/1000</f>
        <v>97502.201320258406</v>
      </c>
      <c r="C15" s="8">
        <v>24</v>
      </c>
      <c r="D15" s="8">
        <v>1</v>
      </c>
      <c r="E15" s="8">
        <f>190/50</f>
        <v>3.8</v>
      </c>
      <c r="F15" s="8">
        <v>1</v>
      </c>
      <c r="G15" s="8">
        <v>0.5</v>
      </c>
      <c r="H15" s="8">
        <f>F15/20</f>
        <v>0.05</v>
      </c>
      <c r="I15" s="8">
        <f>G15/20</f>
        <v>2.5000000000000001E-2</v>
      </c>
      <c r="J15" s="8">
        <f>C15+2*H15</f>
        <v>24.1</v>
      </c>
      <c r="K15" s="8">
        <f>C15+2*I15</f>
        <v>24.05</v>
      </c>
      <c r="L15" s="8">
        <f>B15*24*365*J15*E15/1000000000</f>
        <v>78.220243988925162</v>
      </c>
    </row>
    <row r="16" spans="1:27" x14ac:dyDescent="0.25">
      <c r="A16" s="8" t="s">
        <v>44</v>
      </c>
      <c r="B16" s="8">
        <f>570*C29/1000</f>
        <v>48782.100875533812</v>
      </c>
      <c r="C16" s="8">
        <v>24</v>
      </c>
      <c r="D16" s="8">
        <v>1</v>
      </c>
      <c r="E16" s="8">
        <v>3.8</v>
      </c>
      <c r="F16" s="8">
        <v>2</v>
      </c>
      <c r="G16" s="8">
        <v>1</v>
      </c>
      <c r="H16" s="8">
        <f t="shared" ref="H16:I17" si="4">F16/20</f>
        <v>0.1</v>
      </c>
      <c r="I16" s="8">
        <f t="shared" si="4"/>
        <v>0.05</v>
      </c>
      <c r="J16" s="8">
        <f t="shared" ref="J16:J17" si="5">C16+2*H16</f>
        <v>24.2</v>
      </c>
      <c r="K16" s="8">
        <f t="shared" ref="K16:K17" si="6">C16+2*I16</f>
        <v>24.1</v>
      </c>
      <c r="L16" s="8">
        <f t="shared" ref="L16:L17" si="7">B16*24*365*J16*E16/1000000000</f>
        <v>39.297377489463415</v>
      </c>
    </row>
    <row r="17" spans="1:19" x14ac:dyDescent="0.25">
      <c r="A17" s="8" t="s">
        <v>45</v>
      </c>
      <c r="B17" s="8">
        <f>570*D29/1000</f>
        <v>390662.20119410474</v>
      </c>
      <c r="C17" s="8">
        <v>24</v>
      </c>
      <c r="D17" s="8">
        <v>1</v>
      </c>
      <c r="E17" s="8">
        <v>3.8</v>
      </c>
      <c r="F17" s="8">
        <v>4</v>
      </c>
      <c r="G17" s="8">
        <v>1.5</v>
      </c>
      <c r="H17" s="8">
        <f t="shared" si="4"/>
        <v>0.2</v>
      </c>
      <c r="I17" s="8">
        <f t="shared" si="4"/>
        <v>7.4999999999999997E-2</v>
      </c>
      <c r="J17" s="8">
        <f t="shared" si="5"/>
        <v>24.4</v>
      </c>
      <c r="K17" s="8">
        <f t="shared" si="6"/>
        <v>24.15</v>
      </c>
      <c r="L17" s="8">
        <f t="shared" si="7"/>
        <v>317.30646582172432</v>
      </c>
    </row>
    <row r="18" spans="1:19" x14ac:dyDescent="0.25">
      <c r="Q18" s="8" t="s">
        <v>54</v>
      </c>
    </row>
    <row r="19" spans="1:19" x14ac:dyDescent="0.25">
      <c r="Q19" s="8">
        <f>Table27[[#Totals],[Total Rent cost per year]]+Table27[[#Totals],[Energy Cost per year in CU]]+Table27[[#Totals],[FM Cost]]+L20</f>
        <v>45521.175108776224</v>
      </c>
    </row>
    <row r="20" spans="1:19" x14ac:dyDescent="0.25">
      <c r="K20" s="8" t="s">
        <v>53</v>
      </c>
      <c r="L20" s="8">
        <f>SUM(L15:L17)</f>
        <v>434.82408730011286</v>
      </c>
    </row>
    <row r="22" spans="1:19" x14ac:dyDescent="0.25">
      <c r="O22" s="8" t="s">
        <v>93</v>
      </c>
    </row>
    <row r="23" spans="1:19" x14ac:dyDescent="0.25">
      <c r="O23" s="8" t="s">
        <v>99</v>
      </c>
      <c r="P23" s="8" t="s">
        <v>68</v>
      </c>
    </row>
    <row r="24" spans="1:19" x14ac:dyDescent="0.25">
      <c r="O24" s="8" t="s">
        <v>94</v>
      </c>
      <c r="P24" s="8">
        <f>Table27[[#Totals],[Total Rent cost per year]]</f>
        <v>13074</v>
      </c>
    </row>
    <row r="25" spans="1:19" x14ac:dyDescent="0.25">
      <c r="O25" s="8" t="s">
        <v>95</v>
      </c>
      <c r="P25" s="8">
        <f>Table27[[#Totals],[Energy Cost per year in CU]]</f>
        <v>11115.468565056002</v>
      </c>
    </row>
    <row r="26" spans="1:19" x14ac:dyDescent="0.25">
      <c r="O26" s="8" t="s">
        <v>96</v>
      </c>
      <c r="P26" s="8">
        <f>Table27[[#Totals],[FM Cost]]+L20</f>
        <v>21331.706543720222</v>
      </c>
    </row>
    <row r="27" spans="1:19" x14ac:dyDescent="0.25">
      <c r="O27" s="8" t="s">
        <v>97</v>
      </c>
      <c r="P27" s="8">
        <f>0.05*SUM(P24:P26)</f>
        <v>2276.0587554388112</v>
      </c>
    </row>
    <row r="28" spans="1:19" x14ac:dyDescent="0.25">
      <c r="O28" s="8" t="s">
        <v>98</v>
      </c>
      <c r="P28" s="8">
        <f>0.07*SUM(P24:P26)</f>
        <v>3186.482257614336</v>
      </c>
    </row>
    <row r="29" spans="1:19" x14ac:dyDescent="0.25">
      <c r="B29" s="9">
        <v>171056.49354431301</v>
      </c>
      <c r="C29" s="9">
        <v>85582.633114971599</v>
      </c>
      <c r="D29" s="9">
        <v>685372.28279667499</v>
      </c>
      <c r="P29" s="8">
        <f>SUM(P24:P28)</f>
        <v>50983.71612182937</v>
      </c>
      <c r="S29" s="8">
        <v>11727.88547395296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H1" workbookViewId="0">
      <selection activeCell="M21" sqref="M21:M25"/>
    </sheetView>
  </sheetViews>
  <sheetFormatPr defaultColWidth="8.85546875" defaultRowHeight="15" x14ac:dyDescent="0.25"/>
  <cols>
    <col min="1" max="1" width="23.28515625" style="8" customWidth="1"/>
    <col min="2" max="2" width="27.42578125" style="8" customWidth="1"/>
    <col min="3" max="3" width="21.28515625" style="8" customWidth="1"/>
    <col min="4" max="4" width="21.140625" style="8" customWidth="1"/>
    <col min="5" max="5" width="31.42578125" style="8" customWidth="1"/>
    <col min="6" max="6" width="25" style="8" customWidth="1"/>
    <col min="7" max="7" width="22.5703125" style="8" customWidth="1"/>
    <col min="8" max="8" width="23.85546875" style="8" customWidth="1"/>
    <col min="9" max="9" width="25.5703125" style="8" customWidth="1"/>
    <col min="10" max="10" width="18.28515625" style="8" customWidth="1"/>
    <col min="11" max="11" width="8.85546875" style="8"/>
    <col min="12" max="12" width="25.7109375" style="8" customWidth="1"/>
    <col min="13" max="13" width="34.140625" style="8" customWidth="1"/>
    <col min="14" max="14" width="10.7109375" style="8" customWidth="1"/>
    <col min="15" max="15" width="26.28515625" style="8" customWidth="1"/>
    <col min="16" max="16" width="25" style="8" customWidth="1"/>
    <col min="17" max="17" width="18.28515625" style="8" customWidth="1"/>
    <col min="18" max="18" width="17.85546875" style="8" customWidth="1"/>
    <col min="19" max="19" width="19" style="8" customWidth="1"/>
    <col min="20" max="20" width="23.42578125" style="8" customWidth="1"/>
    <col min="21" max="21" width="19.28515625" style="8" customWidth="1"/>
    <col min="22" max="22" width="15" style="8" customWidth="1"/>
    <col min="23" max="23" width="19.28515625" style="8" customWidth="1"/>
    <col min="24" max="24" width="23.5703125" style="8" customWidth="1"/>
    <col min="25" max="25" width="21.28515625" style="8" customWidth="1"/>
    <col min="26" max="26" width="16.140625" style="8" customWidth="1"/>
    <col min="27" max="27" width="11" style="8" customWidth="1"/>
    <col min="28" max="16384" width="8.85546875" style="8"/>
  </cols>
  <sheetData>
    <row r="1" spans="1:27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  <c r="Y1" s="8" t="s">
        <v>33</v>
      </c>
      <c r="Z1" s="8" t="s">
        <v>34</v>
      </c>
      <c r="AA1" s="8" t="s">
        <v>35</v>
      </c>
    </row>
    <row r="2" spans="1:27" x14ac:dyDescent="0.25">
      <c r="A2" s="8" t="s">
        <v>3</v>
      </c>
      <c r="B2" s="8" t="s">
        <v>60</v>
      </c>
      <c r="C2" s="26">
        <v>80</v>
      </c>
      <c r="D2" s="26">
        <f>54*2</f>
        <v>108</v>
      </c>
      <c r="E2" s="8">
        <v>5</v>
      </c>
      <c r="F2" s="8">
        <f>Table38[[#This Row],[Floor Space per component]]*Table38[[#This Row],[Quantity]]</f>
        <v>540</v>
      </c>
      <c r="G2" s="8">
        <v>10.6</v>
      </c>
      <c r="H2" s="8">
        <f>Table38[[#This Row],[Rent per sqm per year]]*Table38[[#This Row],[Total Floor Space]]</f>
        <v>5724</v>
      </c>
      <c r="I2" s="8">
        <f>0.5+(1/6)*Table38[[#This Row],[Quantity]]</f>
        <v>18.5</v>
      </c>
      <c r="J2" s="8">
        <v>2</v>
      </c>
      <c r="K2" s="8">
        <v>256</v>
      </c>
      <c r="L2" s="8">
        <f>100*Table38[[#This Row],[Quantity]]</f>
        <v>10800</v>
      </c>
      <c r="M2" s="8">
        <f>Table38[[#This Row],[Energy consumption in W]]*24*365/1000</f>
        <v>94608</v>
      </c>
      <c r="N2" s="8">
        <f>0.3048/50</f>
        <v>6.0960000000000007E-3</v>
      </c>
      <c r="O2" s="8">
        <f>Table38[[#This Row],[Yearly Energy Consumption in kWh]]*Table38[[#This Row],[CU/kWh]]</f>
        <v>576.73036800000011</v>
      </c>
      <c r="P2" s="8">
        <v>0</v>
      </c>
      <c r="Q2" s="8">
        <v>20</v>
      </c>
      <c r="R2" s="8">
        <f>Table38[[#This Row],[Quantity]]*(Table38[[#This Row],[FIT]]*24*365)/1000000000</f>
        <v>0.24219647999999999</v>
      </c>
      <c r="S2" s="8">
        <f>2*Table38[[#This Row],[Mean dist in km from CO]]/Table38[[#This Row],[Avg Travel Speed]]</f>
        <v>0</v>
      </c>
      <c r="T2" s="8">
        <f>Table38[[#This Row],[MTTR]]+Table38[[#This Row],[Twice Travel Time]]</f>
        <v>2</v>
      </c>
      <c r="U2" s="8">
        <v>1</v>
      </c>
      <c r="V2" s="8">
        <f>190/50</f>
        <v>3.8</v>
      </c>
      <c r="W2" s="8">
        <f>Table38[[#This Row],[Cost per hour]]*Table38[[#This Row],[Total Time to Repair(h)]]*Table38[[#This Row],[Failures per year]]</f>
        <v>1.8406932479999998</v>
      </c>
    </row>
    <row r="3" spans="1:27" x14ac:dyDescent="0.25">
      <c r="A3" s="8" t="s">
        <v>3</v>
      </c>
      <c r="B3" s="8" t="s">
        <v>61</v>
      </c>
      <c r="C3" s="26">
        <v>12</v>
      </c>
      <c r="D3" s="26">
        <f>156*2</f>
        <v>312</v>
      </c>
      <c r="E3" s="8">
        <v>0</v>
      </c>
      <c r="F3" s="8">
        <f>Table38[[#This Row],[Floor Space per component]]*Table38[[#This Row],[Quantity]]</f>
        <v>0</v>
      </c>
      <c r="G3" s="8">
        <v>0</v>
      </c>
      <c r="H3" s="8">
        <f>Table38[[#This Row],[Rent per sqm per year]]*Table38[[#This Row],[Total Floor Space]]</f>
        <v>0</v>
      </c>
      <c r="I3" s="8">
        <v>0</v>
      </c>
      <c r="J3" s="8">
        <v>0</v>
      </c>
      <c r="K3" s="8">
        <v>0</v>
      </c>
      <c r="L3" s="8">
        <f>4.5*Table38[[#This Row],[Quantity]]</f>
        <v>1404</v>
      </c>
      <c r="M3" s="8">
        <f>Table38[[#This Row],[Energy consumption in W]]*24*365/1000</f>
        <v>12299.04</v>
      </c>
      <c r="N3" s="8">
        <f t="shared" ref="N3:N10" si="0">0.3048/50</f>
        <v>6.0960000000000007E-3</v>
      </c>
      <c r="O3" s="8">
        <f>Table38[[#This Row],[Yearly Energy Consumption in kWh]]*Table38[[#This Row],[CU/kWh]]</f>
        <v>74.974947840000013</v>
      </c>
      <c r="P3" s="8">
        <v>0</v>
      </c>
      <c r="Q3" s="8">
        <v>20</v>
      </c>
      <c r="R3" s="8">
        <f>Table38[[#This Row],[Quantity]]*(Table38[[#This Row],[FIT]]*24*365)/1000000000</f>
        <v>0</v>
      </c>
      <c r="S3" s="8">
        <f>2*Table38[[#This Row],[Mean dist in km from CO]]/Table38[[#This Row],[Avg Travel Speed]]</f>
        <v>0</v>
      </c>
      <c r="T3" s="8">
        <f>Table38[[#This Row],[MTTR]]+Table38[[#This Row],[Twice Travel Time]]</f>
        <v>0</v>
      </c>
      <c r="U3" s="8">
        <v>1</v>
      </c>
      <c r="V3" s="8">
        <f t="shared" ref="V3:V10" si="1">190/50</f>
        <v>3.8</v>
      </c>
      <c r="W3" s="8">
        <f>Table38[[#This Row],[Cost per hour]]*Table38[[#This Row],[Total Time to Repair(h)]]*Table38[[#This Row],[Failures per year]]</f>
        <v>0</v>
      </c>
    </row>
    <row r="4" spans="1:27" x14ac:dyDescent="0.25">
      <c r="A4" s="8" t="s">
        <v>3</v>
      </c>
      <c r="B4" s="8" t="s">
        <v>6</v>
      </c>
      <c r="C4" s="26">
        <f>0.1/9</f>
        <v>1.1111111111111112E-2</v>
      </c>
      <c r="D4" s="26">
        <v>3120</v>
      </c>
      <c r="E4" s="8">
        <v>0</v>
      </c>
      <c r="F4" s="8">
        <f>Table38[[#This Row],[Floor Space per component]]*Table38[[#This Row],[Quantity]]</f>
        <v>0</v>
      </c>
      <c r="G4" s="8">
        <v>0</v>
      </c>
      <c r="H4" s="8">
        <f>Table38[[#This Row],[Rent per sqm per year]]*Table38[[#This Row],[Total Floor Space]]</f>
        <v>0</v>
      </c>
      <c r="I4" s="8">
        <v>0</v>
      </c>
      <c r="J4" s="8">
        <v>0</v>
      </c>
      <c r="K4" s="8">
        <v>0</v>
      </c>
      <c r="L4" s="8">
        <f>1*Table38[[#This Row],[Quantity]]</f>
        <v>3120</v>
      </c>
      <c r="M4" s="8">
        <f>Table38[[#This Row],[Energy consumption in W]]*24*365/1000</f>
        <v>27331.200000000001</v>
      </c>
      <c r="N4" s="8">
        <f t="shared" si="0"/>
        <v>6.0960000000000007E-3</v>
      </c>
      <c r="O4" s="8">
        <f>Table38[[#This Row],[Yearly Energy Consumption in kWh]]*Table38[[#This Row],[CU/kWh]]</f>
        <v>166.61099520000002</v>
      </c>
      <c r="P4" s="8">
        <v>0</v>
      </c>
      <c r="Q4" s="8">
        <v>20</v>
      </c>
      <c r="R4" s="8">
        <f>Table38[[#This Row],[Quantity]]*(Table38[[#This Row],[FIT]]*24*365)/1000000000</f>
        <v>0</v>
      </c>
      <c r="S4" s="8">
        <f>2*Table38[[#This Row],[Mean dist in km from CO]]/Table38[[#This Row],[Avg Travel Speed]]</f>
        <v>0</v>
      </c>
      <c r="T4" s="8">
        <f>Table38[[#This Row],[MTTR]]+Table38[[#This Row],[Twice Travel Time]]</f>
        <v>0</v>
      </c>
      <c r="U4" s="8">
        <v>1</v>
      </c>
      <c r="V4" s="8">
        <f t="shared" si="1"/>
        <v>3.8</v>
      </c>
      <c r="W4" s="8">
        <f>Table38[[#This Row],[Cost per hour]]*Table38[[#This Row],[Total Time to Repair(h)]]*Table38[[#This Row],[Failures per year]]</f>
        <v>0</v>
      </c>
    </row>
    <row r="5" spans="1:27" x14ac:dyDescent="0.25">
      <c r="A5" s="8" t="s">
        <v>3</v>
      </c>
      <c r="B5" s="8" t="s">
        <v>7</v>
      </c>
      <c r="C5" s="26">
        <v>400</v>
      </c>
      <c r="D5" s="26">
        <v>1</v>
      </c>
      <c r="E5" s="8">
        <v>20</v>
      </c>
      <c r="F5" s="8">
        <f>Table38[[#This Row],[Floor Space per component]]*Table38[[#This Row],[Quantity]]</f>
        <v>20</v>
      </c>
      <c r="G5" s="8">
        <v>10.6</v>
      </c>
      <c r="H5" s="8">
        <f>Table38[[#This Row],[Rent per sqm per year]]*Table38[[#This Row],[Total Floor Space]]</f>
        <v>212</v>
      </c>
      <c r="I5" s="8">
        <v>4</v>
      </c>
      <c r="J5" s="8">
        <v>0</v>
      </c>
      <c r="K5" s="8">
        <v>0</v>
      </c>
      <c r="L5" s="8">
        <f>100*Table38[[#This Row],[Quantity]]</f>
        <v>100</v>
      </c>
      <c r="M5" s="8">
        <f>Table38[[#This Row],[Energy consumption in W]]*24*365/1000</f>
        <v>876</v>
      </c>
      <c r="N5" s="8">
        <f t="shared" si="0"/>
        <v>6.0960000000000007E-3</v>
      </c>
      <c r="O5" s="8">
        <f>Table38[[#This Row],[Yearly Energy Consumption in kWh]]*Table38[[#This Row],[CU/kWh]]</f>
        <v>5.3400960000000008</v>
      </c>
      <c r="P5" s="8">
        <v>0</v>
      </c>
      <c r="Q5" s="8">
        <v>20</v>
      </c>
      <c r="R5" s="8">
        <f>Table38[[#This Row],[Quantity]]*(Table38[[#This Row],[FIT]]*24*365)/1000000000</f>
        <v>0</v>
      </c>
      <c r="S5" s="8">
        <f>2*Table38[[#This Row],[Mean dist in km from CO]]/Table38[[#This Row],[Avg Travel Speed]]</f>
        <v>0</v>
      </c>
      <c r="T5" s="8">
        <f>Table38[[#This Row],[MTTR]]+Table38[[#This Row],[Twice Travel Time]]</f>
        <v>0</v>
      </c>
      <c r="U5" s="8">
        <v>1</v>
      </c>
      <c r="V5" s="8">
        <f t="shared" si="1"/>
        <v>3.8</v>
      </c>
      <c r="W5" s="8">
        <f>Table38[[#This Row],[Cost per hour]]*Table38[[#This Row],[Total Time to Repair(h)]]*Table38[[#This Row],[Failures per year]]</f>
        <v>0</v>
      </c>
    </row>
    <row r="6" spans="1:27" x14ac:dyDescent="0.25">
      <c r="A6" s="8" t="s">
        <v>8</v>
      </c>
      <c r="B6" s="8" t="s">
        <v>9</v>
      </c>
      <c r="C6" s="26">
        <v>1.8</v>
      </c>
      <c r="D6" s="26">
        <f>156</f>
        <v>156</v>
      </c>
      <c r="E6" s="8">
        <v>0</v>
      </c>
      <c r="F6" s="8">
        <f>Table38[[#This Row],[Floor Space per component]]*Table38[[#This Row],[Quantity]]</f>
        <v>0</v>
      </c>
      <c r="G6" s="8">
        <v>0</v>
      </c>
      <c r="H6" s="8">
        <f>Table38[[#This Row],[Rent per sqm per year]]*Table38[[#This Row],[Total Floor Space]]</f>
        <v>0</v>
      </c>
      <c r="I6" s="8">
        <f>1/6*(1+Table38[[#This Row],[Quantity]])</f>
        <v>26.166666666666664</v>
      </c>
      <c r="J6" s="8">
        <v>6</v>
      </c>
      <c r="K6" s="8">
        <v>50</v>
      </c>
      <c r="L6" s="8">
        <f>0*Table38[[#This Row],[Quantity]]</f>
        <v>0</v>
      </c>
      <c r="M6" s="8">
        <f>Table38[[#This Row],[Energy consumption in W]]*24*365/1000</f>
        <v>0</v>
      </c>
      <c r="N6" s="8">
        <f t="shared" si="0"/>
        <v>6.0960000000000007E-3</v>
      </c>
      <c r="O6" s="8">
        <f>Table38[[#This Row],[Yearly Energy Consumption in kWh]]*Table38[[#This Row],[CU/kWh]]</f>
        <v>0</v>
      </c>
      <c r="P6" s="8">
        <v>1.5</v>
      </c>
      <c r="Q6" s="8">
        <v>20</v>
      </c>
      <c r="R6" s="8">
        <f>Table38[[#This Row],[Quantity]]*(Table38[[#This Row],[FIT]]*24*365)/1000000000</f>
        <v>6.8328E-2</v>
      </c>
      <c r="S6" s="8">
        <f>2*Table38[[#This Row],[Mean dist in km from CO]]/Table38[[#This Row],[Avg Travel Speed]]</f>
        <v>0.15</v>
      </c>
      <c r="T6" s="8">
        <f>Table38[[#This Row],[MTTR]]+Table38[[#This Row],[Twice Travel Time]]</f>
        <v>6.15</v>
      </c>
      <c r="U6" s="8">
        <v>1</v>
      </c>
      <c r="V6" s="8">
        <f t="shared" si="1"/>
        <v>3.8</v>
      </c>
      <c r="W6" s="8">
        <f>Table38[[#This Row],[Cost per hour]]*Table38[[#This Row],[Total Time to Repair(h)]]*Table38[[#This Row],[Failures per year]]</f>
        <v>1.59682536</v>
      </c>
    </row>
    <row r="7" spans="1:27" x14ac:dyDescent="0.25">
      <c r="A7" s="8" t="s">
        <v>8</v>
      </c>
      <c r="B7" s="8" t="s">
        <v>61</v>
      </c>
      <c r="C7" s="26">
        <v>4</v>
      </c>
      <c r="D7" s="26">
        <f>156</f>
        <v>156</v>
      </c>
      <c r="E7" s="8">
        <v>0</v>
      </c>
      <c r="F7" s="8">
        <f>Table38[[#This Row],[Floor Space per component]]*Table38[[#This Row],[Quantity]]</f>
        <v>0</v>
      </c>
      <c r="G7" s="8">
        <v>0</v>
      </c>
      <c r="H7" s="8">
        <f>Table38[[#This Row],[Rent per sqm per year]]*Table38[[#This Row],[Total Floor Space]]</f>
        <v>0</v>
      </c>
      <c r="I7" s="8">
        <v>0</v>
      </c>
      <c r="J7" s="8">
        <v>0</v>
      </c>
      <c r="K7" s="8">
        <v>0</v>
      </c>
      <c r="L7" s="8">
        <f>4.5*Table38[[#This Row],[Quantity]]</f>
        <v>702</v>
      </c>
      <c r="M7" s="8">
        <f>Table38[[#This Row],[Energy consumption in W]]*24*365/1000</f>
        <v>6149.52</v>
      </c>
      <c r="N7" s="8">
        <f t="shared" si="0"/>
        <v>6.0960000000000007E-3</v>
      </c>
      <c r="O7" s="8">
        <f>Table38[[#This Row],[Yearly Energy Consumption in kWh]]*Table38[[#This Row],[CU/kWh]]</f>
        <v>37.487473920000006</v>
      </c>
      <c r="P7" s="8">
        <v>1.5</v>
      </c>
      <c r="Q7" s="8">
        <v>20</v>
      </c>
      <c r="R7" s="8">
        <f>Table38[[#This Row],[Quantity]]*(Table38[[#This Row],[FIT]]*24*365)/1000000000</f>
        <v>0</v>
      </c>
      <c r="S7" s="8">
        <f>2*Table38[[#This Row],[Mean dist in km from CO]]/Table38[[#This Row],[Avg Travel Speed]]</f>
        <v>0.15</v>
      </c>
      <c r="T7" s="8">
        <f>Table38[[#This Row],[MTTR]]+Table38[[#This Row],[Twice Travel Time]]</f>
        <v>0.15</v>
      </c>
      <c r="U7" s="8">
        <v>1</v>
      </c>
      <c r="V7" s="8">
        <f t="shared" si="1"/>
        <v>3.8</v>
      </c>
      <c r="W7" s="8">
        <f>Table38[[#This Row],[Cost per hour]]*Table38[[#This Row],[Total Time to Repair(h)]]*Table38[[#This Row],[Failures per year]]</f>
        <v>0</v>
      </c>
    </row>
    <row r="8" spans="1:27" x14ac:dyDescent="0.25">
      <c r="A8" s="8" t="s">
        <v>10</v>
      </c>
      <c r="B8" s="8" t="s">
        <v>9</v>
      </c>
      <c r="C8" s="26">
        <v>1.8</v>
      </c>
      <c r="D8" s="26">
        <v>610</v>
      </c>
      <c r="E8" s="8">
        <v>0</v>
      </c>
      <c r="F8" s="8">
        <f>Table38[[#This Row],[Floor Space per component]]*Table38[[#This Row],[Quantity]]</f>
        <v>0</v>
      </c>
      <c r="G8" s="8">
        <v>0</v>
      </c>
      <c r="H8" s="8">
        <f>Table38[[#This Row],[Rent per sqm per year]]*Table38[[#This Row],[Total Floor Space]]</f>
        <v>0</v>
      </c>
      <c r="I8" s="8">
        <f>1/6*(1+Table38[[#This Row],[Quantity]])</f>
        <v>101.83333333333333</v>
      </c>
      <c r="J8" s="8">
        <v>6</v>
      </c>
      <c r="K8" s="8">
        <v>50</v>
      </c>
      <c r="L8" s="8">
        <f>0*Table38[[#This Row],[Quantity]]</f>
        <v>0</v>
      </c>
      <c r="M8" s="8">
        <f>Table38[[#This Row],[Energy consumption in W]]*24*365/1000</f>
        <v>0</v>
      </c>
      <c r="N8" s="8">
        <f t="shared" si="0"/>
        <v>6.0960000000000007E-3</v>
      </c>
      <c r="O8" s="8">
        <f>Table38[[#This Row],[Yearly Energy Consumption in kWh]]*Table38[[#This Row],[CU/kWh]]</f>
        <v>0</v>
      </c>
      <c r="P8" s="8">
        <v>2</v>
      </c>
      <c r="Q8" s="8">
        <v>20</v>
      </c>
      <c r="R8" s="8">
        <f>Table38[[#This Row],[Quantity]]*(Table38[[#This Row],[FIT]]*24*365)/1000000000</f>
        <v>0.26717999999999997</v>
      </c>
      <c r="S8" s="8">
        <f>2*Table38[[#This Row],[Mean dist in km from CO]]/Table38[[#This Row],[Avg Travel Speed]]</f>
        <v>0.2</v>
      </c>
      <c r="T8" s="8">
        <f>Table38[[#This Row],[MTTR]]+Table38[[#This Row],[Twice Travel Time]]</f>
        <v>6.2</v>
      </c>
      <c r="U8" s="8">
        <v>1</v>
      </c>
      <c r="V8" s="8">
        <f t="shared" si="1"/>
        <v>3.8</v>
      </c>
      <c r="W8" s="8">
        <f>Table38[[#This Row],[Cost per hour]]*Table38[[#This Row],[Total Time to Repair(h)]]*Table38[[#This Row],[Failures per year]]</f>
        <v>6.2947607999999988</v>
      </c>
    </row>
    <row r="9" spans="1:27" x14ac:dyDescent="0.25">
      <c r="A9" s="8" t="s">
        <v>13</v>
      </c>
      <c r="B9" s="8" t="s">
        <v>62</v>
      </c>
      <c r="C9" s="26">
        <f>10</f>
        <v>10</v>
      </c>
      <c r="D9" s="26">
        <v>5000</v>
      </c>
      <c r="E9" s="8">
        <v>1</v>
      </c>
      <c r="F9" s="8">
        <f>Table38[[#This Row],[Floor Space per component]]*Table38[[#This Row],[Quantity]]</f>
        <v>5000</v>
      </c>
      <c r="G9" s="8">
        <v>0</v>
      </c>
      <c r="H9" s="8">
        <f>Table38[[#This Row],[Rent per sqm per year]]*Table38[[#This Row],[Total Floor Space]]</f>
        <v>0</v>
      </c>
      <c r="I9" s="8">
        <f>(0.5+1/6*8)*Table38[[#This Row],[Quantity]]</f>
        <v>9166.6666666666661</v>
      </c>
      <c r="J9" s="8">
        <v>24</v>
      </c>
      <c r="K9" s="8">
        <v>5000</v>
      </c>
      <c r="L9" s="8">
        <f>50*Table38[[#This Row],[Quantity]]</f>
        <v>250000</v>
      </c>
      <c r="M9" s="8">
        <f>Table38[[#This Row],[Energy consumption in W]]*24*365/1000</f>
        <v>2190000</v>
      </c>
      <c r="N9" s="8">
        <f t="shared" si="0"/>
        <v>6.0960000000000007E-3</v>
      </c>
      <c r="O9" s="8">
        <f>Table38[[#This Row],[Yearly Energy Consumption in kWh]]*Table38[[#This Row],[CU/kWh]]</f>
        <v>13350.240000000002</v>
      </c>
      <c r="P9" s="8">
        <v>2.25</v>
      </c>
      <c r="Q9" s="8">
        <v>20</v>
      </c>
      <c r="R9" s="8">
        <f>Table38[[#This Row],[Quantity]]*(Table38[[#This Row],[FIT]]*24*365)/1000000000</f>
        <v>219</v>
      </c>
      <c r="S9" s="8">
        <f>2*Table38[[#This Row],[Mean dist in km from CO]]/Table38[[#This Row],[Avg Travel Speed]]</f>
        <v>0.22500000000000001</v>
      </c>
      <c r="T9" s="8">
        <f>Table38[[#This Row],[MTTR]]+Table38[[#This Row],[Twice Travel Time]]</f>
        <v>24.225000000000001</v>
      </c>
      <c r="U9" s="8">
        <v>1</v>
      </c>
      <c r="V9" s="8">
        <f t="shared" si="1"/>
        <v>3.8</v>
      </c>
      <c r="W9" s="8">
        <f>Table38[[#This Row],[Cost per hour]]*Table38[[#This Row],[Total Time to Repair(h)]]*Table38[[#This Row],[Failures per year]]</f>
        <v>20160.045000000002</v>
      </c>
    </row>
    <row r="10" spans="1:27" x14ac:dyDescent="0.25">
      <c r="A10" s="8" t="s">
        <v>13</v>
      </c>
      <c r="B10" s="8" t="s">
        <v>63</v>
      </c>
      <c r="C10" s="26">
        <v>2.2999999999999998</v>
      </c>
      <c r="D10" s="26">
        <v>5000</v>
      </c>
      <c r="E10" s="8">
        <v>0</v>
      </c>
      <c r="F10" s="8">
        <f>Table38[[#This Row],[Floor Space per component]]*Table38[[#This Row],[Quantity]]</f>
        <v>0</v>
      </c>
      <c r="G10" s="8">
        <v>0</v>
      </c>
      <c r="H10" s="8">
        <f>Table38[[#This Row],[Rent per sqm per year]]*Table38[[#This Row],[Total Floor Space]]</f>
        <v>0</v>
      </c>
      <c r="I10" s="8">
        <f>1*Table38[[#This Row],[Quantity]]</f>
        <v>5000</v>
      </c>
      <c r="J10" s="8">
        <v>6</v>
      </c>
      <c r="K10" s="8">
        <v>256</v>
      </c>
      <c r="L10" s="8">
        <f>6.5*Table38[[#This Row],[Quantity]]</f>
        <v>32500</v>
      </c>
      <c r="M10" s="8">
        <f>Table38[[#This Row],[Energy consumption in W]]*24*365/1000</f>
        <v>284700</v>
      </c>
      <c r="N10" s="8">
        <f t="shared" si="0"/>
        <v>6.0960000000000007E-3</v>
      </c>
      <c r="O10" s="8">
        <f>Table38[[#This Row],[Yearly Energy Consumption in kWh]]*Table38[[#This Row],[CU/kWh]]</f>
        <v>1735.5312000000001</v>
      </c>
      <c r="P10" s="8">
        <v>2.25</v>
      </c>
      <c r="Q10" s="8">
        <v>20</v>
      </c>
      <c r="R10" s="8">
        <f>Table38[[#This Row],[Quantity]]*(Table38[[#This Row],[FIT]]*24*365)/1000000000</f>
        <v>11.2128</v>
      </c>
      <c r="S10" s="8">
        <f>2*Table38[[#This Row],[Mean dist in km from CO]]/Table38[[#This Row],[Avg Travel Speed]]</f>
        <v>0.22500000000000001</v>
      </c>
      <c r="T10" s="8">
        <f>Table38[[#This Row],[MTTR]]+Table38[[#This Row],[Twice Travel Time]]</f>
        <v>6.2249999999999996</v>
      </c>
      <c r="U10" s="8">
        <v>1</v>
      </c>
      <c r="V10" s="8">
        <f t="shared" si="1"/>
        <v>3.8</v>
      </c>
      <c r="W10" s="8">
        <f>Table38[[#This Row],[Cost per hour]]*Table38[[#This Row],[Total Time to Repair(h)]]*Table38[[#This Row],[Failures per year]]</f>
        <v>265.23878399999995</v>
      </c>
    </row>
    <row r="11" spans="1:27" x14ac:dyDescent="0.25">
      <c r="H11" s="8">
        <f>SUM(Table38[Total Rent cost per year])</f>
        <v>5936</v>
      </c>
      <c r="O11" s="8">
        <f>SUBTOTAL(109,Table38[Energy Cost per year in CU])</f>
        <v>15946.915080960001</v>
      </c>
      <c r="W11" s="8">
        <f>SUBTOTAL(109,Table38[FM Cost])</f>
        <v>20435.016063408002</v>
      </c>
    </row>
    <row r="14" spans="1:27" x14ac:dyDescent="0.25">
      <c r="A14" s="8" t="s">
        <v>40</v>
      </c>
      <c r="B14" s="8" t="s">
        <v>65</v>
      </c>
      <c r="C14" s="8" t="s">
        <v>66</v>
      </c>
      <c r="D14" s="8" t="s">
        <v>17</v>
      </c>
      <c r="E14" s="8" t="s">
        <v>67</v>
      </c>
      <c r="F14" s="8" t="s">
        <v>26</v>
      </c>
      <c r="G14" s="8" t="s">
        <v>68</v>
      </c>
      <c r="H14" s="8" t="s">
        <v>69</v>
      </c>
      <c r="I14" s="8" t="s">
        <v>70</v>
      </c>
    </row>
    <row r="15" spans="1:27" x14ac:dyDescent="0.25">
      <c r="B15" s="9">
        <f>171056.493544313/1000</f>
        <v>171.05649354431301</v>
      </c>
      <c r="C15" s="8">
        <v>570</v>
      </c>
      <c r="E15" s="8">
        <v>20</v>
      </c>
    </row>
    <row r="16" spans="1:27" x14ac:dyDescent="0.25">
      <c r="B16" s="9">
        <f>85582.6331149716/1000</f>
        <v>85.5826331149716</v>
      </c>
      <c r="C16" s="8">
        <v>570</v>
      </c>
      <c r="E16" s="8">
        <v>20</v>
      </c>
    </row>
    <row r="17" spans="1:13" x14ac:dyDescent="0.25">
      <c r="B17" s="9">
        <f>384090.367674523/1000</f>
        <v>384.09036767452295</v>
      </c>
      <c r="C17" s="8">
        <v>570</v>
      </c>
      <c r="E17" s="8">
        <v>20</v>
      </c>
      <c r="M17" s="8" t="s">
        <v>71</v>
      </c>
    </row>
    <row r="18" spans="1:13" x14ac:dyDescent="0.25">
      <c r="M18" s="8">
        <f>Table38[[#Totals],[Total Rent cost per year]]+Table38[[#Totals],[Energy Cost per year in CU]]+Table38[[#Totals],[FM Cost]]+I23</f>
        <v>42613.270892859844</v>
      </c>
    </row>
    <row r="19" spans="1:13" x14ac:dyDescent="0.25">
      <c r="A19" s="8" t="s">
        <v>41</v>
      </c>
      <c r="B19" s="8" t="s">
        <v>17</v>
      </c>
      <c r="C19" s="8" t="s">
        <v>16</v>
      </c>
      <c r="D19" s="8" t="s">
        <v>42</v>
      </c>
      <c r="E19" s="8" t="s">
        <v>30</v>
      </c>
      <c r="F19" s="8" t="s">
        <v>46</v>
      </c>
      <c r="G19" s="8" t="s">
        <v>49</v>
      </c>
      <c r="H19" s="8" t="s">
        <v>50</v>
      </c>
      <c r="I19" s="8" t="s">
        <v>52</v>
      </c>
    </row>
    <row r="20" spans="1:13" x14ac:dyDescent="0.25">
      <c r="A20" s="8" t="s">
        <v>43</v>
      </c>
      <c r="B20" s="8">
        <f>C15*B15</f>
        <v>97502.20132025842</v>
      </c>
      <c r="C20" s="15">
        <v>24</v>
      </c>
      <c r="D20" s="8">
        <v>1</v>
      </c>
      <c r="E20" s="8">
        <v>3.8</v>
      </c>
      <c r="F20" s="8">
        <v>1</v>
      </c>
      <c r="G20" s="8">
        <f>2*F20/20</f>
        <v>0.1</v>
      </c>
      <c r="H20" s="8">
        <f>G20+C20</f>
        <v>24.1</v>
      </c>
      <c r="I20" s="8">
        <f>B20*24*365*E20*FTTB_XGPON_50!H20/1000000000</f>
        <v>78.220243988925176</v>
      </c>
      <c r="L20" s="8" t="s">
        <v>99</v>
      </c>
      <c r="M20" s="8" t="s">
        <v>68</v>
      </c>
    </row>
    <row r="21" spans="1:13" x14ac:dyDescent="0.25">
      <c r="A21" s="8" t="s">
        <v>44</v>
      </c>
      <c r="B21" s="8">
        <f>C16*B16</f>
        <v>48782.100875533812</v>
      </c>
      <c r="C21" s="15">
        <v>24</v>
      </c>
      <c r="D21" s="8">
        <v>1</v>
      </c>
      <c r="E21" s="8">
        <v>3.8</v>
      </c>
      <c r="F21" s="8">
        <v>2</v>
      </c>
      <c r="G21" s="8">
        <f t="shared" ref="G21:G22" si="2">2*F21/20</f>
        <v>0.2</v>
      </c>
      <c r="H21" s="8">
        <f t="shared" ref="H21:H22" si="3">G21+C21</f>
        <v>24.2</v>
      </c>
      <c r="I21" s="8">
        <f>B21*24*365*E21*FTTB_XGPON_50!H21/1000000000</f>
        <v>39.297377489463408</v>
      </c>
      <c r="L21" s="8" t="s">
        <v>94</v>
      </c>
      <c r="M21" s="8">
        <f>Table38[[#Totals],[Total Rent cost per year]]</f>
        <v>5936</v>
      </c>
    </row>
    <row r="22" spans="1:13" x14ac:dyDescent="0.25">
      <c r="A22" s="8" t="s">
        <v>64</v>
      </c>
      <c r="B22" s="8">
        <f>C17*B17</f>
        <v>218931.50957447808</v>
      </c>
      <c r="C22" s="15">
        <v>24</v>
      </c>
      <c r="D22" s="8">
        <v>2</v>
      </c>
      <c r="E22" s="8">
        <v>3.8</v>
      </c>
      <c r="F22" s="8">
        <v>4</v>
      </c>
      <c r="G22" s="8">
        <f t="shared" si="2"/>
        <v>0.4</v>
      </c>
      <c r="H22" s="8">
        <f t="shared" si="3"/>
        <v>24.4</v>
      </c>
      <c r="I22" s="8">
        <f>B22*24*365*E22*FTTB_XGPON_50!H22/1000000000</f>
        <v>177.82212701345154</v>
      </c>
      <c r="L22" s="8" t="s">
        <v>95</v>
      </c>
      <c r="M22" s="8">
        <f>Table38[[#Totals],[Energy Cost per year in CU]]</f>
        <v>15946.915080960001</v>
      </c>
    </row>
    <row r="23" spans="1:13" x14ac:dyDescent="0.25">
      <c r="I23" s="8">
        <f>SUM(I20:I22)</f>
        <v>295.33974849184011</v>
      </c>
      <c r="L23" s="8" t="s">
        <v>96</v>
      </c>
      <c r="M23" s="8">
        <f>Table38[[#Totals],[FM Cost]]+I23</f>
        <v>20730.355811899841</v>
      </c>
    </row>
    <row r="24" spans="1:13" x14ac:dyDescent="0.25">
      <c r="L24" s="8" t="s">
        <v>97</v>
      </c>
      <c r="M24" s="8">
        <f>0.05*SUM(M21:M23)</f>
        <v>2130.6635446429923</v>
      </c>
    </row>
    <row r="25" spans="1:13" x14ac:dyDescent="0.25">
      <c r="L25" s="8" t="s">
        <v>98</v>
      </c>
      <c r="M25" s="8">
        <f>0.07*SUM(M21:M23)</f>
        <v>2982.9289625001893</v>
      </c>
    </row>
    <row r="26" spans="1:13" x14ac:dyDescent="0.25">
      <c r="M26" s="8">
        <f>SUM(Table1416[Cost])</f>
        <v>47726.863400003029</v>
      </c>
    </row>
    <row r="32" spans="1:13" x14ac:dyDescent="0.25">
      <c r="B32" s="9"/>
      <c r="C32" s="9"/>
      <c r="D32" s="9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D1" workbookViewId="0">
      <selection activeCell="M21" sqref="M21:M25"/>
    </sheetView>
  </sheetViews>
  <sheetFormatPr defaultColWidth="8.85546875" defaultRowHeight="15" x14ac:dyDescent="0.25"/>
  <cols>
    <col min="1" max="1" width="23.5703125" style="8" customWidth="1"/>
    <col min="2" max="2" width="19.140625" style="8" customWidth="1"/>
    <col min="3" max="3" width="20.140625" style="8" customWidth="1"/>
    <col min="4" max="4" width="16.42578125" style="8" customWidth="1"/>
    <col min="5" max="5" width="26" style="8" customWidth="1"/>
    <col min="6" max="6" width="17.28515625" style="8" customWidth="1"/>
    <col min="7" max="7" width="21.28515625" style="8" customWidth="1"/>
    <col min="8" max="8" width="22.7109375" style="8" customWidth="1"/>
    <col min="9" max="9" width="24" style="8" customWidth="1"/>
    <col min="10" max="10" width="15.140625" style="8" customWidth="1"/>
    <col min="11" max="11" width="8.85546875" style="8"/>
    <col min="12" max="12" width="24.42578125" style="8" customWidth="1"/>
    <col min="13" max="13" width="32.28515625" style="8" customWidth="1"/>
    <col min="14" max="14" width="10.140625" style="8" customWidth="1"/>
    <col min="15" max="15" width="25" style="8" customWidth="1"/>
    <col min="16" max="16" width="23.7109375" style="8" customWidth="1"/>
    <col min="17" max="17" width="17.28515625" style="8" customWidth="1"/>
    <col min="18" max="18" width="16.5703125" style="8" customWidth="1"/>
    <col min="19" max="19" width="17.7109375" style="8" customWidth="1"/>
    <col min="20" max="20" width="22.140625" style="8" customWidth="1"/>
    <col min="21" max="21" width="18.28515625" style="8" customWidth="1"/>
    <col min="22" max="22" width="14.28515625" style="8" customWidth="1"/>
    <col min="23" max="23" width="9.7109375" style="8" customWidth="1"/>
    <col min="24" max="16384" width="8.85546875" style="8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15</v>
      </c>
      <c r="E1" s="8" t="s">
        <v>37</v>
      </c>
      <c r="F1" s="8" t="s">
        <v>36</v>
      </c>
      <c r="G1" s="8" t="s">
        <v>38</v>
      </c>
      <c r="H1" s="8" t="s">
        <v>39</v>
      </c>
      <c r="I1" s="8" t="s">
        <v>19</v>
      </c>
      <c r="J1" s="8" t="s">
        <v>16</v>
      </c>
      <c r="K1" s="8" t="s">
        <v>17</v>
      </c>
      <c r="L1" s="8" t="s">
        <v>18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27</v>
      </c>
      <c r="T1" s="8" t="s">
        <v>28</v>
      </c>
      <c r="U1" s="8" t="s">
        <v>29</v>
      </c>
      <c r="V1" s="8" t="s">
        <v>30</v>
      </c>
      <c r="W1" s="8" t="s">
        <v>31</v>
      </c>
      <c r="X1" s="8" t="s">
        <v>32</v>
      </c>
    </row>
    <row r="2" spans="1:24" x14ac:dyDescent="0.25">
      <c r="A2" s="16" t="s">
        <v>3</v>
      </c>
      <c r="B2" s="17" t="s">
        <v>72</v>
      </c>
      <c r="C2" s="26">
        <v>16</v>
      </c>
      <c r="D2" s="26">
        <v>3</v>
      </c>
      <c r="E2" s="8">
        <v>0</v>
      </c>
      <c r="F2" s="8">
        <f>E2*D2</f>
        <v>0</v>
      </c>
      <c r="G2" s="8">
        <v>10.6</v>
      </c>
      <c r="H2" s="8">
        <f>G2*F2</f>
        <v>0</v>
      </c>
      <c r="I2" s="8">
        <v>0</v>
      </c>
      <c r="J2" s="8">
        <v>2</v>
      </c>
      <c r="K2" s="8">
        <v>256</v>
      </c>
      <c r="L2" s="8">
        <f>12*D2</f>
        <v>36</v>
      </c>
      <c r="M2" s="8">
        <f>Table19[[#This Row],[Energy consumption in W]]*24*365/1000</f>
        <v>315.36</v>
      </c>
      <c r="N2" s="8">
        <f>0.3048/50</f>
        <v>6.0960000000000007E-3</v>
      </c>
      <c r="O2" s="8">
        <f>Table19[[#This Row],[Yearly Energy Consumption in kWh]]*Table19[[#This Row],[CU/kWh]]</f>
        <v>1.9224345600000003</v>
      </c>
      <c r="P2" s="8">
        <v>0</v>
      </c>
      <c r="Q2" s="8">
        <v>20</v>
      </c>
      <c r="R2" s="8">
        <f>Table19[[#This Row],[Quantity]]*Table19[[#This Row],[FIT]]*24*365/1000000000</f>
        <v>6.7276799999999998E-3</v>
      </c>
      <c r="S2" s="8">
        <f>2*Table19[[#This Row],[Mean dist in km from CO]]/Table19[[#This Row],[Avg Travel Speed]]</f>
        <v>0</v>
      </c>
      <c r="T2" s="8">
        <f>Table19[[#This Row],[MTTR]]+Table19[[#This Row],[Twice Travel Time]]</f>
        <v>2</v>
      </c>
      <c r="U2" s="8">
        <v>1</v>
      </c>
      <c r="V2" s="8">
        <v>3.8</v>
      </c>
      <c r="W2" s="8">
        <f>Table19[[#This Row],[Cost per hour]]*Table19[[#This Row],[No. Of technicians]]*Table19[[#This Row],[Total Time to Repair(h)]]*Table19[[#This Row],[Failures per year]]</f>
        <v>5.1130367999999995E-2</v>
      </c>
    </row>
    <row r="3" spans="1:24" x14ac:dyDescent="0.25">
      <c r="A3" s="19" t="s">
        <v>3</v>
      </c>
      <c r="B3" s="20" t="s">
        <v>73</v>
      </c>
      <c r="C3" s="26">
        <v>17</v>
      </c>
      <c r="D3" s="26">
        <f>65*2</f>
        <v>130</v>
      </c>
      <c r="E3" s="8">
        <v>5</v>
      </c>
      <c r="F3" s="8">
        <f t="shared" ref="F3:F10" si="0">E3*D3</f>
        <v>650</v>
      </c>
      <c r="G3" s="8">
        <v>10.6</v>
      </c>
      <c r="H3" s="8">
        <f t="shared" ref="H3:H10" si="1">G3*F3</f>
        <v>6890</v>
      </c>
      <c r="I3" s="8">
        <f>0.5+(1/6*D3)</f>
        <v>22.166666666666664</v>
      </c>
      <c r="J3" s="8">
        <v>2</v>
      </c>
      <c r="K3" s="8">
        <v>50</v>
      </c>
      <c r="L3" s="8">
        <f>5*D3</f>
        <v>650</v>
      </c>
      <c r="M3" s="8">
        <f>Table19[[#This Row],[Energy consumption in W]]*24*365/1000</f>
        <v>5694</v>
      </c>
      <c r="N3" s="8">
        <f t="shared" ref="N3:N10" si="2">0.3048/50</f>
        <v>6.0960000000000007E-3</v>
      </c>
      <c r="O3" s="8">
        <f>Table19[[#This Row],[Yearly Energy Consumption in kWh]]*Table19[[#This Row],[CU/kWh]]</f>
        <v>34.710624000000003</v>
      </c>
      <c r="P3" s="8">
        <v>0</v>
      </c>
      <c r="Q3" s="8">
        <v>20</v>
      </c>
      <c r="R3" s="8">
        <f>Table19[[#This Row],[Quantity]]*Table19[[#This Row],[FIT]]*24*365/1000000000</f>
        <v>5.6939999999999998E-2</v>
      </c>
      <c r="S3" s="8">
        <f>2*Table19[[#This Row],[Mean dist in km from CO]]/Table19[[#This Row],[Avg Travel Speed]]</f>
        <v>0</v>
      </c>
      <c r="T3" s="8">
        <f>Table19[[#This Row],[MTTR]]+Table19[[#This Row],[Twice Travel Time]]</f>
        <v>2</v>
      </c>
      <c r="U3" s="8">
        <v>1</v>
      </c>
      <c r="V3" s="8">
        <v>3.8</v>
      </c>
      <c r="W3" s="8">
        <f>Table19[[#This Row],[Cost per hour]]*Table19[[#This Row],[No. Of technicians]]*Table19[[#This Row],[Total Time to Repair(h)]]*Table19[[#This Row],[Failures per year]]</f>
        <v>0.43274399999999996</v>
      </c>
    </row>
    <row r="4" spans="1:24" x14ac:dyDescent="0.25">
      <c r="A4" s="16" t="s">
        <v>3</v>
      </c>
      <c r="B4" s="17" t="s">
        <v>74</v>
      </c>
      <c r="C4" s="26">
        <v>63</v>
      </c>
      <c r="D4" s="26">
        <f t="shared" ref="D4:D5" si="3">65*2</f>
        <v>130</v>
      </c>
      <c r="E4" s="8">
        <v>0</v>
      </c>
      <c r="F4" s="8">
        <f t="shared" si="0"/>
        <v>0</v>
      </c>
      <c r="G4" s="8">
        <v>10.6</v>
      </c>
      <c r="H4" s="8">
        <f t="shared" si="1"/>
        <v>0</v>
      </c>
      <c r="I4" s="8">
        <v>0</v>
      </c>
      <c r="J4" s="8">
        <v>2</v>
      </c>
      <c r="K4" s="8">
        <v>50</v>
      </c>
      <c r="L4" s="8">
        <f>48*C4</f>
        <v>3024</v>
      </c>
      <c r="M4" s="8">
        <f>Table19[[#This Row],[Energy consumption in W]]*24*365/1000</f>
        <v>26490.240000000002</v>
      </c>
      <c r="N4" s="8">
        <f t="shared" si="2"/>
        <v>6.0960000000000007E-3</v>
      </c>
      <c r="O4" s="8">
        <f>Table19[[#This Row],[Yearly Energy Consumption in kWh]]*Table19[[#This Row],[CU/kWh]]</f>
        <v>161.48450304000002</v>
      </c>
      <c r="P4" s="8">
        <v>0</v>
      </c>
      <c r="Q4" s="8">
        <v>20</v>
      </c>
      <c r="R4" s="8">
        <f>Table19[[#This Row],[Quantity]]*Table19[[#This Row],[FIT]]*24*365/1000000000</f>
        <v>5.6939999999999998E-2</v>
      </c>
      <c r="S4" s="8">
        <f>2*Table19[[#This Row],[Mean dist in km from CO]]/Table19[[#This Row],[Avg Travel Speed]]</f>
        <v>0</v>
      </c>
      <c r="T4" s="8">
        <f>Table19[[#This Row],[MTTR]]+Table19[[#This Row],[Twice Travel Time]]</f>
        <v>2</v>
      </c>
      <c r="U4" s="8">
        <v>1</v>
      </c>
      <c r="V4" s="8">
        <v>3.8</v>
      </c>
      <c r="W4" s="8">
        <f>Table19[[#This Row],[Cost per hour]]*Table19[[#This Row],[No. Of technicians]]*Table19[[#This Row],[Total Time to Repair(h)]]*Table19[[#This Row],[Failures per year]]</f>
        <v>0.43274399999999996</v>
      </c>
    </row>
    <row r="5" spans="1:24" x14ac:dyDescent="0.25">
      <c r="A5" s="19" t="s">
        <v>3</v>
      </c>
      <c r="B5" s="20" t="s">
        <v>75</v>
      </c>
      <c r="C5" s="26">
        <v>2.2999999999999998</v>
      </c>
      <c r="D5" s="26">
        <f t="shared" si="3"/>
        <v>130</v>
      </c>
      <c r="E5" s="8">
        <v>0</v>
      </c>
      <c r="F5" s="8">
        <f t="shared" si="0"/>
        <v>0</v>
      </c>
      <c r="G5" s="8">
        <v>10.6</v>
      </c>
      <c r="H5" s="8">
        <f t="shared" si="1"/>
        <v>0</v>
      </c>
      <c r="I5" s="8">
        <v>0</v>
      </c>
      <c r="J5" s="8">
        <v>2</v>
      </c>
      <c r="K5" s="8">
        <v>50</v>
      </c>
      <c r="L5" s="8">
        <v>0</v>
      </c>
      <c r="M5" s="8">
        <f>Table19[[#This Row],[Energy consumption in W]]*24*365/1000</f>
        <v>0</v>
      </c>
      <c r="N5" s="8">
        <f t="shared" si="2"/>
        <v>6.0960000000000007E-3</v>
      </c>
      <c r="O5" s="8">
        <f>Table19[[#This Row],[Yearly Energy Consumption in kWh]]*Table19[[#This Row],[CU/kWh]]</f>
        <v>0</v>
      </c>
      <c r="P5" s="8">
        <v>0</v>
      </c>
      <c r="Q5" s="8">
        <v>20</v>
      </c>
      <c r="R5" s="8">
        <f>Table19[[#This Row],[Quantity]]*Table19[[#This Row],[FIT]]*24*365/1000000000</f>
        <v>5.6939999999999998E-2</v>
      </c>
      <c r="S5" s="8">
        <f>2*Table19[[#This Row],[Mean dist in km from CO]]/Table19[[#This Row],[Avg Travel Speed]]</f>
        <v>0</v>
      </c>
      <c r="T5" s="8">
        <f>Table19[[#This Row],[MTTR]]+Table19[[#This Row],[Twice Travel Time]]</f>
        <v>2</v>
      </c>
      <c r="U5" s="8">
        <v>1</v>
      </c>
      <c r="V5" s="8">
        <v>3.8</v>
      </c>
      <c r="W5" s="8">
        <f>Table19[[#This Row],[Cost per hour]]*Table19[[#This Row],[No. Of technicians]]*Table19[[#This Row],[Total Time to Repair(h)]]*Table19[[#This Row],[Failures per year]]</f>
        <v>0.43274399999999996</v>
      </c>
    </row>
    <row r="6" spans="1:24" x14ac:dyDescent="0.25">
      <c r="A6" s="16" t="s">
        <v>3</v>
      </c>
      <c r="B6" s="17" t="s">
        <v>76</v>
      </c>
      <c r="C6" s="26">
        <f>0.1/4.5</f>
        <v>2.2222222222222223E-2</v>
      </c>
      <c r="D6" s="26">
        <v>3120</v>
      </c>
      <c r="E6" s="8">
        <v>0</v>
      </c>
      <c r="F6" s="8">
        <f t="shared" si="0"/>
        <v>0</v>
      </c>
      <c r="G6" s="8">
        <v>10.6</v>
      </c>
      <c r="H6" s="8">
        <f t="shared" si="1"/>
        <v>0</v>
      </c>
      <c r="I6" s="8">
        <v>0</v>
      </c>
      <c r="J6" s="8">
        <v>0</v>
      </c>
      <c r="K6" s="8">
        <v>0</v>
      </c>
      <c r="L6" s="8">
        <f>1*D6</f>
        <v>3120</v>
      </c>
      <c r="M6" s="8">
        <f>Table19[[#This Row],[Energy consumption in W]]*24*365/1000</f>
        <v>27331.200000000001</v>
      </c>
      <c r="N6" s="8">
        <f t="shared" si="2"/>
        <v>6.0960000000000007E-3</v>
      </c>
      <c r="O6" s="8">
        <f>Table19[[#This Row],[Yearly Energy Consumption in kWh]]*Table19[[#This Row],[CU/kWh]]</f>
        <v>166.61099520000002</v>
      </c>
      <c r="P6" s="8">
        <v>0</v>
      </c>
      <c r="Q6" s="8">
        <v>20</v>
      </c>
      <c r="R6" s="8">
        <f>Table19[[#This Row],[Quantity]]*Table19[[#This Row],[FIT]]*24*365/1000000000</f>
        <v>0</v>
      </c>
      <c r="S6" s="8">
        <f>2*Table19[[#This Row],[Mean dist in km from CO]]/Table19[[#This Row],[Avg Travel Speed]]</f>
        <v>0</v>
      </c>
      <c r="T6" s="8">
        <f>Table19[[#This Row],[MTTR]]+Table19[[#This Row],[Twice Travel Time]]</f>
        <v>0</v>
      </c>
      <c r="U6" s="8">
        <v>1</v>
      </c>
      <c r="V6" s="8">
        <v>3.8</v>
      </c>
      <c r="W6" s="8">
        <f>Table19[[#This Row],[Cost per hour]]*Table19[[#This Row],[No. Of technicians]]*Table19[[#This Row],[Total Time to Repair(h)]]*Table19[[#This Row],[Failures per year]]</f>
        <v>0</v>
      </c>
    </row>
    <row r="7" spans="1:24" x14ac:dyDescent="0.25">
      <c r="A7" s="19" t="s">
        <v>3</v>
      </c>
      <c r="B7" s="20" t="s">
        <v>77</v>
      </c>
      <c r="C7" s="26">
        <v>400</v>
      </c>
      <c r="D7" s="26">
        <v>1</v>
      </c>
      <c r="E7" s="8">
        <v>40</v>
      </c>
      <c r="F7" s="8">
        <f t="shared" si="0"/>
        <v>40</v>
      </c>
      <c r="G7" s="8">
        <v>10.6</v>
      </c>
      <c r="H7" s="8">
        <f t="shared" si="1"/>
        <v>424</v>
      </c>
      <c r="I7" s="8">
        <v>24</v>
      </c>
      <c r="J7" s="8">
        <v>0</v>
      </c>
      <c r="K7" s="8">
        <v>0</v>
      </c>
      <c r="L7" s="8">
        <v>50</v>
      </c>
      <c r="M7" s="8">
        <f>Table19[[#This Row],[Energy consumption in W]]*24*365/1000</f>
        <v>438</v>
      </c>
      <c r="N7" s="8">
        <f t="shared" si="2"/>
        <v>6.0960000000000007E-3</v>
      </c>
      <c r="O7" s="8">
        <f>Table19[[#This Row],[Yearly Energy Consumption in kWh]]*Table19[[#This Row],[CU/kWh]]</f>
        <v>2.6700480000000004</v>
      </c>
      <c r="P7" s="8">
        <v>0</v>
      </c>
      <c r="Q7" s="8">
        <v>20</v>
      </c>
      <c r="R7" s="8">
        <f>Table19[[#This Row],[Quantity]]*Table19[[#This Row],[FIT]]*24*365/1000000000</f>
        <v>0</v>
      </c>
      <c r="S7" s="8">
        <f>2*Table19[[#This Row],[Mean dist in km from CO]]/Table19[[#This Row],[Avg Travel Speed]]</f>
        <v>0</v>
      </c>
      <c r="T7" s="8">
        <f>Table19[[#This Row],[MTTR]]+Table19[[#This Row],[Twice Travel Time]]</f>
        <v>0</v>
      </c>
      <c r="U7" s="8">
        <v>1</v>
      </c>
      <c r="V7" s="8">
        <v>3.8</v>
      </c>
      <c r="W7" s="8">
        <f>Table19[[#This Row],[Cost per hour]]*Table19[[#This Row],[No. Of technicians]]*Table19[[#This Row],[Total Time to Repair(h)]]*Table19[[#This Row],[Failures per year]]</f>
        <v>0</v>
      </c>
    </row>
    <row r="8" spans="1:24" x14ac:dyDescent="0.25">
      <c r="A8" s="16" t="s">
        <v>8</v>
      </c>
      <c r="B8" s="17" t="s">
        <v>78</v>
      </c>
      <c r="C8" s="26">
        <f>80*0.3</f>
        <v>24</v>
      </c>
      <c r="D8" s="26">
        <v>65</v>
      </c>
      <c r="E8" s="8">
        <v>0</v>
      </c>
      <c r="F8" s="8">
        <f t="shared" si="0"/>
        <v>0</v>
      </c>
      <c r="G8" s="8">
        <v>10.6</v>
      </c>
      <c r="H8" s="8">
        <f t="shared" si="1"/>
        <v>0</v>
      </c>
      <c r="I8" s="8">
        <f>1/6*D8</f>
        <v>10.833333333333332</v>
      </c>
      <c r="J8" s="8">
        <v>6</v>
      </c>
      <c r="K8" s="8">
        <v>200</v>
      </c>
      <c r="L8" s="8">
        <v>0</v>
      </c>
      <c r="M8" s="8">
        <f>Table19[[#This Row],[Energy consumption in W]]*24*365/1000</f>
        <v>0</v>
      </c>
      <c r="N8" s="8">
        <f t="shared" si="2"/>
        <v>6.0960000000000007E-3</v>
      </c>
      <c r="O8" s="8">
        <f>Table19[[#This Row],[Yearly Energy Consumption in kWh]]*Table19[[#This Row],[CU/kWh]]</f>
        <v>0</v>
      </c>
      <c r="P8" s="8">
        <v>1.5</v>
      </c>
      <c r="Q8" s="8">
        <v>20</v>
      </c>
      <c r="R8" s="8">
        <f>Table19[[#This Row],[Quantity]]*Table19[[#This Row],[FIT]]*24*365/1000000000</f>
        <v>0.11388</v>
      </c>
      <c r="S8" s="8">
        <f>2*Table19[[#This Row],[Mean dist in km from CO]]/Table19[[#This Row],[Avg Travel Speed]]</f>
        <v>0.15</v>
      </c>
      <c r="T8" s="8">
        <f>Table19[[#This Row],[MTTR]]+Table19[[#This Row],[Twice Travel Time]]</f>
        <v>6.15</v>
      </c>
      <c r="U8" s="8">
        <v>1</v>
      </c>
      <c r="V8" s="8">
        <v>3.8</v>
      </c>
      <c r="W8" s="8">
        <f>Table19[[#This Row],[Cost per hour]]*Table19[[#This Row],[No. Of technicians]]*Table19[[#This Row],[Total Time to Repair(h)]]*Table19[[#This Row],[Failures per year]]</f>
        <v>2.6613756</v>
      </c>
    </row>
    <row r="9" spans="1:24" x14ac:dyDescent="0.25">
      <c r="A9" s="19" t="s">
        <v>13</v>
      </c>
      <c r="B9" s="20" t="s">
        <v>62</v>
      </c>
      <c r="C9" s="26">
        <v>10</v>
      </c>
      <c r="D9" s="26">
        <v>5000</v>
      </c>
      <c r="E9" s="8">
        <v>0</v>
      </c>
      <c r="F9" s="8">
        <f t="shared" si="0"/>
        <v>0</v>
      </c>
      <c r="G9" s="8">
        <v>4</v>
      </c>
      <c r="H9" s="8">
        <f t="shared" si="1"/>
        <v>0</v>
      </c>
      <c r="I9" s="8">
        <f>D9*(0.5+(1/6*8))</f>
        <v>9166.6666666666661</v>
      </c>
      <c r="J9" s="8">
        <v>24</v>
      </c>
      <c r="K9" s="8">
        <v>5000</v>
      </c>
      <c r="L9" s="8">
        <f>50*D9</f>
        <v>250000</v>
      </c>
      <c r="M9" s="8">
        <f>Table19[[#This Row],[Energy consumption in W]]*24*365/1000</f>
        <v>2190000</v>
      </c>
      <c r="N9" s="8">
        <f t="shared" si="2"/>
        <v>6.0960000000000007E-3</v>
      </c>
      <c r="O9" s="8">
        <f>Table19[[#This Row],[Yearly Energy Consumption in kWh]]*Table19[[#This Row],[CU/kWh]]</f>
        <v>13350.240000000002</v>
      </c>
      <c r="P9" s="8">
        <v>2.25</v>
      </c>
      <c r="Q9" s="8">
        <v>20</v>
      </c>
      <c r="R9" s="8">
        <f>Table19[[#This Row],[Quantity]]*Table19[[#This Row],[FIT]]*24*365/1000000000</f>
        <v>219</v>
      </c>
      <c r="S9" s="8">
        <f>2*Table19[[#This Row],[Mean dist in km from CO]]/Table19[[#This Row],[Avg Travel Speed]]</f>
        <v>0.22500000000000001</v>
      </c>
      <c r="T9" s="8">
        <f>Table19[[#This Row],[MTTR]]+Table19[[#This Row],[Twice Travel Time]]</f>
        <v>24.225000000000001</v>
      </c>
      <c r="U9" s="8">
        <v>1</v>
      </c>
      <c r="V9" s="8">
        <v>3.8</v>
      </c>
      <c r="W9" s="8">
        <f>Table19[[#This Row],[Cost per hour]]*Table19[[#This Row],[No. Of technicians]]*Table19[[#This Row],[Total Time to Repair(h)]]*Table19[[#This Row],[Failures per year]]</f>
        <v>20160.045000000002</v>
      </c>
    </row>
    <row r="10" spans="1:24" x14ac:dyDescent="0.25">
      <c r="A10" s="16" t="s">
        <v>13</v>
      </c>
      <c r="B10" s="17" t="s">
        <v>79</v>
      </c>
      <c r="C10" s="26">
        <v>2.2999999999999998</v>
      </c>
      <c r="D10" s="26">
        <v>5000</v>
      </c>
      <c r="E10" s="8">
        <v>0</v>
      </c>
      <c r="F10" s="8">
        <f t="shared" si="0"/>
        <v>0</v>
      </c>
      <c r="G10" s="8">
        <v>4</v>
      </c>
      <c r="H10" s="8">
        <f t="shared" si="1"/>
        <v>0</v>
      </c>
      <c r="I10" s="8">
        <f>1*D10</f>
        <v>5000</v>
      </c>
      <c r="J10" s="8">
        <v>6</v>
      </c>
      <c r="K10" s="8">
        <v>256</v>
      </c>
      <c r="L10" s="8">
        <f>4.7*D10</f>
        <v>23500</v>
      </c>
      <c r="M10" s="8">
        <f>Table19[[#This Row],[Energy consumption in W]]*24*365/1000</f>
        <v>205860</v>
      </c>
      <c r="N10" s="8">
        <f t="shared" si="2"/>
        <v>6.0960000000000007E-3</v>
      </c>
      <c r="O10" s="8">
        <f>Table19[[#This Row],[Yearly Energy Consumption in kWh]]*Table19[[#This Row],[CU/kWh]]</f>
        <v>1254.9225600000002</v>
      </c>
      <c r="P10" s="8">
        <v>2.25</v>
      </c>
      <c r="Q10" s="8">
        <v>20</v>
      </c>
      <c r="R10" s="8">
        <f>Table19[[#This Row],[Quantity]]*Table19[[#This Row],[FIT]]*24*365/1000000000</f>
        <v>11.2128</v>
      </c>
      <c r="S10" s="8">
        <f>2*Table19[[#This Row],[Mean dist in km from CO]]/Table19[[#This Row],[Avg Travel Speed]]</f>
        <v>0.22500000000000001</v>
      </c>
      <c r="T10" s="8">
        <f>Table19[[#This Row],[MTTR]]+Table19[[#This Row],[Twice Travel Time]]</f>
        <v>6.2249999999999996</v>
      </c>
      <c r="U10" s="8">
        <v>1</v>
      </c>
      <c r="V10" s="8">
        <v>3.8</v>
      </c>
      <c r="W10" s="8">
        <f>Table19[[#This Row],[Cost per hour]]*Table19[[#This Row],[No. Of technicians]]*Table19[[#This Row],[Total Time to Repair(h)]]*Table19[[#This Row],[Failures per year]]</f>
        <v>265.23878399999995</v>
      </c>
    </row>
    <row r="11" spans="1:24" x14ac:dyDescent="0.25">
      <c r="B11" s="23"/>
      <c r="C11" s="24"/>
      <c r="D11" s="24"/>
      <c r="E11" s="25"/>
      <c r="F11" s="25"/>
      <c r="G11" s="25"/>
      <c r="H11" s="25">
        <f>SUBTOTAL(109,Table19[Total Rent cost per year])</f>
        <v>7314</v>
      </c>
      <c r="I11" s="25"/>
      <c r="J11" s="25"/>
      <c r="K11" s="25"/>
      <c r="L11" s="25"/>
      <c r="M11" s="25"/>
      <c r="N11" s="25"/>
      <c r="O11" s="25">
        <f>SUBTOTAL(109,Table19[Energy Cost per year in CU])</f>
        <v>14972.561164800003</v>
      </c>
      <c r="P11" s="25"/>
      <c r="Q11" s="25"/>
      <c r="R11" s="25"/>
      <c r="S11" s="25"/>
      <c r="T11" s="25"/>
      <c r="U11" s="25"/>
      <c r="V11" s="25"/>
      <c r="W11" s="25">
        <f>SUM(Table19[FM Cost])</f>
        <v>20429.294521968004</v>
      </c>
    </row>
    <row r="16" spans="1:24" x14ac:dyDescent="0.25">
      <c r="M16" s="8" t="s">
        <v>71</v>
      </c>
    </row>
    <row r="17" spans="1:13" x14ac:dyDescent="0.25">
      <c r="A17" s="8" t="s">
        <v>41</v>
      </c>
      <c r="B17" s="8" t="s">
        <v>65</v>
      </c>
      <c r="C17" s="8" t="s">
        <v>17</v>
      </c>
      <c r="D17" s="8" t="s">
        <v>16</v>
      </c>
      <c r="E17" s="8" t="s">
        <v>42</v>
      </c>
      <c r="F17" s="8" t="s">
        <v>30</v>
      </c>
      <c r="G17" s="8" t="s">
        <v>46</v>
      </c>
      <c r="H17" s="8" t="s">
        <v>49</v>
      </c>
      <c r="I17" s="8" t="s">
        <v>50</v>
      </c>
      <c r="J17" s="8" t="s">
        <v>52</v>
      </c>
      <c r="M17" s="8">
        <f>Table19[[#Totals],[Total Rent cost per year]]+Table19[[#Totals],[Energy Cost per year in CU]]+Table19[[#Totals],[FM Cost]]+J20</f>
        <v>43053.829615365721</v>
      </c>
    </row>
    <row r="18" spans="1:13" x14ac:dyDescent="0.25">
      <c r="A18" s="8" t="s">
        <v>43</v>
      </c>
      <c r="B18" s="9">
        <f>72320.0059456714/1000</f>
        <v>72.320005945671397</v>
      </c>
      <c r="C18" s="8">
        <f>570*B18</f>
        <v>41222.403389032697</v>
      </c>
      <c r="D18" s="8">
        <v>24</v>
      </c>
      <c r="E18" s="8">
        <v>1</v>
      </c>
      <c r="F18" s="8">
        <v>3.8</v>
      </c>
      <c r="G18" s="8">
        <v>2</v>
      </c>
      <c r="H18" s="8">
        <f>2*G18/20</f>
        <v>0.2</v>
      </c>
      <c r="I18" s="8">
        <f>D18+H18</f>
        <v>24.2</v>
      </c>
      <c r="J18" s="8">
        <f>C18*24*365*F18*E18*I18/1000000000</f>
        <v>33.207515009141716</v>
      </c>
    </row>
    <row r="19" spans="1:13" x14ac:dyDescent="0.25">
      <c r="A19" s="8" t="s">
        <v>64</v>
      </c>
      <c r="B19" s="9">
        <f>658286.152663246/1000</f>
        <v>658.28615266324607</v>
      </c>
      <c r="C19" s="8">
        <f>570*B19</f>
        <v>375223.10701805027</v>
      </c>
      <c r="D19" s="8">
        <v>24</v>
      </c>
      <c r="E19" s="8">
        <v>1</v>
      </c>
      <c r="F19" s="8">
        <v>3.8</v>
      </c>
      <c r="G19" s="8">
        <v>4</v>
      </c>
      <c r="H19" s="8">
        <f>2*G19/20</f>
        <v>0.4</v>
      </c>
      <c r="I19" s="8">
        <f>D19+H19</f>
        <v>24.4</v>
      </c>
      <c r="J19" s="8">
        <f>C19*24*365*F19*E19*I19/1000000000</f>
        <v>304.76641358857131</v>
      </c>
    </row>
    <row r="20" spans="1:13" x14ac:dyDescent="0.25">
      <c r="J20" s="8">
        <f>SUM(J18:J19)</f>
        <v>337.97392859771304</v>
      </c>
      <c r="L20" s="8" t="s">
        <v>99</v>
      </c>
      <c r="M20" s="8" t="s">
        <v>68</v>
      </c>
    </row>
    <row r="21" spans="1:13" x14ac:dyDescent="0.25">
      <c r="L21" s="8" t="s">
        <v>94</v>
      </c>
      <c r="M21" s="8">
        <f>Table19[[#Totals],[Total Rent cost per year]]</f>
        <v>7314</v>
      </c>
    </row>
    <row r="22" spans="1:13" x14ac:dyDescent="0.25">
      <c r="L22" s="8" t="s">
        <v>95</v>
      </c>
      <c r="M22" s="8">
        <f>Table19[[#Totals],[Energy Cost per year in CU]]</f>
        <v>14972.561164800003</v>
      </c>
    </row>
    <row r="23" spans="1:13" x14ac:dyDescent="0.25">
      <c r="L23" s="8" t="s">
        <v>96</v>
      </c>
      <c r="M23" s="8">
        <f>Table19[[#Totals],[FM Cost]]+J20</f>
        <v>20767.268450565716</v>
      </c>
    </row>
    <row r="24" spans="1:13" x14ac:dyDescent="0.25">
      <c r="L24" s="8" t="s">
        <v>97</v>
      </c>
      <c r="M24" s="8">
        <f>0.05*SUM(M21:M23)</f>
        <v>2152.6914807682861</v>
      </c>
    </row>
    <row r="25" spans="1:13" x14ac:dyDescent="0.25">
      <c r="L25" s="8" t="s">
        <v>98</v>
      </c>
      <c r="M25" s="8">
        <f>0.07*SUM(M21:M23)</f>
        <v>3013.7680730756006</v>
      </c>
    </row>
    <row r="26" spans="1:13" x14ac:dyDescent="0.25">
      <c r="M26" s="8">
        <f>SUM(Table141617[Cost])</f>
        <v>48220.289169209609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FTTC_GPON_25_PIVOT</vt:lpstr>
      <vt:lpstr>FTTC_GPON_25</vt:lpstr>
      <vt:lpstr>FTTB_XGPON_50</vt:lpstr>
      <vt:lpstr>FTTB_DWDM_50</vt:lpstr>
      <vt:lpstr>FTTH_DWDM_100</vt:lpstr>
      <vt:lpstr>FTTH_XGPON_100</vt:lpstr>
      <vt:lpstr>FTTC_GPON_100</vt:lpstr>
      <vt:lpstr>FTTB_XGPON_100</vt:lpstr>
      <vt:lpstr>FTTB_DWDM_100</vt:lpstr>
      <vt:lpstr>FTTC_Hybridpon_25</vt:lpstr>
      <vt:lpstr>FTTB_Hybridpon_50</vt:lpstr>
      <vt:lpstr>FTTH_Hybridpon_100</vt:lpstr>
      <vt:lpstr>FTTC_Hybridpon_100</vt:lpstr>
      <vt:lpstr>FTTB_Hybridpon_100</vt:lpstr>
      <vt:lpstr>OPEX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2018-06-25T16:20:28Z</dcterms:created>
  <dcterms:modified xsi:type="dcterms:W3CDTF">2018-06-28T19:23:51Z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