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dva-my.sharepoint.com/personal/arantxav_advaoptical_com/Documents/thesis_results/"/>
    </mc:Choice>
  </mc:AlternateContent>
  <xr:revisionPtr revIDLastSave="26" documentId="13_ncr:1_{D1E7261D-8DD8-46F5-B66B-825696C6C7FC}" xr6:coauthVersionLast="47" xr6:coauthVersionMax="47" xr10:uidLastSave="{45AAC547-C2DD-4C33-9B61-57623982F1AE}"/>
  <bookViews>
    <workbookView xWindow="-110" yWindow="-110" windowWidth="19420" windowHeight="11620" xr2:uid="{969B6910-1835-41F3-A1E1-B0EE738354B8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M3" i="1"/>
  <c r="L4" i="1"/>
  <c r="M4" i="1"/>
  <c r="M5" i="1"/>
  <c r="M35" i="1"/>
  <c r="M34" i="1"/>
  <c r="M33" i="1"/>
  <c r="M32" i="1"/>
  <c r="L33" i="1"/>
  <c r="L35" i="1"/>
  <c r="L34" i="1"/>
  <c r="L32" i="1"/>
  <c r="J35" i="1"/>
  <c r="J34" i="1"/>
  <c r="J33" i="1"/>
  <c r="J32" i="1"/>
  <c r="I35" i="1"/>
  <c r="I34" i="1"/>
  <c r="I33" i="1"/>
  <c r="I32" i="1"/>
  <c r="H35" i="1"/>
  <c r="H34" i="1"/>
  <c r="H33" i="1"/>
  <c r="H32" i="1"/>
  <c r="G35" i="1"/>
  <c r="G34" i="1"/>
  <c r="G33" i="1"/>
  <c r="G32" i="1"/>
  <c r="T23" i="1" l="1"/>
  <c r="T22" i="1"/>
  <c r="O23" i="1"/>
  <c r="N23" i="1"/>
  <c r="O22" i="1"/>
  <c r="N22" i="1"/>
  <c r="N21" i="1"/>
  <c r="O16" i="1"/>
  <c r="G23" i="1"/>
  <c r="Q23" i="1" s="1"/>
  <c r="M22" i="1"/>
  <c r="G22" i="1"/>
  <c r="M21" i="1"/>
  <c r="G21" i="1"/>
  <c r="Q21" i="1" s="1"/>
  <c r="M23" i="1"/>
  <c r="L22" i="1"/>
  <c r="M17" i="1"/>
  <c r="G17" i="1"/>
  <c r="N16" i="1"/>
  <c r="M16" i="1"/>
  <c r="G16" i="1"/>
  <c r="M15" i="1"/>
  <c r="G15" i="1"/>
  <c r="Q15" i="1" s="1"/>
  <c r="Q11" i="1"/>
  <c r="M11" i="1"/>
  <c r="G11" i="1"/>
  <c r="Q10" i="1"/>
  <c r="M10" i="1"/>
  <c r="H10" i="1"/>
  <c r="G10" i="1"/>
  <c r="Q9" i="1"/>
  <c r="M9" i="1"/>
  <c r="G9" i="1"/>
  <c r="U9" i="1" s="1"/>
  <c r="Q5" i="1"/>
  <c r="G5" i="1"/>
  <c r="P5" i="1" s="1"/>
  <c r="R3" i="1"/>
  <c r="Q3" i="1"/>
  <c r="G3" i="1"/>
  <c r="P3" i="1" s="1"/>
  <c r="R4" i="1"/>
  <c r="Q4" i="1"/>
  <c r="H4" i="1"/>
  <c r="G4" i="1"/>
  <c r="P4" i="1" s="1"/>
  <c r="U11" i="1" l="1"/>
  <c r="P9" i="1"/>
  <c r="V9" i="1" s="1"/>
  <c r="U5" i="1"/>
  <c r="U3" i="1"/>
  <c r="U21" i="1"/>
  <c r="P21" i="1"/>
  <c r="U4" i="1"/>
  <c r="U10" i="1"/>
  <c r="Q16" i="1"/>
  <c r="U16" i="1" s="1"/>
  <c r="V5" i="1"/>
  <c r="Q22" i="1"/>
  <c r="U22" i="1" s="1"/>
  <c r="P23" i="1"/>
  <c r="U23" i="1"/>
  <c r="P22" i="1"/>
  <c r="P17" i="1"/>
  <c r="P16" i="1"/>
  <c r="U15" i="1"/>
  <c r="P15" i="1"/>
  <c r="P11" i="1"/>
  <c r="V11" i="1" s="1"/>
  <c r="P10" i="1"/>
  <c r="V10" i="1" s="1"/>
  <c r="Q17" i="1"/>
  <c r="U17" i="1" s="1"/>
  <c r="V21" i="1"/>
  <c r="V3" i="1" l="1"/>
  <c r="V16" i="1"/>
  <c r="V4" i="1"/>
  <c r="V15" i="1"/>
  <c r="V17" i="1"/>
  <c r="V23" i="1"/>
  <c r="V22" i="1"/>
</calcChain>
</file>

<file path=xl/sharedStrings.xml><?xml version="1.0" encoding="utf-8"?>
<sst xmlns="http://schemas.openxmlformats.org/spreadsheetml/2006/main" count="107" uniqueCount="47">
  <si>
    <t>Precision= TruePositives / (TruePositives + FalsePositives)</t>
  </si>
  <si>
    <r>
      <t> </t>
    </r>
    <r>
      <rPr>
        <sz val="10"/>
        <color rgb="FF040C28"/>
        <rFont val="Arial"/>
        <family val="2"/>
      </rPr>
      <t>Recall = TruePositives / (TruePositives + FalseNegatives)</t>
    </r>
  </si>
  <si>
    <t>Method</t>
  </si>
  <si>
    <t>Fibers</t>
  </si>
  <si>
    <t>Network</t>
  </si>
  <si>
    <t>Time (sec)</t>
  </si>
  <si>
    <t>Accuracy</t>
  </si>
  <si>
    <t>Details</t>
  </si>
  <si>
    <t>0s</t>
  </si>
  <si>
    <t>1s</t>
  </si>
  <si>
    <t>2s</t>
  </si>
  <si>
    <t>3s</t>
  </si>
  <si>
    <t>weighted precision (%)</t>
  </si>
  <si>
    <t>weighted recall (%)</t>
  </si>
  <si>
    <t>F1 score  = 2. Recall.Precision/(Recall+P recision) (%)</t>
  </si>
  <si>
    <t>RL</t>
  </si>
  <si>
    <t>Nobel EU</t>
  </si>
  <si>
    <t>Success rate:97.98270893371757
Action chosen 0 wrong:0
Action chosen 1 wrong:28
Action chosen 2 wrong:11
Action chosen 3 wrong:17
Action chosen 0 right:2705
Action chosen 1 right:15
Action chosen 2 right:0
Action chosen 3 right:0</t>
  </si>
  <si>
    <t>96.78%</t>
  </si>
  <si>
    <t>Success rate:96.77883232671843
Action chosen 0 wrong:0
Action chosen 1 wrong:70
Action chosen 2 wrong:16
Action chosen 3 wrong:26
Action chosen 0 right:3323
Action chosen 1 right:42
Action chosen 2 right:0
Action chosen 3 right:0</t>
  </si>
  <si>
    <t>Success rate:96.77751997937612
Action chosen 0 wrong:0
Action chosen 1 wrong:115
Action chosen 2 wrong:5
Action chosen 3 wrong:5
Action chosen 0 right:3670
Action chosen 1 right:84
Action chosen 2 right:0
Action chosen 3 right:0</t>
  </si>
  <si>
    <t>Heuristic</t>
  </si>
  <si>
    <t>Sweden</t>
  </si>
  <si>
    <t>Success rate:99.00783289817232
Action chosen 0 wrong:0
Action chosen 1 wrong:13
Action chosen 2 wrong:2
Action chosen 3 wrong:4
Action chosen 0 right:1877
Action chosen 1 right:19
Action chosen 2 right:0
Action chosen 3 right:0</t>
  </si>
  <si>
    <t>Success rate:98.3018139714396
Action chosen 0 wrong:0
Action chosen 1 wrong:34
Action chosen 2 wrong:4
Action chosen 3 wrong:6
Action chosen 0 right:2510
Action chosen 1 right:37
Action chosen 2 right:0
Action chosen 3 right:0</t>
  </si>
  <si>
    <t>Success rate:97.99465240641712
Action chosen 0 wrong:0
Action chosen 1 wrong:52
Action chosen 2 wrong:3
Action chosen 3 wrong:5
Action chosen 0 right:2873
Action chosen 1 right:59
Action chosen 2 right:0
Action chosen 3 right:0</t>
  </si>
  <si>
    <t>Spain</t>
  </si>
  <si>
    <t>Success rate:95.04950495049505
Action chosen 0 wrong:0
Action chosen 1 wrong:14
Action chosen 2 wrong:37
Action chosen 3 wrong:14
Action chosen 0 right:1236
Action chosen 1 right:12
Action chosen 2 right:0
Action chosen 3 right:0</t>
  </si>
  <si>
    <t>Success rate:95.97444089456869
Action chosen 0 wrong:0
Action chosen 1 wrong:47
Action chosen 2 wrong:10
Action chosen 3 wrong:6
Action chosen 0 right:1473
Action chosen 1 right:28
Action chosen 2 right:0
Action chosen 3 right:1</t>
  </si>
  <si>
    <t>Success rate:96.81998864281658
Action chosen 0 wrong:0
Action chosen 1 wrong:52
Action chosen 2 wrong:3
Action chosen 3 wrong:1
Action chosen 0 right:1665
Action chosen 1 right:40
Action chosen 2 right:0
Action chosen 3 right:0</t>
  </si>
  <si>
    <t>Germany 17</t>
  </si>
  <si>
    <t>Success rate:96.18874773139746
Action chosen 0 wrong:0
Action chosen 1 wrong:17
Action chosen 2 wrong:12
Action chosen 3 wrong:13
Action chosen 0 right:1050
Action chosen 1 right:9
Action chosen 2 right:1
Action chosen 3 right:0</t>
  </si>
  <si>
    <t>Success rate:95.1951951951952
Action chosen 0 wrong:0
Action chosen 1 wrong:34
Action chosen 2 wrong:18
Action chosen 3 wrong:12
Action chosen 0 right:1236
Action chosen 1 right:29
Action chosen 2 right:1
Action chosen 3 right:2</t>
  </si>
  <si>
    <t>Success rate:96.67796610169492
Action chosen 0 wrong:0
Action chosen 1 wrong:42
Action chosen 2 wrong:4
Action chosen 3 wrong:3
Action chosen 0 right:1382
Action chosen 1 right:42
Action chosen 2 right:1
Action chosen 3 right:1</t>
  </si>
  <si>
    <t>1 fiber</t>
  </si>
  <si>
    <t>2 fibers</t>
  </si>
  <si>
    <t>4 fibers</t>
  </si>
  <si>
    <t>ILP</t>
  </si>
  <si>
    <t>Germany_17</t>
  </si>
  <si>
    <t>2 h 30 min</t>
  </si>
  <si>
    <t>3 h 22 min</t>
  </si>
  <si>
    <t>5 h 31 min</t>
  </si>
  <si>
    <t>8 h 17 min</t>
  </si>
  <si>
    <t>48 min</t>
  </si>
  <si>
    <t>2h 1 min</t>
  </si>
  <si>
    <t>2h 7 min</t>
  </si>
  <si>
    <t>2 h 10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</si>
</sst>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202124"/>
      <name val="Arial"/>
      <family val="2"/>
    </font>
    <font>
      <sz val="10"/>
      <color rgb="FF040C28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rgb="FFA3A3A3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2" xfId="0" applyBorder="1"/>
    <xf numFmtId="0" fontId="0" fillId="0" borderId="0" xfId="0" applyAlignment="1">
      <alignment wrapText="1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2" xfId="0" applyFont="1" applyBorder="1" applyAlignment="1">
      <alignment vertical="center" wrapText="1"/>
    </xf>
    <xf numFmtId="0" fontId="1" fillId="0" borderId="2" xfId="0" applyFont="1" applyBorder="1"/>
    <xf numFmtId="10" fontId="1" fillId="0" borderId="2" xfId="0" applyNumberFormat="1" applyFont="1" applyBorder="1" applyAlignment="1">
      <alignment vertical="center" wrapText="1"/>
    </xf>
    <xf numFmtId="0" fontId="1" fillId="0" borderId="2" xfId="0" applyFont="1" applyBorder="1" applyAlignment="1">
      <alignment vertical="center"/>
    </xf>
    <xf numFmtId="0" fontId="1" fillId="0" borderId="0" xfId="0" applyFont="1"/>
    <xf numFmtId="0" fontId="1" fillId="0" borderId="2" xfId="0" applyFont="1" applyBorder="1" applyAlignment="1">
      <alignment horizontal="right" vertical="center" wrapText="1"/>
    </xf>
    <xf numFmtId="0" fontId="1" fillId="0" borderId="0" xfId="0" applyFont="1" applyAlignment="1">
      <alignment vertical="center" wrapText="1"/>
    </xf>
    <xf numFmtId="2" fontId="0" fillId="0" borderId="2" xfId="0" applyNumberFormat="1" applyBorder="1" applyAlignment="1">
      <alignment vertical="center" wrapText="1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right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9E0C5-8DF2-44E5-A2EB-616517A5550B}">
  <dimension ref="A1:X35"/>
  <sheetViews>
    <sheetView tabSelected="1" zoomScale="58" zoomScaleNormal="100" workbookViewId="0">
      <selection activeCell="K36" sqref="K36"/>
    </sheetView>
  </sheetViews>
  <sheetFormatPr defaultRowHeight="14.5" x14ac:dyDescent="0.35"/>
  <cols>
    <col min="3" max="3" width="11.453125" customWidth="1"/>
    <col min="6" max="6" width="15.54296875" customWidth="1"/>
    <col min="7" max="7" width="13" customWidth="1"/>
    <col min="8" max="8" width="11.453125" customWidth="1"/>
    <col min="11" max="11" width="13.453125" customWidth="1"/>
    <col min="12" max="12" width="9" customWidth="1"/>
    <col min="13" max="13" width="10.54296875" customWidth="1"/>
    <col min="14" max="14" width="12.1796875" customWidth="1"/>
    <col min="15" max="15" width="9.453125" customWidth="1"/>
    <col min="16" max="16" width="14" customWidth="1"/>
    <col min="17" max="17" width="11.26953125" bestFit="1" customWidth="1"/>
    <col min="21" max="21" width="13" customWidth="1"/>
    <col min="22" max="22" width="34.81640625" customWidth="1"/>
  </cols>
  <sheetData>
    <row r="1" spans="1:24" ht="29.5" customHeight="1" x14ac:dyDescent="0.35">
      <c r="L1" s="17" t="s">
        <v>0</v>
      </c>
      <c r="M1" s="18"/>
      <c r="N1" s="18"/>
      <c r="O1" s="18"/>
      <c r="P1" s="18"/>
      <c r="Q1" s="19" t="s">
        <v>1</v>
      </c>
      <c r="R1" s="19"/>
      <c r="S1" s="19"/>
      <c r="T1" s="19"/>
      <c r="U1" s="19"/>
    </row>
    <row r="2" spans="1:24" ht="44.5" customHeight="1" x14ac:dyDescent="0.35">
      <c r="A2" s="10" t="s">
        <v>2</v>
      </c>
      <c r="B2" s="10" t="s">
        <v>3</v>
      </c>
      <c r="C2" s="7" t="s">
        <v>4</v>
      </c>
      <c r="D2" s="7" t="s">
        <v>5</v>
      </c>
      <c r="E2" s="7" t="s">
        <v>6</v>
      </c>
      <c r="F2" s="2" t="s">
        <v>7</v>
      </c>
      <c r="G2" s="2" t="s">
        <v>8</v>
      </c>
      <c r="H2" s="2" t="s">
        <v>9</v>
      </c>
      <c r="I2" s="2" t="s">
        <v>10</v>
      </c>
      <c r="J2" s="2" t="s">
        <v>11</v>
      </c>
      <c r="K2" s="2"/>
      <c r="L2" s="2" t="s">
        <v>8</v>
      </c>
      <c r="M2" s="2" t="s">
        <v>9</v>
      </c>
      <c r="N2" s="2" t="s">
        <v>10</v>
      </c>
      <c r="O2" s="2" t="s">
        <v>11</v>
      </c>
      <c r="P2" s="7" t="s">
        <v>12</v>
      </c>
      <c r="Q2" s="2" t="s">
        <v>8</v>
      </c>
      <c r="R2" s="2" t="s">
        <v>9</v>
      </c>
      <c r="S2" s="2" t="s">
        <v>10</v>
      </c>
      <c r="T2" s="2" t="s">
        <v>11</v>
      </c>
      <c r="U2" s="7" t="s">
        <v>13</v>
      </c>
      <c r="V2" s="7" t="s">
        <v>14</v>
      </c>
      <c r="X2" s="4"/>
    </row>
    <row r="3" spans="1:24" ht="29.5" customHeight="1" x14ac:dyDescent="0.35">
      <c r="A3" s="8" t="s">
        <v>15</v>
      </c>
      <c r="B3" s="8">
        <v>1</v>
      </c>
      <c r="C3" s="7" t="s">
        <v>16</v>
      </c>
      <c r="D3" s="7">
        <v>52.9</v>
      </c>
      <c r="E3" s="9">
        <v>0.9798</v>
      </c>
      <c r="F3" s="5" t="s">
        <v>17</v>
      </c>
      <c r="G3" s="2">
        <f>2705+28+11+17</f>
        <v>2761</v>
      </c>
      <c r="H3" s="2">
        <v>15</v>
      </c>
      <c r="I3" s="2"/>
      <c r="J3" s="2"/>
      <c r="K3" s="2"/>
      <c r="L3" s="2">
        <f>2705/(2705+0)</f>
        <v>1</v>
      </c>
      <c r="M3" s="2">
        <f>15/(15+28)</f>
        <v>0.34883720930232559</v>
      </c>
      <c r="N3" s="2">
        <v>0</v>
      </c>
      <c r="O3" s="2">
        <v>0</v>
      </c>
      <c r="P3" s="8">
        <f>100*(G3*L3+H3*M3+N3*I3+O3*J3)/(G3+H3+I3+J3)</f>
        <v>99.648146907043753</v>
      </c>
      <c r="Q3" s="2">
        <f>2705/(2705+28+11+17)</f>
        <v>0.97971749366171679</v>
      </c>
      <c r="R3" s="2">
        <f>1</f>
        <v>1</v>
      </c>
      <c r="S3" s="2">
        <v>0</v>
      </c>
      <c r="T3" s="2">
        <v>0</v>
      </c>
      <c r="U3" s="8">
        <f>100*(G3*Q3+H3*R3+S3*I3+T3*J3)/(G3+H3+I3+J3)</f>
        <v>97.982708933717575</v>
      </c>
      <c r="V3" s="8">
        <f>2*P3*U3/(P3+U3)</f>
        <v>98.808410585888041</v>
      </c>
      <c r="X3" s="4"/>
    </row>
    <row r="4" spans="1:24" x14ac:dyDescent="0.35">
      <c r="A4" s="8" t="s">
        <v>15</v>
      </c>
      <c r="B4" s="8">
        <v>2</v>
      </c>
      <c r="C4" s="7" t="s">
        <v>16</v>
      </c>
      <c r="D4" s="7">
        <v>98.2</v>
      </c>
      <c r="E4" s="12" t="s">
        <v>18</v>
      </c>
      <c r="F4" s="6" t="s">
        <v>19</v>
      </c>
      <c r="G4" s="2">
        <f>3323+70+16+26</f>
        <v>3435</v>
      </c>
      <c r="H4" s="2">
        <f>42</f>
        <v>42</v>
      </c>
      <c r="I4" s="2"/>
      <c r="J4" s="2"/>
      <c r="K4" s="2"/>
      <c r="L4" s="2">
        <f>3323/(3323+0)</f>
        <v>1</v>
      </c>
      <c r="M4" s="2">
        <f>42/(42+70)</f>
        <v>0.375</v>
      </c>
      <c r="N4" s="2">
        <v>0</v>
      </c>
      <c r="O4" s="2">
        <v>0</v>
      </c>
      <c r="P4" s="8">
        <f t="shared" ref="P4:P23" si="0">100*(G4*L4+H4*M4+N4*I4+O4*J4)/(G4+H4+I4+J4)</f>
        <v>99.245038826574628</v>
      </c>
      <c r="Q4" s="3">
        <f>3323/(3323+70+16+26)</f>
        <v>0.9673944687045124</v>
      </c>
      <c r="R4" s="3">
        <f>42/(42+0)</f>
        <v>1</v>
      </c>
      <c r="S4" s="3">
        <v>0</v>
      </c>
      <c r="T4" s="3">
        <v>0</v>
      </c>
      <c r="U4" s="8">
        <f t="shared" ref="U4:U23" si="1">100*(G4*Q4+H4*R4+S4*I4+T4*J4)/(G4+H4+I4+J4)</f>
        <v>96.77883232671843</v>
      </c>
      <c r="V4" s="8">
        <f t="shared" ref="V4:V11" si="2">2*P4*U4/(P4+U4)</f>
        <v>97.996421714829225</v>
      </c>
    </row>
    <row r="5" spans="1:24" x14ac:dyDescent="0.35">
      <c r="A5" s="8" t="s">
        <v>15</v>
      </c>
      <c r="B5" s="8">
        <v>4</v>
      </c>
      <c r="C5" s="7" t="s">
        <v>16</v>
      </c>
      <c r="D5" s="7">
        <v>190</v>
      </c>
      <c r="E5" s="9">
        <v>0.96779999999999999</v>
      </c>
      <c r="F5" s="6" t="s">
        <v>20</v>
      </c>
      <c r="G5" s="2">
        <f>3670+115+5+5</f>
        <v>3795</v>
      </c>
      <c r="H5" s="2">
        <v>84</v>
      </c>
      <c r="I5" s="2"/>
      <c r="J5" s="2"/>
      <c r="K5" s="2"/>
      <c r="L5" s="2">
        <v>1</v>
      </c>
      <c r="M5" s="2">
        <f>84/(84+115)</f>
        <v>0.42211055276381909</v>
      </c>
      <c r="N5" s="2">
        <v>0</v>
      </c>
      <c r="O5" s="2">
        <v>0</v>
      </c>
      <c r="P5" s="8">
        <f t="shared" si="0"/>
        <v>98.74857660304616</v>
      </c>
      <c r="Q5" s="3">
        <f>3670/(3670+115+5+5)</f>
        <v>0.96706192358366272</v>
      </c>
      <c r="R5" s="3">
        <v>1</v>
      </c>
      <c r="S5" s="3">
        <v>0</v>
      </c>
      <c r="T5" s="3">
        <v>0</v>
      </c>
      <c r="U5" s="8">
        <f t="shared" si="1"/>
        <v>96.777519979376123</v>
      </c>
      <c r="V5" s="8">
        <f t="shared" si="2"/>
        <v>97.75311339177415</v>
      </c>
    </row>
    <row r="6" spans="1:24" x14ac:dyDescent="0.35">
      <c r="A6" s="8" t="s">
        <v>21</v>
      </c>
      <c r="B6" s="8">
        <v>1</v>
      </c>
      <c r="C6" s="7" t="s">
        <v>16</v>
      </c>
      <c r="D6" s="7">
        <v>47.9</v>
      </c>
      <c r="E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4" x14ac:dyDescent="0.35">
      <c r="A7" s="8" t="s">
        <v>21</v>
      </c>
      <c r="B7" s="8">
        <v>2</v>
      </c>
      <c r="C7" s="7" t="s">
        <v>16</v>
      </c>
      <c r="D7" s="8">
        <v>95.2</v>
      </c>
      <c r="E7" s="11"/>
    </row>
    <row r="8" spans="1:24" x14ac:dyDescent="0.35">
      <c r="A8" s="8" t="s">
        <v>21</v>
      </c>
      <c r="B8" s="8">
        <v>4</v>
      </c>
      <c r="C8" s="7" t="s">
        <v>16</v>
      </c>
      <c r="D8" s="8">
        <v>185.2</v>
      </c>
      <c r="E8" s="11"/>
    </row>
    <row r="9" spans="1:24" x14ac:dyDescent="0.35">
      <c r="A9" s="8" t="s">
        <v>15</v>
      </c>
      <c r="B9" s="8">
        <v>1</v>
      </c>
      <c r="C9" s="7" t="s">
        <v>22</v>
      </c>
      <c r="D9" s="7">
        <v>43.2</v>
      </c>
      <c r="E9" s="9">
        <v>0.99009999999999998</v>
      </c>
      <c r="F9" s="5" t="s">
        <v>23</v>
      </c>
      <c r="G9" s="2">
        <f>1877+13+2+4</f>
        <v>1896</v>
      </c>
      <c r="H9" s="2">
        <v>19</v>
      </c>
      <c r="I9" s="2"/>
      <c r="J9" s="2"/>
      <c r="K9" s="2"/>
      <c r="L9" s="2">
        <v>1</v>
      </c>
      <c r="M9" s="2">
        <f>19/(19+13)</f>
        <v>0.59375</v>
      </c>
      <c r="N9" s="2">
        <v>0</v>
      </c>
      <c r="O9" s="2">
        <v>0</v>
      </c>
      <c r="P9" s="8">
        <f t="shared" si="0"/>
        <v>99.596932114882506</v>
      </c>
      <c r="Q9" s="3">
        <f>1877/(1877+13+2+4)</f>
        <v>0.98997890295358648</v>
      </c>
      <c r="R9" s="3">
        <v>1</v>
      </c>
      <c r="S9" s="3">
        <v>0</v>
      </c>
      <c r="T9" s="3">
        <v>0</v>
      </c>
      <c r="U9" s="8">
        <f t="shared" si="1"/>
        <v>99.007832898172325</v>
      </c>
      <c r="V9" s="8">
        <f t="shared" si="2"/>
        <v>99.30150881679721</v>
      </c>
    </row>
    <row r="10" spans="1:24" x14ac:dyDescent="0.35">
      <c r="A10" s="8" t="s">
        <v>15</v>
      </c>
      <c r="B10" s="8">
        <v>2</v>
      </c>
      <c r="C10" s="7" t="s">
        <v>22</v>
      </c>
      <c r="D10" s="7">
        <v>75.7</v>
      </c>
      <c r="E10" s="9">
        <v>0.98299999999999998</v>
      </c>
      <c r="F10" s="5" t="s">
        <v>24</v>
      </c>
      <c r="G10" s="2">
        <f>2510+34+4+6</f>
        <v>2554</v>
      </c>
      <c r="H10" s="2">
        <f>37</f>
        <v>37</v>
      </c>
      <c r="I10" s="2"/>
      <c r="J10" s="2"/>
      <c r="K10" s="2"/>
      <c r="L10" s="2">
        <v>1</v>
      </c>
      <c r="M10" s="2">
        <f>37/(37+34)</f>
        <v>0.52112676056338025</v>
      </c>
      <c r="N10" s="2">
        <v>0</v>
      </c>
      <c r="O10" s="2">
        <v>0</v>
      </c>
      <c r="P10" s="8">
        <f t="shared" si="0"/>
        <v>99.31615940335179</v>
      </c>
      <c r="Q10" s="3">
        <f>2510/(2510+34+4+6)</f>
        <v>0.9827721221613156</v>
      </c>
      <c r="R10" s="3">
        <v>1</v>
      </c>
      <c r="S10" s="3">
        <v>0</v>
      </c>
      <c r="T10" s="3">
        <v>0</v>
      </c>
      <c r="U10" s="8">
        <f t="shared" si="1"/>
        <v>98.3018139714396</v>
      </c>
      <c r="V10" s="8">
        <f t="shared" si="2"/>
        <v>98.806383440743403</v>
      </c>
    </row>
    <row r="11" spans="1:24" x14ac:dyDescent="0.35">
      <c r="A11" s="8" t="s">
        <v>15</v>
      </c>
      <c r="B11" s="8">
        <v>4</v>
      </c>
      <c r="C11" s="7" t="s">
        <v>22</v>
      </c>
      <c r="D11" s="7">
        <v>151.69999999999999</v>
      </c>
      <c r="E11" s="9">
        <v>0.97989999999999999</v>
      </c>
      <c r="F11" s="5" t="s">
        <v>25</v>
      </c>
      <c r="G11" s="2">
        <f>2873+52+3+5</f>
        <v>2933</v>
      </c>
      <c r="H11" s="2">
        <v>59</v>
      </c>
      <c r="I11" s="2"/>
      <c r="J11" s="2"/>
      <c r="K11" s="2"/>
      <c r="L11" s="2">
        <v>1</v>
      </c>
      <c r="M11" s="2">
        <f>59/(52+59)</f>
        <v>0.53153153153153154</v>
      </c>
      <c r="N11" s="2">
        <v>0</v>
      </c>
      <c r="O11" s="2">
        <v>0</v>
      </c>
      <c r="P11" s="8">
        <f t="shared" si="0"/>
        <v>99.076215252685842</v>
      </c>
      <c r="Q11" s="3">
        <f>2873/(2873+52+3+5)</f>
        <v>0.97954312990112513</v>
      </c>
      <c r="R11" s="3">
        <v>1</v>
      </c>
      <c r="S11" s="3">
        <v>0</v>
      </c>
      <c r="T11" s="3">
        <v>0</v>
      </c>
      <c r="U11" s="8">
        <f t="shared" si="1"/>
        <v>97.994652406417117</v>
      </c>
      <c r="V11" s="8">
        <f t="shared" si="2"/>
        <v>98.532465917032695</v>
      </c>
    </row>
    <row r="12" spans="1:24" x14ac:dyDescent="0.35">
      <c r="A12" s="8" t="s">
        <v>21</v>
      </c>
      <c r="B12" s="8">
        <v>1</v>
      </c>
      <c r="C12" s="7" t="s">
        <v>22</v>
      </c>
      <c r="D12" s="7">
        <v>37.799999999999997</v>
      </c>
    </row>
    <row r="13" spans="1:24" x14ac:dyDescent="0.35">
      <c r="A13" s="8" t="s">
        <v>21</v>
      </c>
      <c r="B13" s="8">
        <v>2</v>
      </c>
      <c r="C13" s="7" t="s">
        <v>22</v>
      </c>
      <c r="D13" s="7">
        <v>75.3</v>
      </c>
    </row>
    <row r="14" spans="1:24" x14ac:dyDescent="0.35">
      <c r="A14" s="8" t="s">
        <v>21</v>
      </c>
      <c r="B14" s="8">
        <v>4</v>
      </c>
      <c r="C14" s="7" t="s">
        <v>22</v>
      </c>
      <c r="D14" s="7">
        <v>148.30000000000001</v>
      </c>
    </row>
    <row r="15" spans="1:24" ht="24" customHeight="1" x14ac:dyDescent="0.35">
      <c r="A15" s="8" t="s">
        <v>15</v>
      </c>
      <c r="B15" s="8">
        <v>1</v>
      </c>
      <c r="C15" s="7" t="s">
        <v>26</v>
      </c>
      <c r="D15" s="7">
        <v>11.5</v>
      </c>
      <c r="E15" s="9">
        <v>0.95050000000000001</v>
      </c>
      <c r="F15" s="5" t="s">
        <v>27</v>
      </c>
      <c r="G15" s="2">
        <f>1236+14+37+14</f>
        <v>1301</v>
      </c>
      <c r="H15" s="2">
        <v>12</v>
      </c>
      <c r="I15" s="2"/>
      <c r="J15" s="2"/>
      <c r="K15" s="2"/>
      <c r="L15" s="2">
        <v>1</v>
      </c>
      <c r="M15" s="2">
        <f>12/(12+14)</f>
        <v>0.46153846153846156</v>
      </c>
      <c r="N15" s="2">
        <v>0</v>
      </c>
      <c r="O15" s="2">
        <v>0</v>
      </c>
      <c r="P15" s="8">
        <f t="shared" si="0"/>
        <v>99.507879782061039</v>
      </c>
      <c r="Q15" s="3">
        <f>1236/G15</f>
        <v>0.9500384319754035</v>
      </c>
      <c r="R15" s="3">
        <v>1</v>
      </c>
      <c r="S15" s="3">
        <v>0</v>
      </c>
      <c r="T15" s="3">
        <v>0</v>
      </c>
      <c r="U15" s="8">
        <f t="shared" si="1"/>
        <v>95.049504950495049</v>
      </c>
      <c r="V15" s="8">
        <f t="shared" ref="V15:V17" si="3">2*P15*U15/(P15+U15)</f>
        <v>97.227609478403934</v>
      </c>
    </row>
    <row r="16" spans="1:24" x14ac:dyDescent="0.35">
      <c r="A16" s="8" t="s">
        <v>15</v>
      </c>
      <c r="B16" s="8">
        <v>2</v>
      </c>
      <c r="C16" s="7" t="s">
        <v>26</v>
      </c>
      <c r="D16" s="7">
        <v>24.2</v>
      </c>
      <c r="E16" s="9">
        <v>0.9597</v>
      </c>
      <c r="F16" s="5" t="s">
        <v>28</v>
      </c>
      <c r="G16" s="2">
        <f>1473+10+47+6-2</f>
        <v>1534</v>
      </c>
      <c r="H16" s="2">
        <v>28</v>
      </c>
      <c r="I16" s="2">
        <v>2</v>
      </c>
      <c r="J16" s="2">
        <v>1</v>
      </c>
      <c r="K16" s="2"/>
      <c r="L16" s="2">
        <v>1</v>
      </c>
      <c r="M16" s="2">
        <f>28/(47+28)</f>
        <v>0.37333333333333335</v>
      </c>
      <c r="N16" s="2">
        <f>0</f>
        <v>0</v>
      </c>
      <c r="O16" s="2">
        <f>1/(1+6)</f>
        <v>0.14285714285714285</v>
      </c>
      <c r="P16" s="8">
        <f t="shared" si="0"/>
        <v>98.696242202951467</v>
      </c>
      <c r="Q16" s="3">
        <f>1473/G16</f>
        <v>0.96023468057366368</v>
      </c>
      <c r="R16" s="3">
        <v>1</v>
      </c>
      <c r="S16" s="3">
        <v>0</v>
      </c>
      <c r="T16" s="3">
        <v>1</v>
      </c>
      <c r="U16" s="8">
        <f t="shared" si="1"/>
        <v>95.974440894568687</v>
      </c>
      <c r="V16" s="8">
        <f t="shared" si="3"/>
        <v>97.316314024316128</v>
      </c>
    </row>
    <row r="17" spans="1:22" x14ac:dyDescent="0.35">
      <c r="A17" s="8" t="s">
        <v>15</v>
      </c>
      <c r="B17" s="8">
        <v>4</v>
      </c>
      <c r="C17" s="7" t="s">
        <v>26</v>
      </c>
      <c r="D17" s="7">
        <v>48.8</v>
      </c>
      <c r="E17" s="9">
        <v>0.96819999999999995</v>
      </c>
      <c r="F17" s="5" t="s">
        <v>29</v>
      </c>
      <c r="G17" s="2">
        <f>1665+52+3+1-3</f>
        <v>1718</v>
      </c>
      <c r="H17" s="2">
        <v>40</v>
      </c>
      <c r="I17" s="2">
        <v>3</v>
      </c>
      <c r="J17" s="2"/>
      <c r="K17" s="2"/>
      <c r="L17" s="2">
        <v>1</v>
      </c>
      <c r="M17" s="2">
        <f>40/(40+52)</f>
        <v>0.43478260869565216</v>
      </c>
      <c r="N17" s="2">
        <v>0</v>
      </c>
      <c r="O17" s="2">
        <v>0</v>
      </c>
      <c r="P17" s="8">
        <f t="shared" si="0"/>
        <v>98.545786731847016</v>
      </c>
      <c r="Q17" s="3">
        <f>1665/G17</f>
        <v>0.96915017462165309</v>
      </c>
      <c r="R17" s="3">
        <v>1</v>
      </c>
      <c r="S17" s="3">
        <v>0</v>
      </c>
      <c r="T17" s="3">
        <v>0</v>
      </c>
      <c r="U17" s="8">
        <f t="shared" si="1"/>
        <v>96.819988642816583</v>
      </c>
      <c r="V17" s="8">
        <f t="shared" si="3"/>
        <v>97.675265116187006</v>
      </c>
    </row>
    <row r="18" spans="1:22" x14ac:dyDescent="0.35">
      <c r="A18" s="8" t="s">
        <v>21</v>
      </c>
      <c r="B18" s="8">
        <v>1</v>
      </c>
      <c r="C18" s="7" t="s">
        <v>26</v>
      </c>
      <c r="D18" s="7">
        <v>10.4</v>
      </c>
    </row>
    <row r="19" spans="1:22" x14ac:dyDescent="0.35">
      <c r="A19" s="8" t="s">
        <v>21</v>
      </c>
      <c r="B19" s="8">
        <v>2</v>
      </c>
      <c r="C19" s="7" t="s">
        <v>26</v>
      </c>
      <c r="D19" s="8">
        <v>22.8</v>
      </c>
    </row>
    <row r="20" spans="1:22" x14ac:dyDescent="0.35">
      <c r="A20" s="8" t="s">
        <v>21</v>
      </c>
      <c r="B20" s="8">
        <v>4</v>
      </c>
      <c r="C20" s="7" t="s">
        <v>26</v>
      </c>
      <c r="D20" s="8">
        <v>48.6</v>
      </c>
    </row>
    <row r="21" spans="1:22" ht="24" customHeight="1" x14ac:dyDescent="0.35">
      <c r="A21" s="8" t="s">
        <v>15</v>
      </c>
      <c r="B21" s="8">
        <v>1</v>
      </c>
      <c r="C21" s="7" t="s">
        <v>30</v>
      </c>
      <c r="D21" s="7">
        <v>10.7</v>
      </c>
      <c r="E21" s="9">
        <v>0.96189999999999998</v>
      </c>
      <c r="F21" s="5" t="s">
        <v>31</v>
      </c>
      <c r="G21" s="2">
        <f>1050+17+12+13-3</f>
        <v>1089</v>
      </c>
      <c r="H21" s="2">
        <v>9</v>
      </c>
      <c r="I21" s="2">
        <v>1</v>
      </c>
      <c r="J21" s="2">
        <v>3</v>
      </c>
      <c r="K21" s="2"/>
      <c r="L21" s="2">
        <v>1</v>
      </c>
      <c r="M21" s="2">
        <f>12/(12+17)</f>
        <v>0.41379310344827586</v>
      </c>
      <c r="N21" s="14">
        <f>1/(1+12)</f>
        <v>7.6923076923076927E-2</v>
      </c>
      <c r="O21" s="2">
        <v>0</v>
      </c>
      <c r="P21" s="8">
        <f t="shared" si="0"/>
        <v>99.165250545186709</v>
      </c>
      <c r="Q21" s="3">
        <f>1050/G21</f>
        <v>0.96418732782369143</v>
      </c>
      <c r="R21" s="3">
        <v>1</v>
      </c>
      <c r="S21" s="3">
        <v>1</v>
      </c>
      <c r="T21" s="3">
        <v>0</v>
      </c>
      <c r="U21" s="8">
        <f t="shared" si="1"/>
        <v>96.188747731397456</v>
      </c>
      <c r="V21" s="8">
        <f t="shared" ref="V21:V23" si="4">2*P21*U21/(P21+U21)</f>
        <v>97.654323459578947</v>
      </c>
    </row>
    <row r="22" spans="1:22" x14ac:dyDescent="0.35">
      <c r="A22" s="8" t="s">
        <v>15</v>
      </c>
      <c r="B22" s="8">
        <v>2</v>
      </c>
      <c r="C22" s="7" t="s">
        <v>30</v>
      </c>
      <c r="D22" s="7">
        <v>20.8</v>
      </c>
      <c r="E22" s="9">
        <v>0.95199999999999996</v>
      </c>
      <c r="F22" s="5" t="s">
        <v>32</v>
      </c>
      <c r="G22" s="2">
        <f>1236+34+18+12-4</f>
        <v>1296</v>
      </c>
      <c r="H22" s="2">
        <v>29</v>
      </c>
      <c r="I22" s="2">
        <v>1</v>
      </c>
      <c r="J22" s="2">
        <v>6</v>
      </c>
      <c r="K22" s="2"/>
      <c r="L22" s="2">
        <f>1473/(1473+0)</f>
        <v>1</v>
      </c>
      <c r="M22" s="2">
        <f>29/(29+34)</f>
        <v>0.46031746031746029</v>
      </c>
      <c r="N22" s="2">
        <f>1/19</f>
        <v>5.2631578947368418E-2</v>
      </c>
      <c r="O22" s="2">
        <f>2/14</f>
        <v>0.14285714285714285</v>
      </c>
      <c r="P22" s="8">
        <f t="shared" si="0"/>
        <v>98.367791350247487</v>
      </c>
      <c r="Q22" s="3">
        <f>1236/G22</f>
        <v>0.95370370370370372</v>
      </c>
      <c r="R22" s="3">
        <v>1</v>
      </c>
      <c r="S22" s="3">
        <v>1</v>
      </c>
      <c r="T22" s="3">
        <f>2/6</f>
        <v>0.33333333333333331</v>
      </c>
      <c r="U22" s="8">
        <f t="shared" si="1"/>
        <v>95.195195195195197</v>
      </c>
      <c r="V22" s="8">
        <f t="shared" si="4"/>
        <v>96.755493037493792</v>
      </c>
    </row>
    <row r="23" spans="1:22" x14ac:dyDescent="0.35">
      <c r="A23" s="8" t="s">
        <v>15</v>
      </c>
      <c r="B23" s="8">
        <v>4</v>
      </c>
      <c r="C23" s="7" t="s">
        <v>30</v>
      </c>
      <c r="D23" s="7">
        <v>45.4</v>
      </c>
      <c r="E23" s="9">
        <v>0.96679999999999999</v>
      </c>
      <c r="F23" s="5" t="s">
        <v>33</v>
      </c>
      <c r="G23" s="2">
        <f>1382+42+4+3-4</f>
        <v>1427</v>
      </c>
      <c r="H23" s="2">
        <v>42</v>
      </c>
      <c r="I23" s="2">
        <v>1</v>
      </c>
      <c r="J23" s="2">
        <v>5</v>
      </c>
      <c r="K23" s="2"/>
      <c r="L23" s="2">
        <v>1</v>
      </c>
      <c r="M23" s="2">
        <f>40/(40+52)</f>
        <v>0.43478260869565216</v>
      </c>
      <c r="N23" s="2">
        <f>1/5</f>
        <v>0.2</v>
      </c>
      <c r="O23" s="2">
        <f>1/4</f>
        <v>0.25</v>
      </c>
      <c r="P23" s="8">
        <f t="shared" si="0"/>
        <v>98.082092851879153</v>
      </c>
      <c r="Q23" s="3">
        <f>1382/G23</f>
        <v>0.96846531184302731</v>
      </c>
      <c r="R23" s="3">
        <v>1</v>
      </c>
      <c r="S23" s="3">
        <v>1</v>
      </c>
      <c r="T23" s="3">
        <f>1/5</f>
        <v>0.2</v>
      </c>
      <c r="U23" s="8">
        <f t="shared" si="1"/>
        <v>96.677966101694921</v>
      </c>
      <c r="V23" s="8">
        <f t="shared" si="4"/>
        <v>97.374967936086193</v>
      </c>
    </row>
    <row r="24" spans="1:22" x14ac:dyDescent="0.35">
      <c r="A24" s="8" t="s">
        <v>21</v>
      </c>
      <c r="B24" s="8">
        <v>1</v>
      </c>
      <c r="C24" s="7" t="s">
        <v>30</v>
      </c>
      <c r="D24" s="7">
        <v>10.4</v>
      </c>
    </row>
    <row r="25" spans="1:22" x14ac:dyDescent="0.35">
      <c r="A25" s="8" t="s">
        <v>21</v>
      </c>
      <c r="B25" s="8">
        <v>2</v>
      </c>
      <c r="C25" s="7" t="s">
        <v>30</v>
      </c>
      <c r="D25" s="8">
        <v>20.6</v>
      </c>
    </row>
    <row r="26" spans="1:22" x14ac:dyDescent="0.35">
      <c r="A26" s="8" t="s">
        <v>21</v>
      </c>
      <c r="B26" s="8">
        <v>4</v>
      </c>
      <c r="C26" s="7" t="s">
        <v>30</v>
      </c>
      <c r="D26" s="8">
        <v>44.7</v>
      </c>
    </row>
    <row r="30" spans="1:22" x14ac:dyDescent="0.35">
      <c r="G30" s="20" t="s">
        <v>34</v>
      </c>
      <c r="H30" s="20"/>
      <c r="I30" s="21" t="s">
        <v>35</v>
      </c>
      <c r="J30" s="22"/>
      <c r="K30" s="23"/>
      <c r="L30" s="21" t="s">
        <v>36</v>
      </c>
      <c r="M30" s="22"/>
      <c r="N30" s="23"/>
    </row>
    <row r="31" spans="1:22" x14ac:dyDescent="0.35">
      <c r="G31" s="15" t="s">
        <v>15</v>
      </c>
      <c r="H31" s="15" t="s">
        <v>21</v>
      </c>
      <c r="I31" s="15" t="s">
        <v>15</v>
      </c>
      <c r="J31" s="15" t="s">
        <v>21</v>
      </c>
      <c r="K31" s="15" t="s">
        <v>37</v>
      </c>
      <c r="L31" s="15" t="s">
        <v>15</v>
      </c>
      <c r="M31" s="15" t="s">
        <v>21</v>
      </c>
      <c r="N31" s="15" t="s">
        <v>37</v>
      </c>
    </row>
    <row r="32" spans="1:22" x14ac:dyDescent="0.35">
      <c r="F32" s="3" t="s">
        <v>38</v>
      </c>
      <c r="G32" s="16" t="str">
        <f>CONCATENATE(D21, "  sec")</f>
        <v>10,7  sec</v>
      </c>
      <c r="H32" s="16" t="str">
        <f>CONCATENATE(D24, "  sec")</f>
        <v>10,4  sec</v>
      </c>
      <c r="I32" s="16" t="str">
        <f>CONCATENATE(D22, "  sec")</f>
        <v>20,8  sec</v>
      </c>
      <c r="J32" s="16" t="str">
        <f>CONCATENATE(D25, "  sec")</f>
        <v>20,6  sec</v>
      </c>
      <c r="K32" s="16" t="s">
        <v>43</v>
      </c>
      <c r="L32" s="16" t="str">
        <f>CONCATENATE(D23, "  sec")</f>
        <v>45,4  sec</v>
      </c>
      <c r="M32" s="16" t="str">
        <f>CONCATENATE(D26, "  sec")</f>
        <v>44,7  sec</v>
      </c>
      <c r="N32" s="16" t="s">
        <v>39</v>
      </c>
    </row>
    <row r="33" spans="6:14" x14ac:dyDescent="0.35">
      <c r="F33" s="3" t="s">
        <v>26</v>
      </c>
      <c r="G33" s="16" t="str">
        <f>CONCATENATE(D15, "  sec")</f>
        <v>11,5  sec</v>
      </c>
      <c r="H33" s="16" t="str">
        <f>CONCATENATE(D18, "  sec")</f>
        <v>10,4  sec</v>
      </c>
      <c r="I33" s="16" t="str">
        <f>CONCATENATE(D16, "  sec")</f>
        <v>24,2  sec</v>
      </c>
      <c r="J33" s="16" t="str">
        <f>CONCATENATE(D19, "  sec")</f>
        <v>22,8  sec</v>
      </c>
      <c r="K33" s="16" t="s">
        <v>44</v>
      </c>
      <c r="L33" s="16" t="str">
        <f>CONCATENATE(D17, "  sec")</f>
        <v>48,8  sec</v>
      </c>
      <c r="M33" s="16" t="str">
        <f>CONCATENATE(D20, "  sec")</f>
        <v>48,6  sec</v>
      </c>
      <c r="N33" s="16" t="s">
        <v>40</v>
      </c>
    </row>
    <row r="34" spans="6:14" x14ac:dyDescent="0.35">
      <c r="F34" s="3" t="s">
        <v>22</v>
      </c>
      <c r="G34" s="16" t="str">
        <f>CONCATENATE(D9, "  sec")</f>
        <v>43,2  sec</v>
      </c>
      <c r="H34" s="16" t="str">
        <f>CONCATENATE(D12, "  sec")</f>
        <v>37,8  sec</v>
      </c>
      <c r="I34" s="16" t="str">
        <f>CONCATENATE(D10, "  sec")</f>
        <v>75,7  sec</v>
      </c>
      <c r="J34" s="16" t="str">
        <f>CONCATENATE(D13, "  sec")</f>
        <v>75,3  sec</v>
      </c>
      <c r="K34" s="16" t="s">
        <v>45</v>
      </c>
      <c r="L34" s="16" t="str">
        <f>CONCATENATE(D11, "  sec")</f>
        <v>151,7  sec</v>
      </c>
      <c r="M34" s="16" t="str">
        <f>CONCATENATE(D14, "  sec")</f>
        <v>148,3  sec</v>
      </c>
      <c r="N34" s="16" t="s">
        <v>41</v>
      </c>
    </row>
    <row r="35" spans="6:14" x14ac:dyDescent="0.35">
      <c r="F35" s="3" t="s">
        <v>16</v>
      </c>
      <c r="G35" s="16" t="str">
        <f>CONCATENATE(D3, "  sec")</f>
        <v>52,9  sec</v>
      </c>
      <c r="H35" s="16" t="str">
        <f>CONCATENATE(D6, "  sec")</f>
        <v>47,9  sec</v>
      </c>
      <c r="I35" s="16" t="str">
        <f>CONCATENATE(D4, "  sec")</f>
        <v>98,2  sec</v>
      </c>
      <c r="J35" s="16" t="str">
        <f>CONCATENATE(D7, "  sec")</f>
        <v>95,2  sec</v>
      </c>
      <c r="K35" s="16" t="s">
        <v>46</v>
      </c>
      <c r="L35" s="16" t="str">
        <f>CONCATENATE(D5, "  sec")</f>
        <v>190  sec</v>
      </c>
      <c r="M35" s="16" t="str">
        <f>CONCATENATE(D8, "  sec")</f>
        <v>185,2  sec</v>
      </c>
      <c r="N35" s="16" t="s">
        <v>42</v>
      </c>
    </row>
  </sheetData>
  <mergeCells count="5">
    <mergeCell ref="L1:P1"/>
    <mergeCell ref="Q1:U1"/>
    <mergeCell ref="G30:H30"/>
    <mergeCell ref="L30:N30"/>
    <mergeCell ref="I30:K30"/>
  </mergeCells>
  <phoneticPr fontId="4" type="noConversion"/>
  <pageMargins left="0.7" right="0.7" top="0.75" bottom="0.75" header="0.3" footer="0.3"/>
  <pageSetup orientation="portrait" r:id="rId1"/>
  <headerFooter>
    <oddFooter>&amp;C_x000D_&amp;1#&amp;"Calibri"&amp;7&amp;K000000 - Classified as Confidential 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Arantxa Villavicencio Paz</dc:creator>
  <cp:keywords/>
  <dc:description/>
  <cp:lastModifiedBy>Arantxa Villavicencio Paz</cp:lastModifiedBy>
  <cp:revision/>
  <dcterms:created xsi:type="dcterms:W3CDTF">2023-06-27T12:25:22Z</dcterms:created>
  <dcterms:modified xsi:type="dcterms:W3CDTF">2023-08-28T22:54:31Z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9c7c648-ca27-487a-a006-4512b5505f4a_Enabled">
    <vt:lpwstr>true</vt:lpwstr>
  </property>
  <property fmtid="{D5CDD505-2E9C-101B-9397-08002B2CF9AE}" pid="3" name="MSIP_Label_c9c7c648-ca27-487a-a006-4512b5505f4a_SetDate">
    <vt:lpwstr>2023-06-27T16:43:41Z</vt:lpwstr>
  </property>
  <property fmtid="{D5CDD505-2E9C-101B-9397-08002B2CF9AE}" pid="4" name="MSIP_Label_c9c7c648-ca27-487a-a006-4512b5505f4a_Method">
    <vt:lpwstr>Privileged</vt:lpwstr>
  </property>
  <property fmtid="{D5CDD505-2E9C-101B-9397-08002B2CF9AE}" pid="5" name="MSIP_Label_c9c7c648-ca27-487a-a006-4512b5505f4a_Name">
    <vt:lpwstr>ADVA-Internal_recipients_only</vt:lpwstr>
  </property>
  <property fmtid="{D5CDD505-2E9C-101B-9397-08002B2CF9AE}" pid="6" name="MSIP_Label_c9c7c648-ca27-487a-a006-4512b5505f4a_SiteId">
    <vt:lpwstr>522fc9ff-aca0-4d49-8e36-d13332e34662</vt:lpwstr>
  </property>
  <property fmtid="{D5CDD505-2E9C-101B-9397-08002B2CF9AE}" pid="7" name="MSIP_Label_c9c7c648-ca27-487a-a006-4512b5505f4a_ActionId">
    <vt:lpwstr>c28c1bd7-454c-4979-a66c-0f9456c06803</vt:lpwstr>
  </property>
  <property fmtid="{D5CDD505-2E9C-101B-9397-08002B2CF9AE}" pid="8" name="MSIP_Label_c9c7c648-ca27-487a-a006-4512b5505f4a_ContentBits">
    <vt:lpwstr>2</vt:lpwstr>
  </property>
</Properties>
</file>