
<file path=[Content_Types].xml><?xml version="1.0" encoding="utf-8"?>
<Types xmlns="http://schemas.openxmlformats.org/package/2006/content-types"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worksheets/sheet7.xml" ContentType="application/vnd.openxmlformats-officedocument.spreadsheetml.worksheet+xml"/>
  <Override PartName="/xl/charts/chart78.xml" ContentType="application/vnd.openxmlformats-officedocument.drawingml.chart+xml"/>
  <Override PartName="/xl/charts/chart89.xml" ContentType="application/vnd.openxmlformats-officedocument.drawingml.chart+xml"/>
  <Override PartName="/xl/charts/chart109.xml" ContentType="application/vnd.openxmlformats-officedocument.drawingml.chart+xml"/>
  <Default Extension="xml" ContentType="application/xml"/>
  <Override PartName="/xl/drawings/drawing2.xml" ContentType="application/vnd.openxmlformats-officedocument.drawingml.chartshapes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charts/chart96.xml" ContentType="application/vnd.openxmlformats-officedocument.drawingml.chart+xml"/>
  <Override PartName="/xl/charts/chart116.xml" ContentType="application/vnd.openxmlformats-officedocument.drawingml.chart+xml"/>
  <Override PartName="/xl/charts/chart127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charts/chart85.xml" ContentType="application/vnd.openxmlformats-officedocument.drawingml.chart+xml"/>
  <Override PartName="/xl/charts/chart105.xml" ContentType="application/vnd.openxmlformats-officedocument.drawingml.chart+xml"/>
  <Override PartName="/xl/charts/chart134.xml" ContentType="application/vnd.openxmlformats-officedocument.drawingml.char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charts/chart112.xml" ContentType="application/vnd.openxmlformats-officedocument.drawingml.chart+xml"/>
  <Override PartName="/xl/charts/chart123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charts/chart101.xml" ContentType="application/vnd.openxmlformats-officedocument.drawingml.chart+xml"/>
  <Override PartName="/xl/charts/chart130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Default Extension="bin" ContentType="application/vnd.openxmlformats-officedocument.spreadsheetml.printerSettings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worksheets/sheet8.xml" ContentType="application/vnd.openxmlformats-officedocument.spreadsheetml.worksheet+xml"/>
  <Override PartName="/xl/charts/chart79.xml" ContentType="application/vnd.openxmlformats-officedocument.drawingml.chart+xml"/>
  <Override PartName="/xl/charts/chart97.xml" ContentType="application/vnd.openxmlformats-officedocument.drawingml.chart+xml"/>
  <Override PartName="/xl/charts/chart128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39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charts/chart86.xml" ContentType="application/vnd.openxmlformats-officedocument.drawingml.chart+xml"/>
  <Override PartName="/xl/charts/chart117.xml" ContentType="application/vnd.openxmlformats-officedocument.drawingml.chart+xml"/>
  <Override PartName="/xl/charts/chart135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84.xml" ContentType="application/vnd.openxmlformats-officedocument.drawingml.chart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charts/chart115.xml" ContentType="application/vnd.openxmlformats-officedocument.drawingml.chart+xml"/>
  <Override PartName="/xl/charts/chart124.xml" ContentType="application/vnd.openxmlformats-officedocument.drawingml.chart+xml"/>
  <Override PartName="/xl/charts/chart133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82.xml" ContentType="application/vnd.openxmlformats-officedocument.drawingml.chart+xml"/>
  <Override PartName="/xl/charts/chart91.xml" ContentType="application/vnd.openxmlformats-officedocument.drawingml.chart+xml"/>
  <Override PartName="/xl/drawings/drawing12.xml" ContentType="application/vnd.openxmlformats-officedocument.drawing+xml"/>
  <Override PartName="/xl/charts/chart104.xml" ContentType="application/vnd.openxmlformats-officedocument.drawingml.chart+xml"/>
  <Override PartName="/xl/charts/chart113.xml" ContentType="application/vnd.openxmlformats-officedocument.drawingml.chart+xml"/>
  <Override PartName="/xl/charts/chart122.xml" ContentType="application/vnd.openxmlformats-officedocument.drawingml.chart+xml"/>
  <Override PartName="/xl/charts/chart131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drawings/drawing10.xml" ContentType="application/vnd.openxmlformats-officedocument.drawing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0.xml" ContentType="application/vnd.openxmlformats-officedocument.drawingml.chart+xml"/>
  <Override PartName="/xl/charts/chart102.xml" ContentType="application/vnd.openxmlformats-officedocument.drawingml.chart+xml"/>
  <Override PartName="/xl/charts/chart111.xml" ContentType="application/vnd.openxmlformats-officedocument.drawingml.chart+xml"/>
  <Override PartName="/xl/charts/chart120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xl/charts/chart10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69.xml" ContentType="application/vnd.openxmlformats-officedocument.drawingml.chart+xml"/>
  <Override PartName="/xl/charts/chart98.xml" ContentType="application/vnd.openxmlformats-officedocument.drawingml.chart+xml"/>
  <Override PartName="/xl/charts/chart118.xml" ContentType="application/vnd.openxmlformats-officedocument.drawingml.chart+xml"/>
  <Override PartName="/xl/charts/chart129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charts/chart76.xml" ContentType="application/vnd.openxmlformats-officedocument.drawingml.chart+xml"/>
  <Override PartName="/xl/charts/chart87.xml" ContentType="application/vnd.openxmlformats-officedocument.drawingml.chart+xml"/>
  <Override PartName="/xl/charts/chart107.xml" ContentType="application/vnd.openxmlformats-officedocument.drawingml.chart+xml"/>
  <Override PartName="/xl/charts/chart136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charts/chart94.xml" ContentType="application/vnd.openxmlformats-officedocument.drawingml.chart+xml"/>
  <Override PartName="/xl/charts/chart114.xml" ContentType="application/vnd.openxmlformats-officedocument.drawingml.chart+xml"/>
  <Override PartName="/xl/charts/chart125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drawings/drawing11.xml" ContentType="application/vnd.openxmlformats-officedocument.drawing+xml"/>
  <Override PartName="/xl/charts/chart72.xml" ContentType="application/vnd.openxmlformats-officedocument.drawingml.chart+xml"/>
  <Override PartName="/xl/charts/chart103.xml" ContentType="application/vnd.openxmlformats-officedocument.drawingml.chart+xml"/>
  <Override PartName="/xl/charts/chart132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charts/chart90.xml" ContentType="application/vnd.openxmlformats-officedocument.drawingml.chart+xml"/>
  <Override PartName="/xl/charts/chart110.xml" ContentType="application/vnd.openxmlformats-officedocument.drawingml.chart+xml"/>
  <Override PartName="/xl/charts/chart121.xml" ContentType="application/vnd.openxmlformats-officedocument.drawingml.char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99.xml" ContentType="application/vnd.openxmlformats-officedocument.drawingml.chart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59.xml" ContentType="application/vnd.openxmlformats-officedocument.drawingml.chart+xml"/>
  <Override PartName="/xl/charts/chart88.xml" ContentType="application/vnd.openxmlformats-officedocument.drawingml.chart+xml"/>
  <Override PartName="/xl/charts/chart119.xml" ContentType="application/vnd.openxmlformats-officedocument.drawingml.chart+xml"/>
  <Override PartName="/xl/charts/chart48.xml" ContentType="application/vnd.openxmlformats-officedocument.drawingml.chart+xml"/>
  <Override PartName="/xl/charts/chart77.xml" ContentType="application/vnd.openxmlformats-officedocument.drawingml.chart+xml"/>
  <Override PartName="/xl/charts/chart95.xml" ContentType="application/vnd.openxmlformats-officedocument.drawingml.chart+xml"/>
  <Override PartName="/xl/charts/chart108.xml" ContentType="application/vnd.openxmlformats-officedocument.drawingml.chart+xml"/>
  <Override PartName="/xl/charts/chart126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QTY(BUND)" sheetId="10" r:id="rId1"/>
    <sheet name="Bund" sheetId="9" r:id="rId2"/>
    <sheet name="Qty-B (FC)" sheetId="11" r:id="rId3"/>
    <sheet name="fc (4)" sheetId="8" r:id="rId4"/>
    <sheet name="fc (3)" sheetId="7" r:id="rId5"/>
    <sheet name="LS" sheetId="12" r:id="rId6"/>
    <sheet name="fc (2)" sheetId="6" r:id="rId7"/>
    <sheet name="fc" sheetId="1" r:id="rId8"/>
  </sheets>
  <externalReferences>
    <externalReference r:id="rId9"/>
  </externalReferences>
  <definedNames>
    <definedName name="_xlnm.Print_Area" localSheetId="1">Bund!$A$1:$O$430</definedName>
    <definedName name="_xlnm.Print_Area" localSheetId="7">fc!$A$1:$N$1452</definedName>
    <definedName name="_xlnm.Print_Area" localSheetId="6">'fc (2)'!$A$1:$N$1452</definedName>
    <definedName name="_xlnm.Print_Area" localSheetId="4">'fc (3)'!$A$1:$N$1452</definedName>
    <definedName name="_xlnm.Print_Area" localSheetId="3">'fc (4)'!$A$1:$N$462</definedName>
    <definedName name="_xlnm.Print_Area" localSheetId="5">LS!$A$1:$Z$207</definedName>
    <definedName name="_xlnm.Print_Area" localSheetId="0">'QTY(BUND)'!$A$1:$F$26</definedName>
    <definedName name="_xlnm.Print_Area" localSheetId="2">'Qty-B (FC)'!$A$1:$E$148</definedName>
  </definedNames>
  <calcPr calcId="124519"/>
</workbook>
</file>

<file path=xl/calcChain.xml><?xml version="1.0" encoding="utf-8"?>
<calcChain xmlns="http://schemas.openxmlformats.org/spreadsheetml/2006/main">
  <c r="E8" i="11"/>
  <c r="L119"/>
  <c r="K119"/>
  <c r="J119"/>
  <c r="L118"/>
  <c r="K118"/>
  <c r="J118"/>
  <c r="L117"/>
  <c r="K117"/>
  <c r="J117"/>
  <c r="L116"/>
  <c r="K116"/>
  <c r="J116"/>
  <c r="L115"/>
  <c r="K115"/>
  <c r="J115"/>
  <c r="L114"/>
  <c r="K114"/>
  <c r="J114"/>
  <c r="L113"/>
  <c r="K113"/>
  <c r="J113"/>
  <c r="L112"/>
  <c r="K112"/>
  <c r="J112"/>
  <c r="L111"/>
  <c r="K111"/>
  <c r="J111"/>
  <c r="L110"/>
  <c r="K110"/>
  <c r="J110"/>
  <c r="L109"/>
  <c r="K109"/>
  <c r="J109"/>
  <c r="L108"/>
  <c r="K108"/>
  <c r="J108"/>
  <c r="L107"/>
  <c r="K107"/>
  <c r="J107"/>
  <c r="L106"/>
  <c r="K106"/>
  <c r="J106"/>
  <c r="L105"/>
  <c r="K105"/>
  <c r="J105"/>
  <c r="L104"/>
  <c r="K104"/>
  <c r="J104"/>
  <c r="L103"/>
  <c r="K103"/>
  <c r="J103"/>
  <c r="L102"/>
  <c r="K102"/>
  <c r="J102"/>
  <c r="L101"/>
  <c r="K101"/>
  <c r="J101"/>
  <c r="L100"/>
  <c r="K100"/>
  <c r="J100"/>
  <c r="L99"/>
  <c r="K99"/>
  <c r="J99"/>
  <c r="L98"/>
  <c r="K98"/>
  <c r="J98"/>
  <c r="L97"/>
  <c r="K97"/>
  <c r="J97"/>
  <c r="L96"/>
  <c r="K96"/>
  <c r="J96"/>
  <c r="L95"/>
  <c r="K95"/>
  <c r="J95"/>
  <c r="L94"/>
  <c r="K94"/>
  <c r="J94"/>
  <c r="L93"/>
  <c r="K93"/>
  <c r="J93"/>
  <c r="L92"/>
  <c r="K92"/>
  <c r="J92"/>
  <c r="L91"/>
  <c r="K91"/>
  <c r="J91"/>
  <c r="L90"/>
  <c r="K90"/>
  <c r="J90"/>
  <c r="L89"/>
  <c r="K89"/>
  <c r="J89"/>
  <c r="L88"/>
  <c r="K88"/>
  <c r="J88"/>
  <c r="L87"/>
  <c r="K87"/>
  <c r="J87"/>
  <c r="L86"/>
  <c r="K86"/>
  <c r="J86"/>
  <c r="L85"/>
  <c r="K85"/>
  <c r="J85"/>
  <c r="L84"/>
  <c r="K84"/>
  <c r="J84"/>
  <c r="L83"/>
  <c r="K83"/>
  <c r="J83"/>
  <c r="L82"/>
  <c r="K82"/>
  <c r="J82"/>
  <c r="L81"/>
  <c r="K81"/>
  <c r="J81"/>
  <c r="L80"/>
  <c r="K80"/>
  <c r="J80"/>
  <c r="L79"/>
  <c r="K79"/>
  <c r="J79"/>
  <c r="L78"/>
  <c r="K78"/>
  <c r="J78"/>
  <c r="L77"/>
  <c r="K77"/>
  <c r="J77"/>
  <c r="L76"/>
  <c r="K76"/>
  <c r="J76"/>
  <c r="L75"/>
  <c r="K75"/>
  <c r="J75"/>
  <c r="L74"/>
  <c r="K74"/>
  <c r="J74"/>
  <c r="L73"/>
  <c r="K73"/>
  <c r="J73"/>
  <c r="L72"/>
  <c r="K72"/>
  <c r="J72"/>
  <c r="L71"/>
  <c r="K71"/>
  <c r="J71"/>
  <c r="L70"/>
  <c r="K70"/>
  <c r="J70"/>
  <c r="L69"/>
  <c r="K69"/>
  <c r="J69"/>
  <c r="L68"/>
  <c r="K68"/>
  <c r="J68"/>
  <c r="L67"/>
  <c r="K67"/>
  <c r="J67"/>
  <c r="L66"/>
  <c r="K66"/>
  <c r="J66"/>
  <c r="L65"/>
  <c r="K65"/>
  <c r="J65"/>
  <c r="L64"/>
  <c r="K64"/>
  <c r="J64"/>
  <c r="L63"/>
  <c r="K63"/>
  <c r="J63"/>
  <c r="L62"/>
  <c r="K62"/>
  <c r="J62"/>
  <c r="L61"/>
  <c r="K61"/>
  <c r="J61"/>
  <c r="L60"/>
  <c r="K60"/>
  <c r="J60"/>
  <c r="L59"/>
  <c r="K59"/>
  <c r="J59"/>
  <c r="L58"/>
  <c r="K58"/>
  <c r="J58"/>
  <c r="L57"/>
  <c r="K57"/>
  <c r="J57"/>
  <c r="L56"/>
  <c r="K56"/>
  <c r="J56"/>
  <c r="L55"/>
  <c r="K55"/>
  <c r="J55"/>
  <c r="L54"/>
  <c r="K54"/>
  <c r="J54"/>
  <c r="L53"/>
  <c r="K53"/>
  <c r="J53"/>
  <c r="L52"/>
  <c r="K52"/>
  <c r="J52"/>
  <c r="L51"/>
  <c r="K51"/>
  <c r="J51"/>
  <c r="L50"/>
  <c r="K50"/>
  <c r="J50"/>
  <c r="L49"/>
  <c r="K49"/>
  <c r="J49"/>
  <c r="L48"/>
  <c r="K48"/>
  <c r="J48"/>
  <c r="L47"/>
  <c r="K47"/>
  <c r="J47"/>
  <c r="L46"/>
  <c r="K46"/>
  <c r="J46"/>
  <c r="L45"/>
  <c r="K45"/>
  <c r="J45"/>
  <c r="L44"/>
  <c r="K44"/>
  <c r="J44"/>
  <c r="L43"/>
  <c r="K43"/>
  <c r="J43"/>
  <c r="L42"/>
  <c r="K42"/>
  <c r="J42"/>
  <c r="L41"/>
  <c r="K41"/>
  <c r="J41"/>
  <c r="L40"/>
  <c r="K40"/>
  <c r="J40"/>
  <c r="L39"/>
  <c r="K39"/>
  <c r="J39"/>
  <c r="L38"/>
  <c r="K38"/>
  <c r="J38"/>
  <c r="L37"/>
  <c r="K37"/>
  <c r="J37"/>
  <c r="L36"/>
  <c r="K36"/>
  <c r="J36"/>
  <c r="L35"/>
  <c r="K35"/>
  <c r="J35"/>
  <c r="L34"/>
  <c r="K34"/>
  <c r="J34"/>
  <c r="L33"/>
  <c r="K33"/>
  <c r="J33"/>
  <c r="L32"/>
  <c r="K32"/>
  <c r="J32"/>
  <c r="L31"/>
  <c r="K31"/>
  <c r="J31"/>
  <c r="L30"/>
  <c r="K30"/>
  <c r="J30"/>
  <c r="L29"/>
  <c r="K29"/>
  <c r="J29"/>
  <c r="L28"/>
  <c r="K28"/>
  <c r="J28"/>
  <c r="L27"/>
  <c r="K27"/>
  <c r="J27"/>
  <c r="L26"/>
  <c r="K26"/>
  <c r="J26"/>
  <c r="L25"/>
  <c r="K25"/>
  <c r="J25"/>
  <c r="L24"/>
  <c r="K24"/>
  <c r="J24"/>
  <c r="L23"/>
  <c r="K23"/>
  <c r="J23"/>
  <c r="L22"/>
  <c r="K22"/>
  <c r="J22"/>
  <c r="L21"/>
  <c r="K21"/>
  <c r="J21"/>
  <c r="L20"/>
  <c r="K20"/>
  <c r="J20"/>
  <c r="L19"/>
  <c r="K19"/>
  <c r="J19"/>
  <c r="L18"/>
  <c r="K18"/>
  <c r="J18"/>
  <c r="L17"/>
  <c r="K17"/>
  <c r="J17"/>
  <c r="L16"/>
  <c r="K16"/>
  <c r="J16"/>
  <c r="L15"/>
  <c r="K15"/>
  <c r="J15"/>
  <c r="L14"/>
  <c r="K14"/>
  <c r="J14"/>
  <c r="L13"/>
  <c r="K13"/>
  <c r="J13"/>
  <c r="L12"/>
  <c r="K12"/>
  <c r="J12"/>
  <c r="L11"/>
  <c r="K11"/>
  <c r="J11"/>
  <c r="L10"/>
  <c r="K10"/>
  <c r="J10"/>
  <c r="L9"/>
  <c r="K9"/>
  <c r="J9"/>
  <c r="L8"/>
  <c r="K8"/>
  <c r="J8"/>
  <c r="L7"/>
  <c r="K7"/>
  <c r="J7"/>
  <c r="L6"/>
  <c r="K6"/>
  <c r="J6"/>
  <c r="L5"/>
  <c r="L120" s="1"/>
  <c r="K5"/>
  <c r="J5"/>
  <c r="K4"/>
  <c r="E12"/>
  <c r="E6"/>
  <c r="D6" l="1"/>
  <c r="D7"/>
  <c r="D8"/>
  <c r="E10" s="1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5"/>
  <c r="C11"/>
  <c r="C13"/>
  <c r="C15"/>
  <c r="C17"/>
  <c r="C19"/>
  <c r="C21"/>
  <c r="C23"/>
  <c r="C25"/>
  <c r="C27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F50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C147"/>
  <c r="B147"/>
  <c r="C146"/>
  <c r="B146"/>
  <c r="C145"/>
  <c r="B145"/>
  <c r="C144"/>
  <c r="B144"/>
  <c r="C143"/>
  <c r="B143"/>
  <c r="C142"/>
  <c r="B142"/>
  <c r="C141"/>
  <c r="B141"/>
  <c r="C140"/>
  <c r="B140"/>
  <c r="C139"/>
  <c r="B139"/>
  <c r="C138"/>
  <c r="B138"/>
  <c r="C137"/>
  <c r="B137"/>
  <c r="C136"/>
  <c r="B136"/>
  <c r="C135"/>
  <c r="B135"/>
  <c r="C134"/>
  <c r="B134"/>
  <c r="C133"/>
  <c r="B133"/>
  <c r="C132"/>
  <c r="B132"/>
  <c r="C131"/>
  <c r="B131"/>
  <c r="C130"/>
  <c r="B130"/>
  <c r="C129"/>
  <c r="B129"/>
  <c r="C128"/>
  <c r="B128"/>
  <c r="C127"/>
  <c r="B127"/>
  <c r="C126"/>
  <c r="B126"/>
  <c r="C125"/>
  <c r="B125"/>
  <c r="C124"/>
  <c r="B124"/>
  <c r="C123"/>
  <c r="B123"/>
  <c r="C122"/>
  <c r="B122"/>
  <c r="C121"/>
  <c r="B121"/>
  <c r="C120"/>
  <c r="B120"/>
  <c r="C119"/>
  <c r="B119"/>
  <c r="C118"/>
  <c r="B118"/>
  <c r="C117"/>
  <c r="B117"/>
  <c r="C116"/>
  <c r="B116"/>
  <c r="C115"/>
  <c r="B115"/>
  <c r="C114"/>
  <c r="B114"/>
  <c r="C113"/>
  <c r="B113"/>
  <c r="C112"/>
  <c r="B112"/>
  <c r="C111"/>
  <c r="B111"/>
  <c r="C110"/>
  <c r="B110"/>
  <c r="C109"/>
  <c r="B109"/>
  <c r="C108"/>
  <c r="B108"/>
  <c r="C107"/>
  <c r="B107"/>
  <c r="C106"/>
  <c r="B106"/>
  <c r="C105"/>
  <c r="B105"/>
  <c r="C104"/>
  <c r="B104"/>
  <c r="C103"/>
  <c r="B103"/>
  <c r="C102"/>
  <c r="B102"/>
  <c r="C101"/>
  <c r="B101"/>
  <c r="C100"/>
  <c r="B100"/>
  <c r="C99"/>
  <c r="B99"/>
  <c r="C98"/>
  <c r="B98"/>
  <c r="C97"/>
  <c r="B97"/>
  <c r="C96"/>
  <c r="B96"/>
  <c r="C95"/>
  <c r="B95"/>
  <c r="C94"/>
  <c r="B94"/>
  <c r="C93"/>
  <c r="B93"/>
  <c r="C92"/>
  <c r="B92"/>
  <c r="C91"/>
  <c r="B91"/>
  <c r="C90"/>
  <c r="B90"/>
  <c r="C89"/>
  <c r="B89"/>
  <c r="C88"/>
  <c r="B88"/>
  <c r="C87"/>
  <c r="B87"/>
  <c r="C86"/>
  <c r="B86"/>
  <c r="C85"/>
  <c r="B85"/>
  <c r="C84"/>
  <c r="B84"/>
  <c r="C83"/>
  <c r="B83"/>
  <c r="C82"/>
  <c r="B82"/>
  <c r="C81"/>
  <c r="B81"/>
  <c r="C80"/>
  <c r="B80"/>
  <c r="C79"/>
  <c r="B79"/>
  <c r="C78"/>
  <c r="B78"/>
  <c r="C77"/>
  <c r="B77"/>
  <c r="C76"/>
  <c r="B76"/>
  <c r="C75"/>
  <c r="B75"/>
  <c r="C74"/>
  <c r="B74"/>
  <c r="C73"/>
  <c r="B73"/>
  <c r="C72"/>
  <c r="B72"/>
  <c r="C71"/>
  <c r="B71"/>
  <c r="C70"/>
  <c r="B70"/>
  <c r="C69"/>
  <c r="B69"/>
  <c r="C68"/>
  <c r="B68"/>
  <c r="C67"/>
  <c r="B67"/>
  <c r="C66"/>
  <c r="B66"/>
  <c r="C65"/>
  <c r="B65"/>
  <c r="C64"/>
  <c r="B64"/>
  <c r="C63"/>
  <c r="B63"/>
  <c r="C62"/>
  <c r="B62"/>
  <c r="C61"/>
  <c r="B61"/>
  <c r="C4"/>
  <c r="I1255" i="7"/>
  <c r="I1256" s="1"/>
  <c r="H1255"/>
  <c r="G1255"/>
  <c r="H1256" s="1"/>
  <c r="F1255"/>
  <c r="E1255"/>
  <c r="D1255"/>
  <c r="C1255"/>
  <c r="C254"/>
  <c r="I253"/>
  <c r="H253"/>
  <c r="G253"/>
  <c r="F253"/>
  <c r="E253"/>
  <c r="D253"/>
  <c r="D254" s="1"/>
  <c r="C253"/>
  <c r="C966" i="6"/>
  <c r="I965"/>
  <c r="H965"/>
  <c r="G965"/>
  <c r="F965"/>
  <c r="E965"/>
  <c r="D965"/>
  <c r="D966" s="1"/>
  <c r="C965"/>
  <c r="I965" i="1"/>
  <c r="H965"/>
  <c r="G965"/>
  <c r="F965"/>
  <c r="E965"/>
  <c r="D965"/>
  <c r="C965"/>
  <c r="I419" i="8"/>
  <c r="H419"/>
  <c r="G419"/>
  <c r="F419"/>
  <c r="E419"/>
  <c r="D419"/>
  <c r="C419"/>
  <c r="I372"/>
  <c r="I373" s="1"/>
  <c r="H372"/>
  <c r="G372"/>
  <c r="H373" s="1"/>
  <c r="F372"/>
  <c r="E372"/>
  <c r="F373" s="1"/>
  <c r="D372"/>
  <c r="C372"/>
  <c r="D373" s="1"/>
  <c r="I336"/>
  <c r="H336"/>
  <c r="G336"/>
  <c r="F336"/>
  <c r="E336"/>
  <c r="D336"/>
  <c r="C336"/>
  <c r="C337" s="1"/>
  <c r="I288"/>
  <c r="I289" s="1"/>
  <c r="H288"/>
  <c r="G288"/>
  <c r="H289" s="1"/>
  <c r="F288"/>
  <c r="E288"/>
  <c r="F289" s="1"/>
  <c r="D288"/>
  <c r="C288"/>
  <c r="D289" s="1"/>
  <c r="I253"/>
  <c r="H253"/>
  <c r="G253"/>
  <c r="F253"/>
  <c r="E253"/>
  <c r="D253"/>
  <c r="C253"/>
  <c r="I210"/>
  <c r="I211" s="1"/>
  <c r="H210"/>
  <c r="G210"/>
  <c r="H211" s="1"/>
  <c r="F210"/>
  <c r="E210"/>
  <c r="F211" s="1"/>
  <c r="D210"/>
  <c r="C210"/>
  <c r="D211" s="1"/>
  <c r="I170"/>
  <c r="H170"/>
  <c r="G170"/>
  <c r="F170"/>
  <c r="E170"/>
  <c r="D170"/>
  <c r="C170"/>
  <c r="I125"/>
  <c r="H125"/>
  <c r="G125"/>
  <c r="F125"/>
  <c r="E125"/>
  <c r="D125"/>
  <c r="C125"/>
  <c r="I87"/>
  <c r="H87"/>
  <c r="G87"/>
  <c r="F87"/>
  <c r="E87"/>
  <c r="D87"/>
  <c r="C87"/>
  <c r="I43"/>
  <c r="H43"/>
  <c r="G43"/>
  <c r="F43"/>
  <c r="E43"/>
  <c r="D43"/>
  <c r="C43"/>
  <c r="C44" s="1"/>
  <c r="I8"/>
  <c r="H8"/>
  <c r="G8"/>
  <c r="F8"/>
  <c r="E8"/>
  <c r="D8"/>
  <c r="C8"/>
  <c r="C9" s="1"/>
  <c r="I1339" i="7"/>
  <c r="H1339"/>
  <c r="H1340" s="1"/>
  <c r="G1339"/>
  <c r="F1339"/>
  <c r="F1340" s="1"/>
  <c r="E1339"/>
  <c r="D1339"/>
  <c r="C1339"/>
  <c r="C1340" s="1"/>
  <c r="N1221"/>
  <c r="I965"/>
  <c r="H965"/>
  <c r="G965"/>
  <c r="F965"/>
  <c r="E965"/>
  <c r="D965"/>
  <c r="C965"/>
  <c r="C966" s="1"/>
  <c r="I754"/>
  <c r="H754"/>
  <c r="G754"/>
  <c r="F754"/>
  <c r="E754"/>
  <c r="D754"/>
  <c r="C754"/>
  <c r="C755" s="1"/>
  <c r="I1423"/>
  <c r="H1423"/>
  <c r="G1423"/>
  <c r="F1423"/>
  <c r="E1423"/>
  <c r="D1423"/>
  <c r="C1423"/>
  <c r="C1424" s="1"/>
  <c r="I1380"/>
  <c r="I1381" s="1"/>
  <c r="H1380"/>
  <c r="G1380"/>
  <c r="H1381" s="1"/>
  <c r="F1380"/>
  <c r="E1380"/>
  <c r="F1381" s="1"/>
  <c r="D1380"/>
  <c r="C1380"/>
  <c r="D1381" s="1"/>
  <c r="I1302"/>
  <c r="H1302"/>
  <c r="G1302"/>
  <c r="F1302"/>
  <c r="E1302"/>
  <c r="D1302"/>
  <c r="C1302"/>
  <c r="I1220"/>
  <c r="H1220"/>
  <c r="G1220"/>
  <c r="F1220"/>
  <c r="E1220"/>
  <c r="F1221" s="1"/>
  <c r="D1220"/>
  <c r="C1220"/>
  <c r="D1221" s="1"/>
  <c r="I1172"/>
  <c r="H1172"/>
  <c r="G1172"/>
  <c r="F1172"/>
  <c r="E1172"/>
  <c r="D1172"/>
  <c r="C1172"/>
  <c r="I1131"/>
  <c r="I1132" s="1"/>
  <c r="H1131"/>
  <c r="G1131"/>
  <c r="H1132" s="1"/>
  <c r="F1131"/>
  <c r="E1131"/>
  <c r="F1132" s="1"/>
  <c r="D1131"/>
  <c r="C1131"/>
  <c r="D1132" s="1"/>
  <c r="I1088"/>
  <c r="H1088"/>
  <c r="G1088"/>
  <c r="F1088"/>
  <c r="E1088"/>
  <c r="D1088"/>
  <c r="C1088"/>
  <c r="C1089" s="1"/>
  <c r="I1049"/>
  <c r="I1050" s="1"/>
  <c r="H1049"/>
  <c r="G1049"/>
  <c r="H1050" s="1"/>
  <c r="F1049"/>
  <c r="E1049"/>
  <c r="F1050" s="1"/>
  <c r="D1049"/>
  <c r="C1049"/>
  <c r="D1050" s="1"/>
  <c r="I1004"/>
  <c r="H1004"/>
  <c r="G1004"/>
  <c r="F1004"/>
  <c r="E1004"/>
  <c r="D1004"/>
  <c r="C1004"/>
  <c r="I921"/>
  <c r="I922" s="1"/>
  <c r="H921"/>
  <c r="G921"/>
  <c r="H922" s="1"/>
  <c r="F921"/>
  <c r="E921"/>
  <c r="F922" s="1"/>
  <c r="D921"/>
  <c r="C921"/>
  <c r="D922" s="1"/>
  <c r="I884"/>
  <c r="H884"/>
  <c r="G884"/>
  <c r="F884"/>
  <c r="E884"/>
  <c r="D884"/>
  <c r="C884"/>
  <c r="I837"/>
  <c r="I838" s="1"/>
  <c r="H837"/>
  <c r="G837"/>
  <c r="H838" s="1"/>
  <c r="F837"/>
  <c r="E837"/>
  <c r="F838" s="1"/>
  <c r="D837"/>
  <c r="C837"/>
  <c r="D838" s="1"/>
  <c r="I802"/>
  <c r="H802"/>
  <c r="G802"/>
  <c r="F802"/>
  <c r="E802"/>
  <c r="D802"/>
  <c r="C802"/>
  <c r="I713"/>
  <c r="I714" s="1"/>
  <c r="H713"/>
  <c r="G713"/>
  <c r="H714" s="1"/>
  <c r="F713"/>
  <c r="E713"/>
  <c r="F714" s="1"/>
  <c r="D713"/>
  <c r="C713"/>
  <c r="D714" s="1"/>
  <c r="I670"/>
  <c r="H670"/>
  <c r="G670"/>
  <c r="F670"/>
  <c r="E670"/>
  <c r="D670"/>
  <c r="C670"/>
  <c r="I631"/>
  <c r="H631"/>
  <c r="G631"/>
  <c r="F631"/>
  <c r="E631"/>
  <c r="F632" s="1"/>
  <c r="D631"/>
  <c r="C631"/>
  <c r="D632" s="1"/>
  <c r="I586"/>
  <c r="H586"/>
  <c r="G586"/>
  <c r="F586"/>
  <c r="E586"/>
  <c r="D586"/>
  <c r="C586"/>
  <c r="I547"/>
  <c r="I548" s="1"/>
  <c r="H547"/>
  <c r="G547"/>
  <c r="G548" s="1"/>
  <c r="F547"/>
  <c r="E547"/>
  <c r="E548" s="1"/>
  <c r="D547"/>
  <c r="C547"/>
  <c r="C548" s="1"/>
  <c r="I503"/>
  <c r="H503"/>
  <c r="G503"/>
  <c r="F503"/>
  <c r="E503"/>
  <c r="D503"/>
  <c r="C503"/>
  <c r="I468"/>
  <c r="I469" s="1"/>
  <c r="H468"/>
  <c r="G468"/>
  <c r="H469" s="1"/>
  <c r="F468"/>
  <c r="E468"/>
  <c r="F469" s="1"/>
  <c r="D468"/>
  <c r="C468"/>
  <c r="D469" s="1"/>
  <c r="I419"/>
  <c r="H419"/>
  <c r="G419"/>
  <c r="F419"/>
  <c r="E419"/>
  <c r="D419"/>
  <c r="C419"/>
  <c r="I372"/>
  <c r="I373" s="1"/>
  <c r="H372"/>
  <c r="G372"/>
  <c r="H373" s="1"/>
  <c r="F372"/>
  <c r="E372"/>
  <c r="F373" s="1"/>
  <c r="D372"/>
  <c r="C372"/>
  <c r="D373" s="1"/>
  <c r="I336"/>
  <c r="H336"/>
  <c r="G336"/>
  <c r="F336"/>
  <c r="E336"/>
  <c r="D336"/>
  <c r="C336"/>
  <c r="I288"/>
  <c r="H288"/>
  <c r="G288"/>
  <c r="F288"/>
  <c r="E288"/>
  <c r="D288"/>
  <c r="C288"/>
  <c r="I210"/>
  <c r="H210"/>
  <c r="G210"/>
  <c r="F210"/>
  <c r="E210"/>
  <c r="D210"/>
  <c r="C210"/>
  <c r="I170"/>
  <c r="H170"/>
  <c r="G170"/>
  <c r="F170"/>
  <c r="E170"/>
  <c r="D170"/>
  <c r="C170"/>
  <c r="I125"/>
  <c r="I126" s="1"/>
  <c r="H125"/>
  <c r="G125"/>
  <c r="H126" s="1"/>
  <c r="F125"/>
  <c r="E125"/>
  <c r="F126" s="1"/>
  <c r="D125"/>
  <c r="C125"/>
  <c r="D126" s="1"/>
  <c r="I87"/>
  <c r="H87"/>
  <c r="G87"/>
  <c r="F87"/>
  <c r="E87"/>
  <c r="D87"/>
  <c r="C87"/>
  <c r="I43"/>
  <c r="I44" s="1"/>
  <c r="H43"/>
  <c r="G43"/>
  <c r="H44" s="1"/>
  <c r="F43"/>
  <c r="E43"/>
  <c r="F44" s="1"/>
  <c r="D43"/>
  <c r="C43"/>
  <c r="D44" s="1"/>
  <c r="I8"/>
  <c r="H8"/>
  <c r="G8"/>
  <c r="F8"/>
  <c r="E8"/>
  <c r="D8"/>
  <c r="C8"/>
  <c r="C1172" i="6"/>
  <c r="D1172"/>
  <c r="E1173" s="1"/>
  <c r="E1172"/>
  <c r="F1172"/>
  <c r="G1173" s="1"/>
  <c r="G1172"/>
  <c r="H1172"/>
  <c r="H1173" s="1"/>
  <c r="C1173"/>
  <c r="D1173"/>
  <c r="I1423"/>
  <c r="H1423"/>
  <c r="G1423"/>
  <c r="F1423"/>
  <c r="E1423"/>
  <c r="D1423"/>
  <c r="C1423"/>
  <c r="I1380"/>
  <c r="I1381" s="1"/>
  <c r="H1380"/>
  <c r="G1380"/>
  <c r="H1381" s="1"/>
  <c r="F1380"/>
  <c r="E1380"/>
  <c r="F1381" s="1"/>
  <c r="D1380"/>
  <c r="C1380"/>
  <c r="D1381" s="1"/>
  <c r="I1339"/>
  <c r="H1339"/>
  <c r="G1339"/>
  <c r="F1339"/>
  <c r="E1339"/>
  <c r="D1339"/>
  <c r="C1339"/>
  <c r="I1302"/>
  <c r="H1302"/>
  <c r="G1302"/>
  <c r="G1303" s="1"/>
  <c r="F1302"/>
  <c r="E1302"/>
  <c r="E1303" s="1"/>
  <c r="D1302"/>
  <c r="C1302"/>
  <c r="C1303" s="1"/>
  <c r="I1255"/>
  <c r="H1255"/>
  <c r="G1255"/>
  <c r="F1255"/>
  <c r="E1255"/>
  <c r="D1255"/>
  <c r="C1255"/>
  <c r="C1256" s="1"/>
  <c r="I1220"/>
  <c r="I1221" s="1"/>
  <c r="H1220"/>
  <c r="G1220"/>
  <c r="H1221" s="1"/>
  <c r="F1220"/>
  <c r="E1220"/>
  <c r="F1221" s="1"/>
  <c r="D1220"/>
  <c r="C1220"/>
  <c r="D1221" s="1"/>
  <c r="I1172"/>
  <c r="I1131"/>
  <c r="H1131"/>
  <c r="G1131"/>
  <c r="F1131"/>
  <c r="E1131"/>
  <c r="D1131"/>
  <c r="C1131"/>
  <c r="C1132" s="1"/>
  <c r="I1088"/>
  <c r="I1089" s="1"/>
  <c r="H1088"/>
  <c r="G1088"/>
  <c r="G1089" s="1"/>
  <c r="F1088"/>
  <c r="E1088"/>
  <c r="E1089" s="1"/>
  <c r="D1088"/>
  <c r="C1088"/>
  <c r="C1089" s="1"/>
  <c r="I1049"/>
  <c r="H1049"/>
  <c r="G1049"/>
  <c r="F1049"/>
  <c r="E1049"/>
  <c r="D1049"/>
  <c r="C1049"/>
  <c r="I1004"/>
  <c r="I1005" s="1"/>
  <c r="H1004"/>
  <c r="G1004"/>
  <c r="H1005" s="1"/>
  <c r="F1004"/>
  <c r="E1004"/>
  <c r="F1005" s="1"/>
  <c r="D1004"/>
  <c r="C1004"/>
  <c r="D1005" s="1"/>
  <c r="I921"/>
  <c r="I922" s="1"/>
  <c r="H921"/>
  <c r="G921"/>
  <c r="G922" s="1"/>
  <c r="F921"/>
  <c r="E921"/>
  <c r="D921"/>
  <c r="C921"/>
  <c r="C922" s="1"/>
  <c r="I884"/>
  <c r="H884"/>
  <c r="G884"/>
  <c r="F884"/>
  <c r="E884"/>
  <c r="D884"/>
  <c r="C884"/>
  <c r="I837"/>
  <c r="I838" s="1"/>
  <c r="H837"/>
  <c r="G837"/>
  <c r="H838" s="1"/>
  <c r="F837"/>
  <c r="E837"/>
  <c r="F838" s="1"/>
  <c r="D837"/>
  <c r="C837"/>
  <c r="D838" s="1"/>
  <c r="I802"/>
  <c r="H802"/>
  <c r="G802"/>
  <c r="F802"/>
  <c r="E802"/>
  <c r="D802"/>
  <c r="C802"/>
  <c r="I754"/>
  <c r="I755" s="1"/>
  <c r="H754"/>
  <c r="G754"/>
  <c r="H755" s="1"/>
  <c r="F754"/>
  <c r="E754"/>
  <c r="F755" s="1"/>
  <c r="D754"/>
  <c r="C754"/>
  <c r="D755" s="1"/>
  <c r="I713"/>
  <c r="H713"/>
  <c r="G713"/>
  <c r="F713"/>
  <c r="E713"/>
  <c r="D713"/>
  <c r="C713"/>
  <c r="I670"/>
  <c r="I671" s="1"/>
  <c r="H670"/>
  <c r="G670"/>
  <c r="H671" s="1"/>
  <c r="F670"/>
  <c r="E670"/>
  <c r="F671" s="1"/>
  <c r="D670"/>
  <c r="C670"/>
  <c r="D671" s="1"/>
  <c r="I631"/>
  <c r="H631"/>
  <c r="G631"/>
  <c r="F631"/>
  <c r="E631"/>
  <c r="D631"/>
  <c r="C631"/>
  <c r="I586"/>
  <c r="I587" s="1"/>
  <c r="H586"/>
  <c r="G586"/>
  <c r="H587" s="1"/>
  <c r="F586"/>
  <c r="E586"/>
  <c r="F587" s="1"/>
  <c r="D586"/>
  <c r="C586"/>
  <c r="D587" s="1"/>
  <c r="I547"/>
  <c r="H547"/>
  <c r="G547"/>
  <c r="F547"/>
  <c r="E547"/>
  <c r="D547"/>
  <c r="C547"/>
  <c r="I503"/>
  <c r="I504" s="1"/>
  <c r="H503"/>
  <c r="G503"/>
  <c r="H504" s="1"/>
  <c r="F503"/>
  <c r="E503"/>
  <c r="F504" s="1"/>
  <c r="D503"/>
  <c r="C503"/>
  <c r="D504" s="1"/>
  <c r="I468"/>
  <c r="H468"/>
  <c r="G468"/>
  <c r="F468"/>
  <c r="E468"/>
  <c r="D468"/>
  <c r="C468"/>
  <c r="C469" s="1"/>
  <c r="I419"/>
  <c r="H419"/>
  <c r="G419"/>
  <c r="F419"/>
  <c r="E419"/>
  <c r="D419"/>
  <c r="C419"/>
  <c r="I372"/>
  <c r="H372"/>
  <c r="G372"/>
  <c r="F372"/>
  <c r="F373" s="1"/>
  <c r="E372"/>
  <c r="D372"/>
  <c r="C372"/>
  <c r="I336"/>
  <c r="H336"/>
  <c r="G336"/>
  <c r="F336"/>
  <c r="F337" s="1"/>
  <c r="E336"/>
  <c r="D336"/>
  <c r="C336"/>
  <c r="I288"/>
  <c r="H288"/>
  <c r="G288"/>
  <c r="F288"/>
  <c r="E288"/>
  <c r="D288"/>
  <c r="C288"/>
  <c r="I253"/>
  <c r="I254" s="1"/>
  <c r="H253"/>
  <c r="G253"/>
  <c r="H254" s="1"/>
  <c r="F253"/>
  <c r="E253"/>
  <c r="F254" s="1"/>
  <c r="D253"/>
  <c r="C253"/>
  <c r="D254" s="1"/>
  <c r="G210"/>
  <c r="F210"/>
  <c r="E210"/>
  <c r="D210"/>
  <c r="C210"/>
  <c r="I170"/>
  <c r="I171" s="1"/>
  <c r="H170"/>
  <c r="G170"/>
  <c r="H171" s="1"/>
  <c r="F170"/>
  <c r="E170"/>
  <c r="F171" s="1"/>
  <c r="D170"/>
  <c r="C170"/>
  <c r="D171" s="1"/>
  <c r="I125"/>
  <c r="H125"/>
  <c r="G125"/>
  <c r="F125"/>
  <c r="E125"/>
  <c r="D125"/>
  <c r="C125"/>
  <c r="I87"/>
  <c r="H87"/>
  <c r="G87"/>
  <c r="F87"/>
  <c r="E87"/>
  <c r="D87"/>
  <c r="C87"/>
  <c r="C88" s="1"/>
  <c r="I43"/>
  <c r="H43"/>
  <c r="G43"/>
  <c r="F43"/>
  <c r="E43"/>
  <c r="D43"/>
  <c r="C43"/>
  <c r="C44" s="1"/>
  <c r="I8"/>
  <c r="H8"/>
  <c r="G8"/>
  <c r="F8"/>
  <c r="E8"/>
  <c r="F9" s="1"/>
  <c r="D8"/>
  <c r="C8"/>
  <c r="D9" s="1"/>
  <c r="E1220" i="1"/>
  <c r="F1220"/>
  <c r="G1220"/>
  <c r="H1220"/>
  <c r="H1221" s="1"/>
  <c r="I1220"/>
  <c r="G1221"/>
  <c r="I1221"/>
  <c r="D1172"/>
  <c r="I1088"/>
  <c r="J1088"/>
  <c r="J1089" s="1"/>
  <c r="H1088"/>
  <c r="G1088"/>
  <c r="F1088"/>
  <c r="E1088"/>
  <c r="D1088"/>
  <c r="C1088"/>
  <c r="C1089" s="1"/>
  <c r="J837"/>
  <c r="I837"/>
  <c r="H837"/>
  <c r="G837"/>
  <c r="F837"/>
  <c r="E837"/>
  <c r="D837"/>
  <c r="C837"/>
  <c r="C838" s="1"/>
  <c r="E713"/>
  <c r="F714" s="1"/>
  <c r="F713"/>
  <c r="G713"/>
  <c r="H713"/>
  <c r="E714"/>
  <c r="H714"/>
  <c r="D713"/>
  <c r="D670"/>
  <c r="C336"/>
  <c r="D336"/>
  <c r="E336"/>
  <c r="F337" s="1"/>
  <c r="F336"/>
  <c r="C337"/>
  <c r="E337"/>
  <c r="L336"/>
  <c r="L337"/>
  <c r="K336"/>
  <c r="J336"/>
  <c r="I336"/>
  <c r="H336"/>
  <c r="G336"/>
  <c r="N254"/>
  <c r="D253"/>
  <c r="E253"/>
  <c r="F253"/>
  <c r="G253"/>
  <c r="H253"/>
  <c r="H254" s="1"/>
  <c r="I253"/>
  <c r="J253"/>
  <c r="J254" s="1"/>
  <c r="K253"/>
  <c r="G254"/>
  <c r="I254"/>
  <c r="K254"/>
  <c r="C253"/>
  <c r="C254"/>
  <c r="I1423"/>
  <c r="H1423"/>
  <c r="G1423"/>
  <c r="F1423"/>
  <c r="E1423"/>
  <c r="D1423"/>
  <c r="C1423"/>
  <c r="I1380"/>
  <c r="H1380"/>
  <c r="G1380"/>
  <c r="H1381" s="1"/>
  <c r="F1380"/>
  <c r="E1380"/>
  <c r="F1381" s="1"/>
  <c r="D1380"/>
  <c r="C1380"/>
  <c r="D1381" s="1"/>
  <c r="I1339"/>
  <c r="H1339"/>
  <c r="G1339"/>
  <c r="F1339"/>
  <c r="E1339"/>
  <c r="D1339"/>
  <c r="C1339"/>
  <c r="I1302"/>
  <c r="H1302"/>
  <c r="G1302"/>
  <c r="H1303" s="1"/>
  <c r="F1302"/>
  <c r="E1302"/>
  <c r="F1303" s="1"/>
  <c r="D1302"/>
  <c r="C1302"/>
  <c r="D1303" s="1"/>
  <c r="I1255"/>
  <c r="H1255"/>
  <c r="G1255"/>
  <c r="F1255"/>
  <c r="E1255"/>
  <c r="F1256" s="1"/>
  <c r="D1255"/>
  <c r="C1255"/>
  <c r="D1256" s="1"/>
  <c r="D1220"/>
  <c r="C1220"/>
  <c r="D1221" s="1"/>
  <c r="I1172"/>
  <c r="H1172"/>
  <c r="G1172"/>
  <c r="H1173" s="1"/>
  <c r="F1172"/>
  <c r="E1172"/>
  <c r="F1173" s="1"/>
  <c r="C1172"/>
  <c r="D1173" s="1"/>
  <c r="K1131"/>
  <c r="J1131"/>
  <c r="I1131"/>
  <c r="H1131"/>
  <c r="G1131"/>
  <c r="F1131"/>
  <c r="E1131"/>
  <c r="D1131"/>
  <c r="C1131"/>
  <c r="C1132" s="1"/>
  <c r="H1049"/>
  <c r="G1049"/>
  <c r="F1049"/>
  <c r="E1049"/>
  <c r="D1049"/>
  <c r="C1049"/>
  <c r="I1004"/>
  <c r="H1004"/>
  <c r="G1004"/>
  <c r="H1005" s="1"/>
  <c r="F1004"/>
  <c r="E1004"/>
  <c r="F1005" s="1"/>
  <c r="D1004"/>
  <c r="C1004"/>
  <c r="I921"/>
  <c r="H921"/>
  <c r="G921"/>
  <c r="F921"/>
  <c r="E921"/>
  <c r="D921"/>
  <c r="C921"/>
  <c r="I884"/>
  <c r="H884"/>
  <c r="G884"/>
  <c r="H885" s="1"/>
  <c r="F884"/>
  <c r="E884"/>
  <c r="F885" s="1"/>
  <c r="D884"/>
  <c r="C884"/>
  <c r="K802"/>
  <c r="K803" s="1"/>
  <c r="J802"/>
  <c r="I802"/>
  <c r="J803" s="1"/>
  <c r="H802"/>
  <c r="G802"/>
  <c r="F802"/>
  <c r="E802"/>
  <c r="D802"/>
  <c r="C802"/>
  <c r="J754"/>
  <c r="I754"/>
  <c r="J755" s="1"/>
  <c r="H754"/>
  <c r="G754"/>
  <c r="F754"/>
  <c r="E754"/>
  <c r="D754"/>
  <c r="C754"/>
  <c r="C713"/>
  <c r="C714" s="1"/>
  <c r="H670"/>
  <c r="G670"/>
  <c r="F670"/>
  <c r="E670"/>
  <c r="C670"/>
  <c r="K631"/>
  <c r="J631"/>
  <c r="I631"/>
  <c r="H631"/>
  <c r="G631"/>
  <c r="F631"/>
  <c r="E631"/>
  <c r="D631"/>
  <c r="C631"/>
  <c r="C632" s="1"/>
  <c r="I586"/>
  <c r="H586"/>
  <c r="G586"/>
  <c r="H587" s="1"/>
  <c r="F586"/>
  <c r="E586"/>
  <c r="F587" s="1"/>
  <c r="C586"/>
  <c r="J547"/>
  <c r="I547"/>
  <c r="H547"/>
  <c r="G547"/>
  <c r="F547"/>
  <c r="E547"/>
  <c r="D547"/>
  <c r="C547"/>
  <c r="J503"/>
  <c r="I503"/>
  <c r="H503"/>
  <c r="G503"/>
  <c r="F503"/>
  <c r="E503"/>
  <c r="D503"/>
  <c r="C503"/>
  <c r="C504" s="1"/>
  <c r="J468"/>
  <c r="I468"/>
  <c r="H468"/>
  <c r="G468"/>
  <c r="F468"/>
  <c r="E468"/>
  <c r="D468"/>
  <c r="C468"/>
  <c r="K419"/>
  <c r="K420" s="1"/>
  <c r="J419"/>
  <c r="I419"/>
  <c r="J420" s="1"/>
  <c r="H419"/>
  <c r="G419"/>
  <c r="H420" s="1"/>
  <c r="F419"/>
  <c r="E419"/>
  <c r="F420" s="1"/>
  <c r="D419"/>
  <c r="C419"/>
  <c r="C420" s="1"/>
  <c r="J372"/>
  <c r="I372"/>
  <c r="I373" s="1"/>
  <c r="H372"/>
  <c r="G372"/>
  <c r="H373" s="1"/>
  <c r="F372"/>
  <c r="E372"/>
  <c r="E373" s="1"/>
  <c r="D372"/>
  <c r="C372"/>
  <c r="D373" s="1"/>
  <c r="J288"/>
  <c r="I288"/>
  <c r="H288"/>
  <c r="G288"/>
  <c r="F288"/>
  <c r="E288"/>
  <c r="D288"/>
  <c r="C288"/>
  <c r="C289" s="1"/>
  <c r="K210"/>
  <c r="J210"/>
  <c r="I210"/>
  <c r="H210"/>
  <c r="G210"/>
  <c r="F210"/>
  <c r="E210"/>
  <c r="D210"/>
  <c r="C210"/>
  <c r="C211" s="1"/>
  <c r="K170"/>
  <c r="K171"/>
  <c r="J170"/>
  <c r="I170"/>
  <c r="I171" s="1"/>
  <c r="H170"/>
  <c r="G170"/>
  <c r="G171" s="1"/>
  <c r="F170"/>
  <c r="E170"/>
  <c r="E171" s="1"/>
  <c r="D170"/>
  <c r="C170"/>
  <c r="C171" s="1"/>
  <c r="E125"/>
  <c r="F125"/>
  <c r="G126" s="1"/>
  <c r="G125"/>
  <c r="H125"/>
  <c r="I126" s="1"/>
  <c r="I125"/>
  <c r="J125"/>
  <c r="E126"/>
  <c r="F126"/>
  <c r="J126"/>
  <c r="D126"/>
  <c r="D125"/>
  <c r="C125"/>
  <c r="C126" s="1"/>
  <c r="I87"/>
  <c r="J87"/>
  <c r="J88" s="1"/>
  <c r="K87"/>
  <c r="I88"/>
  <c r="K88"/>
  <c r="N44"/>
  <c r="I42"/>
  <c r="H42"/>
  <c r="G42"/>
  <c r="F42"/>
  <c r="E42"/>
  <c r="D42"/>
  <c r="C42"/>
  <c r="C43" s="1"/>
  <c r="H87"/>
  <c r="G87"/>
  <c r="F87"/>
  <c r="E87"/>
  <c r="D87"/>
  <c r="C87"/>
  <c r="C88" s="1"/>
  <c r="F9"/>
  <c r="F10" s="1"/>
  <c r="G9"/>
  <c r="H9"/>
  <c r="H10" s="1"/>
  <c r="G10"/>
  <c r="E9"/>
  <c r="I9"/>
  <c r="D9"/>
  <c r="C9"/>
  <c r="C10" s="1"/>
  <c r="E6" i="10"/>
  <c r="D19"/>
  <c r="E8"/>
  <c r="E9"/>
  <c r="E10"/>
  <c r="E11"/>
  <c r="E12"/>
  <c r="E13"/>
  <c r="E14"/>
  <c r="E15"/>
  <c r="E20" s="1"/>
  <c r="E16"/>
  <c r="E17"/>
  <c r="E18"/>
  <c r="E19"/>
  <c r="C13"/>
  <c r="C12"/>
  <c r="C11"/>
  <c r="C10"/>
  <c r="C9"/>
  <c r="C8"/>
  <c r="C7"/>
  <c r="C6"/>
  <c r="C5"/>
  <c r="C19"/>
  <c r="C18"/>
  <c r="C17"/>
  <c r="C16"/>
  <c r="C15"/>
  <c r="C14"/>
  <c r="M408" i="9"/>
  <c r="L408"/>
  <c r="K408"/>
  <c r="J408"/>
  <c r="I408"/>
  <c r="H408"/>
  <c r="G408"/>
  <c r="F408"/>
  <c r="E408"/>
  <c r="D408"/>
  <c r="C408"/>
  <c r="C409" s="1"/>
  <c r="M383"/>
  <c r="L383"/>
  <c r="L384" s="1"/>
  <c r="K383"/>
  <c r="J383"/>
  <c r="J384" s="1"/>
  <c r="I383"/>
  <c r="H383"/>
  <c r="H384" s="1"/>
  <c r="G383"/>
  <c r="F383"/>
  <c r="E383"/>
  <c r="D383"/>
  <c r="C383"/>
  <c r="C384" s="1"/>
  <c r="M348"/>
  <c r="M349"/>
  <c r="L348"/>
  <c r="K348"/>
  <c r="K349" s="1"/>
  <c r="J348"/>
  <c r="I348"/>
  <c r="I349" s="1"/>
  <c r="H348"/>
  <c r="G348"/>
  <c r="G349" s="1"/>
  <c r="F348"/>
  <c r="E348"/>
  <c r="E349" s="1"/>
  <c r="D348"/>
  <c r="C348"/>
  <c r="C349" s="1"/>
  <c r="M288"/>
  <c r="L288"/>
  <c r="K288"/>
  <c r="J288"/>
  <c r="I288"/>
  <c r="H288"/>
  <c r="G288"/>
  <c r="F288"/>
  <c r="E288"/>
  <c r="D288"/>
  <c r="C288"/>
  <c r="C289" s="1"/>
  <c r="M263"/>
  <c r="L263"/>
  <c r="K263"/>
  <c r="J263"/>
  <c r="J264" s="1"/>
  <c r="I263"/>
  <c r="H263"/>
  <c r="H264" s="1"/>
  <c r="G263"/>
  <c r="F263"/>
  <c r="F264" s="1"/>
  <c r="E263"/>
  <c r="D263"/>
  <c r="C263"/>
  <c r="C264" s="1"/>
  <c r="O228"/>
  <c r="M227"/>
  <c r="M228"/>
  <c r="L227"/>
  <c r="K227"/>
  <c r="K228" s="1"/>
  <c r="J227"/>
  <c r="I227"/>
  <c r="I228" s="1"/>
  <c r="H227"/>
  <c r="G227"/>
  <c r="G228" s="1"/>
  <c r="F227"/>
  <c r="E227"/>
  <c r="E228" s="1"/>
  <c r="D227"/>
  <c r="C227"/>
  <c r="C228" s="1"/>
  <c r="L202"/>
  <c r="K202"/>
  <c r="L203" s="1"/>
  <c r="J202"/>
  <c r="I202"/>
  <c r="I203" s="1"/>
  <c r="H202"/>
  <c r="G202"/>
  <c r="H203" s="1"/>
  <c r="F202"/>
  <c r="E202"/>
  <c r="E203" s="1"/>
  <c r="D202"/>
  <c r="C202"/>
  <c r="C203" s="1"/>
  <c r="O177"/>
  <c r="O178"/>
  <c r="N176"/>
  <c r="M176"/>
  <c r="M177" s="1"/>
  <c r="L176"/>
  <c r="K176"/>
  <c r="K177" s="1"/>
  <c r="J176"/>
  <c r="I176"/>
  <c r="I177" s="1"/>
  <c r="H176"/>
  <c r="G176"/>
  <c r="G177" s="1"/>
  <c r="F176"/>
  <c r="E176"/>
  <c r="D176"/>
  <c r="D177" s="1"/>
  <c r="M140"/>
  <c r="L140"/>
  <c r="K140"/>
  <c r="J140"/>
  <c r="I140"/>
  <c r="H140"/>
  <c r="G140"/>
  <c r="F140"/>
  <c r="E140"/>
  <c r="D140"/>
  <c r="C140"/>
  <c r="C141" s="1"/>
  <c r="M115"/>
  <c r="L115"/>
  <c r="K115"/>
  <c r="J115"/>
  <c r="I115"/>
  <c r="H115"/>
  <c r="G115"/>
  <c r="F115"/>
  <c r="E115"/>
  <c r="D115"/>
  <c r="C115"/>
  <c r="C116" s="1"/>
  <c r="M89"/>
  <c r="L89"/>
  <c r="K89"/>
  <c r="J89"/>
  <c r="I89"/>
  <c r="H89"/>
  <c r="G89"/>
  <c r="F89"/>
  <c r="E89"/>
  <c r="E90" s="1"/>
  <c r="D89"/>
  <c r="C89"/>
  <c r="C90" s="1"/>
  <c r="M55"/>
  <c r="L55"/>
  <c r="K55"/>
  <c r="J55"/>
  <c r="I55"/>
  <c r="H55"/>
  <c r="G55"/>
  <c r="F55"/>
  <c r="E55"/>
  <c r="D55"/>
  <c r="C55"/>
  <c r="C56" s="1"/>
  <c r="M32"/>
  <c r="L32"/>
  <c r="L33" s="1"/>
  <c r="K32"/>
  <c r="J32"/>
  <c r="J33" s="1"/>
  <c r="I32"/>
  <c r="H32"/>
  <c r="H33" s="1"/>
  <c r="G32"/>
  <c r="F32"/>
  <c r="F33" s="1"/>
  <c r="E32"/>
  <c r="D32"/>
  <c r="C32"/>
  <c r="C33" s="1"/>
  <c r="M7"/>
  <c r="C7"/>
  <c r="C8"/>
  <c r="L311"/>
  <c r="K311"/>
  <c r="J311"/>
  <c r="I311"/>
  <c r="H311"/>
  <c r="G311"/>
  <c r="F311"/>
  <c r="E311"/>
  <c r="D311"/>
  <c r="C311"/>
  <c r="C312" s="1"/>
  <c r="B19" i="10"/>
  <c r="B18"/>
  <c r="B17"/>
  <c r="B16"/>
  <c r="B15"/>
  <c r="B14"/>
  <c r="B13"/>
  <c r="B12"/>
  <c r="B11"/>
  <c r="B10"/>
  <c r="B9"/>
  <c r="B8"/>
  <c r="B7"/>
  <c r="B6"/>
  <c r="L7" i="9"/>
  <c r="M8" s="1"/>
  <c r="K7"/>
  <c r="J7"/>
  <c r="I7"/>
  <c r="H7"/>
  <c r="G7"/>
  <c r="F7"/>
  <c r="E7"/>
  <c r="D7"/>
  <c r="D148" i="11" l="1"/>
  <c r="F1256" i="7"/>
  <c r="D1256"/>
  <c r="C1256"/>
  <c r="E1256"/>
  <c r="G1256"/>
  <c r="F254"/>
  <c r="H254"/>
  <c r="E254"/>
  <c r="G254"/>
  <c r="I254"/>
  <c r="F966" i="6"/>
  <c r="H966"/>
  <c r="E966"/>
  <c r="G966"/>
  <c r="I966"/>
  <c r="H1256" i="1"/>
  <c r="E1221"/>
  <c r="F1221"/>
  <c r="G1089"/>
  <c r="D1005"/>
  <c r="F966"/>
  <c r="H966"/>
  <c r="I966"/>
  <c r="D966"/>
  <c r="C966"/>
  <c r="E966"/>
  <c r="G966"/>
  <c r="F803"/>
  <c r="H803"/>
  <c r="F755"/>
  <c r="H755"/>
  <c r="D755"/>
  <c r="G714"/>
  <c r="F420" i="8"/>
  <c r="H420"/>
  <c r="I420"/>
  <c r="D420"/>
  <c r="G337"/>
  <c r="I337"/>
  <c r="E337"/>
  <c r="F254"/>
  <c r="H254"/>
  <c r="I254"/>
  <c r="D254"/>
  <c r="F171"/>
  <c r="H171"/>
  <c r="I171"/>
  <c r="D171"/>
  <c r="D126"/>
  <c r="F126"/>
  <c r="H126"/>
  <c r="I126"/>
  <c r="H88"/>
  <c r="I88"/>
  <c r="F88"/>
  <c r="D88"/>
  <c r="D44"/>
  <c r="F44"/>
  <c r="H44"/>
  <c r="F9"/>
  <c r="H9"/>
  <c r="D9"/>
  <c r="C420"/>
  <c r="E420"/>
  <c r="G420"/>
  <c r="C373"/>
  <c r="E373"/>
  <c r="G373"/>
  <c r="D337"/>
  <c r="F337"/>
  <c r="H337"/>
  <c r="C289"/>
  <c r="E289"/>
  <c r="G289"/>
  <c r="C254"/>
  <c r="E254"/>
  <c r="G254"/>
  <c r="C211"/>
  <c r="E211"/>
  <c r="G211"/>
  <c r="C171"/>
  <c r="E171"/>
  <c r="G171"/>
  <c r="C126"/>
  <c r="E126"/>
  <c r="G126"/>
  <c r="C88"/>
  <c r="E88"/>
  <c r="G88"/>
  <c r="E44"/>
  <c r="G44"/>
  <c r="I44"/>
  <c r="E9"/>
  <c r="G9"/>
  <c r="I9"/>
  <c r="G1424" i="7"/>
  <c r="I1424"/>
  <c r="E1424"/>
  <c r="D1340"/>
  <c r="E1340"/>
  <c r="G1340"/>
  <c r="I1340"/>
  <c r="F1303"/>
  <c r="H1303"/>
  <c r="I1303"/>
  <c r="D1303"/>
  <c r="H1221"/>
  <c r="I1221"/>
  <c r="F1173"/>
  <c r="H1173"/>
  <c r="I1173"/>
  <c r="D1173"/>
  <c r="G1089"/>
  <c r="I1089"/>
  <c r="E1089"/>
  <c r="F1005"/>
  <c r="H1005"/>
  <c r="I1005"/>
  <c r="D1005"/>
  <c r="D966"/>
  <c r="H966"/>
  <c r="F966"/>
  <c r="E966"/>
  <c r="G966"/>
  <c r="I966"/>
  <c r="F885"/>
  <c r="H885"/>
  <c r="I885"/>
  <c r="D885"/>
  <c r="F803"/>
  <c r="H803"/>
  <c r="I803"/>
  <c r="D803"/>
  <c r="G755"/>
  <c r="I755"/>
  <c r="E755"/>
  <c r="D755"/>
  <c r="F755"/>
  <c r="H755"/>
  <c r="F671"/>
  <c r="H671"/>
  <c r="I671"/>
  <c r="D671"/>
  <c r="H632"/>
  <c r="I632"/>
  <c r="F587"/>
  <c r="H587"/>
  <c r="I587"/>
  <c r="D587"/>
  <c r="F504"/>
  <c r="H504"/>
  <c r="I504"/>
  <c r="D504"/>
  <c r="F420"/>
  <c r="H420"/>
  <c r="I420"/>
  <c r="D420"/>
  <c r="F337"/>
  <c r="H337"/>
  <c r="I337"/>
  <c r="D337"/>
  <c r="D289"/>
  <c r="F289"/>
  <c r="H289"/>
  <c r="I289"/>
  <c r="F211"/>
  <c r="H211"/>
  <c r="I211"/>
  <c r="D211"/>
  <c r="D171"/>
  <c r="F171"/>
  <c r="H171"/>
  <c r="I171"/>
  <c r="F88"/>
  <c r="H88"/>
  <c r="I88"/>
  <c r="D88"/>
  <c r="F9"/>
  <c r="H9"/>
  <c r="I9"/>
  <c r="D9"/>
  <c r="D1424"/>
  <c r="F1424"/>
  <c r="H1424"/>
  <c r="C1381"/>
  <c r="E1381"/>
  <c r="G1381"/>
  <c r="C1303"/>
  <c r="E1303"/>
  <c r="G1303"/>
  <c r="C1221"/>
  <c r="E1221"/>
  <c r="G1221"/>
  <c r="C1173"/>
  <c r="E1173"/>
  <c r="G1173"/>
  <c r="C1132"/>
  <c r="E1132"/>
  <c r="G1132"/>
  <c r="D1089"/>
  <c r="F1089"/>
  <c r="H1089"/>
  <c r="C1050"/>
  <c r="E1050"/>
  <c r="G1050"/>
  <c r="C1005"/>
  <c r="E1005"/>
  <c r="G1005"/>
  <c r="C922"/>
  <c r="E922"/>
  <c r="G922"/>
  <c r="C885"/>
  <c r="E885"/>
  <c r="G885"/>
  <c r="C838"/>
  <c r="E838"/>
  <c r="G838"/>
  <c r="C803"/>
  <c r="E803"/>
  <c r="G803"/>
  <c r="C714"/>
  <c r="E714"/>
  <c r="G714"/>
  <c r="C671"/>
  <c r="E671"/>
  <c r="G671"/>
  <c r="C632"/>
  <c r="E632"/>
  <c r="G632"/>
  <c r="C587"/>
  <c r="E587"/>
  <c r="G587"/>
  <c r="D548"/>
  <c r="F548"/>
  <c r="H548"/>
  <c r="C504"/>
  <c r="E504"/>
  <c r="G504"/>
  <c r="C469"/>
  <c r="E469"/>
  <c r="G469"/>
  <c r="C420"/>
  <c r="E420"/>
  <c r="G420"/>
  <c r="C373"/>
  <c r="E373"/>
  <c r="G373"/>
  <c r="C337"/>
  <c r="E337"/>
  <c r="G337"/>
  <c r="C289"/>
  <c r="E289"/>
  <c r="G289"/>
  <c r="C211"/>
  <c r="E211"/>
  <c r="G211"/>
  <c r="C171"/>
  <c r="E171"/>
  <c r="G171"/>
  <c r="C126"/>
  <c r="E126"/>
  <c r="G126"/>
  <c r="C88"/>
  <c r="E88"/>
  <c r="G88"/>
  <c r="C44"/>
  <c r="E44"/>
  <c r="G44"/>
  <c r="C9"/>
  <c r="E9"/>
  <c r="G9"/>
  <c r="F1424" i="6"/>
  <c r="H1424"/>
  <c r="I1424"/>
  <c r="D1424"/>
  <c r="F1340"/>
  <c r="H1340"/>
  <c r="I1340"/>
  <c r="D1340"/>
  <c r="I1303"/>
  <c r="H1303"/>
  <c r="F1303"/>
  <c r="D1303"/>
  <c r="G1256"/>
  <c r="I1256"/>
  <c r="E1256"/>
  <c r="F1173"/>
  <c r="E1132"/>
  <c r="G1132"/>
  <c r="I1132"/>
  <c r="F1050"/>
  <c r="H1050"/>
  <c r="I1050"/>
  <c r="D1050"/>
  <c r="E922"/>
  <c r="F922"/>
  <c r="H922"/>
  <c r="D922"/>
  <c r="H885"/>
  <c r="I885"/>
  <c r="F885"/>
  <c r="D885"/>
  <c r="F803"/>
  <c r="H803"/>
  <c r="I803"/>
  <c r="D803"/>
  <c r="F714"/>
  <c r="H714"/>
  <c r="I714"/>
  <c r="D714"/>
  <c r="F632"/>
  <c r="H632"/>
  <c r="I632"/>
  <c r="D632"/>
  <c r="F548"/>
  <c r="H548"/>
  <c r="I548"/>
  <c r="D548"/>
  <c r="G469"/>
  <c r="I469"/>
  <c r="E469"/>
  <c r="D420"/>
  <c r="F420"/>
  <c r="H420"/>
  <c r="I420"/>
  <c r="D373"/>
  <c r="E373"/>
  <c r="H373"/>
  <c r="I373"/>
  <c r="D337"/>
  <c r="E337"/>
  <c r="H337"/>
  <c r="I337"/>
  <c r="F289"/>
  <c r="G289"/>
  <c r="I289"/>
  <c r="D289"/>
  <c r="F211"/>
  <c r="G211"/>
  <c r="D211"/>
  <c r="F126"/>
  <c r="H126"/>
  <c r="I126"/>
  <c r="D126"/>
  <c r="E88"/>
  <c r="G88"/>
  <c r="I88"/>
  <c r="F44"/>
  <c r="H44"/>
  <c r="I44"/>
  <c r="H9"/>
  <c r="I9"/>
  <c r="C1424"/>
  <c r="E1424"/>
  <c r="G1424"/>
  <c r="C1381"/>
  <c r="E1381"/>
  <c r="G1381"/>
  <c r="C1340"/>
  <c r="E1340"/>
  <c r="G1340"/>
  <c r="D1256"/>
  <c r="F1256"/>
  <c r="H1256"/>
  <c r="C1221"/>
  <c r="E1221"/>
  <c r="G1221"/>
  <c r="I1173"/>
  <c r="D1132"/>
  <c r="F1132"/>
  <c r="H1132"/>
  <c r="D1089"/>
  <c r="F1089"/>
  <c r="H1089"/>
  <c r="C1050"/>
  <c r="E1050"/>
  <c r="G1050"/>
  <c r="C1005"/>
  <c r="E1005"/>
  <c r="G1005"/>
  <c r="C885"/>
  <c r="E885"/>
  <c r="G885"/>
  <c r="C838"/>
  <c r="E838"/>
  <c r="G838"/>
  <c r="C803"/>
  <c r="E803"/>
  <c r="G803"/>
  <c r="C755"/>
  <c r="E755"/>
  <c r="G755"/>
  <c r="C714"/>
  <c r="E714"/>
  <c r="G714"/>
  <c r="C671"/>
  <c r="E671"/>
  <c r="G671"/>
  <c r="C632"/>
  <c r="E632"/>
  <c r="G632"/>
  <c r="C587"/>
  <c r="E587"/>
  <c r="G587"/>
  <c r="C548"/>
  <c r="E548"/>
  <c r="G548"/>
  <c r="C504"/>
  <c r="E504"/>
  <c r="G504"/>
  <c r="D469"/>
  <c r="F469"/>
  <c r="H469"/>
  <c r="C420"/>
  <c r="E420"/>
  <c r="G420"/>
  <c r="C373"/>
  <c r="G373"/>
  <c r="C337"/>
  <c r="G337"/>
  <c r="H289"/>
  <c r="C289"/>
  <c r="E289"/>
  <c r="C254"/>
  <c r="E254"/>
  <c r="G254"/>
  <c r="C211"/>
  <c r="E211"/>
  <c r="C171"/>
  <c r="E171"/>
  <c r="G171"/>
  <c r="C126"/>
  <c r="E126"/>
  <c r="G126"/>
  <c r="D88"/>
  <c r="F88"/>
  <c r="H88"/>
  <c r="D44"/>
  <c r="E44"/>
  <c r="G44"/>
  <c r="C9"/>
  <c r="E9"/>
  <c r="G9"/>
  <c r="H1424" i="1"/>
  <c r="F1424"/>
  <c r="D1424"/>
  <c r="F1340"/>
  <c r="H1340"/>
  <c r="D1340"/>
  <c r="K1132"/>
  <c r="G1132"/>
  <c r="I1132"/>
  <c r="E1132"/>
  <c r="E1089"/>
  <c r="H1089"/>
  <c r="I1089"/>
  <c r="F1089"/>
  <c r="D1089"/>
  <c r="D1050"/>
  <c r="F1050"/>
  <c r="H1050"/>
  <c r="H922"/>
  <c r="F922"/>
  <c r="D922"/>
  <c r="D885"/>
  <c r="D838"/>
  <c r="J838"/>
  <c r="H838"/>
  <c r="F838"/>
  <c r="E838"/>
  <c r="G838"/>
  <c r="I838"/>
  <c r="D803"/>
  <c r="F671"/>
  <c r="H671"/>
  <c r="D671"/>
  <c r="J632"/>
  <c r="K632"/>
  <c r="F632"/>
  <c r="H632"/>
  <c r="D587"/>
  <c r="F548"/>
  <c r="G548"/>
  <c r="J548"/>
  <c r="D548"/>
  <c r="I504"/>
  <c r="G504"/>
  <c r="E504"/>
  <c r="J469"/>
  <c r="F469"/>
  <c r="G469"/>
  <c r="D469"/>
  <c r="D337"/>
  <c r="J337"/>
  <c r="H337"/>
  <c r="H289"/>
  <c r="I289"/>
  <c r="E289"/>
  <c r="G337"/>
  <c r="I337"/>
  <c r="K337"/>
  <c r="F254"/>
  <c r="E254"/>
  <c r="D254"/>
  <c r="K211"/>
  <c r="I211"/>
  <c r="G211"/>
  <c r="E211"/>
  <c r="C1424"/>
  <c r="E1424"/>
  <c r="G1424"/>
  <c r="I1424"/>
  <c r="C1381"/>
  <c r="E1381"/>
  <c r="G1381"/>
  <c r="I1381"/>
  <c r="C1340"/>
  <c r="E1340"/>
  <c r="G1340"/>
  <c r="I1340"/>
  <c r="C1303"/>
  <c r="E1303"/>
  <c r="G1303"/>
  <c r="I1303"/>
  <c r="C1256"/>
  <c r="E1256"/>
  <c r="G1256"/>
  <c r="I1256"/>
  <c r="C1221"/>
  <c r="C1173"/>
  <c r="E1173"/>
  <c r="G1173"/>
  <c r="I1173"/>
  <c r="D1132"/>
  <c r="F1132"/>
  <c r="H1132"/>
  <c r="J1132"/>
  <c r="C1050"/>
  <c r="E1050"/>
  <c r="G1050"/>
  <c r="C1005"/>
  <c r="E1005"/>
  <c r="G1005"/>
  <c r="I1005"/>
  <c r="C922"/>
  <c r="E922"/>
  <c r="G922"/>
  <c r="I922"/>
  <c r="C885"/>
  <c r="E885"/>
  <c r="G885"/>
  <c r="I885"/>
  <c r="C803"/>
  <c r="E803"/>
  <c r="G803"/>
  <c r="I803"/>
  <c r="C755"/>
  <c r="E755"/>
  <c r="G755"/>
  <c r="I755"/>
  <c r="D714"/>
  <c r="C671"/>
  <c r="E671"/>
  <c r="G671"/>
  <c r="D632"/>
  <c r="E632"/>
  <c r="G632"/>
  <c r="I632"/>
  <c r="C587"/>
  <c r="E587"/>
  <c r="G587"/>
  <c r="I587"/>
  <c r="H548"/>
  <c r="C548"/>
  <c r="E548"/>
  <c r="I548"/>
  <c r="D504"/>
  <c r="F504"/>
  <c r="H504"/>
  <c r="J504"/>
  <c r="H469"/>
  <c r="C469"/>
  <c r="E469"/>
  <c r="I469"/>
  <c r="D420"/>
  <c r="E420"/>
  <c r="G420"/>
  <c r="I420"/>
  <c r="F373"/>
  <c r="J373"/>
  <c r="C373"/>
  <c r="G373"/>
  <c r="D289"/>
  <c r="F289"/>
  <c r="J289"/>
  <c r="G289"/>
  <c r="D211"/>
  <c r="F211"/>
  <c r="H211"/>
  <c r="J211"/>
  <c r="H171"/>
  <c r="J171"/>
  <c r="F171"/>
  <c r="D171"/>
  <c r="H126"/>
  <c r="N126" s="1"/>
  <c r="N127" s="1"/>
  <c r="H88"/>
  <c r="E88"/>
  <c r="D43"/>
  <c r="F43"/>
  <c r="H43"/>
  <c r="E43"/>
  <c r="G43"/>
  <c r="I43"/>
  <c r="D88"/>
  <c r="F88"/>
  <c r="G88"/>
  <c r="E10"/>
  <c r="I10"/>
  <c r="D10"/>
  <c r="K409" i="9"/>
  <c r="I409"/>
  <c r="G409"/>
  <c r="D409"/>
  <c r="F409"/>
  <c r="H409"/>
  <c r="J409"/>
  <c r="L409"/>
  <c r="M409"/>
  <c r="E409"/>
  <c r="F384"/>
  <c r="D384"/>
  <c r="K384"/>
  <c r="E384"/>
  <c r="G384"/>
  <c r="I384"/>
  <c r="M384"/>
  <c r="F349"/>
  <c r="H349"/>
  <c r="J349"/>
  <c r="L349"/>
  <c r="O349" s="1"/>
  <c r="O350" s="1"/>
  <c r="D349"/>
  <c r="D312"/>
  <c r="L312"/>
  <c r="J312"/>
  <c r="H312"/>
  <c r="F312"/>
  <c r="G289"/>
  <c r="I289"/>
  <c r="K289"/>
  <c r="M289"/>
  <c r="E289"/>
  <c r="D289"/>
  <c r="F289"/>
  <c r="H289"/>
  <c r="J289"/>
  <c r="L289"/>
  <c r="L264"/>
  <c r="D264"/>
  <c r="E264"/>
  <c r="G264"/>
  <c r="I264"/>
  <c r="K264"/>
  <c r="M264"/>
  <c r="F228"/>
  <c r="H228"/>
  <c r="J228"/>
  <c r="L228"/>
  <c r="D228"/>
  <c r="D203"/>
  <c r="F203"/>
  <c r="J203"/>
  <c r="G203"/>
  <c r="K203"/>
  <c r="E177"/>
  <c r="F177"/>
  <c r="H177"/>
  <c r="J177"/>
  <c r="L177"/>
  <c r="N177"/>
  <c r="G141"/>
  <c r="I141"/>
  <c r="K141"/>
  <c r="M141"/>
  <c r="E141"/>
  <c r="D141"/>
  <c r="F141"/>
  <c r="H141"/>
  <c r="J141"/>
  <c r="L141"/>
  <c r="K116"/>
  <c r="I116"/>
  <c r="G116"/>
  <c r="M116"/>
  <c r="E116"/>
  <c r="D116"/>
  <c r="F116"/>
  <c r="H116"/>
  <c r="J116"/>
  <c r="L116"/>
  <c r="J90"/>
  <c r="K90"/>
  <c r="G90"/>
  <c r="M90"/>
  <c r="D90"/>
  <c r="F90"/>
  <c r="H90"/>
  <c r="L90"/>
  <c r="I90"/>
  <c r="K56"/>
  <c r="I56"/>
  <c r="G56"/>
  <c r="M56"/>
  <c r="E56"/>
  <c r="D56"/>
  <c r="F56"/>
  <c r="H56"/>
  <c r="J56"/>
  <c r="L56"/>
  <c r="D33"/>
  <c r="I33"/>
  <c r="E33"/>
  <c r="G33"/>
  <c r="K33"/>
  <c r="M33"/>
  <c r="E8"/>
  <c r="G8"/>
  <c r="I8"/>
  <c r="K8"/>
  <c r="D8"/>
  <c r="F8"/>
  <c r="H8"/>
  <c r="J8"/>
  <c r="L8"/>
  <c r="E312"/>
  <c r="G312"/>
  <c r="I312"/>
  <c r="K312"/>
  <c r="D14" i="10"/>
  <c r="D15"/>
  <c r="D16"/>
  <c r="D17"/>
  <c r="D18"/>
  <c r="D6"/>
  <c r="D7"/>
  <c r="D8"/>
  <c r="D9"/>
  <c r="D10"/>
  <c r="D11"/>
  <c r="D12"/>
  <c r="D13"/>
  <c r="E7"/>
  <c r="N966" i="6" l="1"/>
  <c r="N967" s="1"/>
  <c r="N1089" i="1"/>
  <c r="N671"/>
  <c r="N337" i="8"/>
  <c r="N338" s="1"/>
  <c r="N254"/>
  <c r="N44"/>
  <c r="N45" s="1"/>
  <c r="N9"/>
  <c r="N10" s="1"/>
  <c r="N420"/>
  <c r="N421" s="1"/>
  <c r="N373"/>
  <c r="N374" s="1"/>
  <c r="N289"/>
  <c r="N290" s="1"/>
  <c r="N255"/>
  <c r="N211"/>
  <c r="N212" s="1"/>
  <c r="N171"/>
  <c r="N172" s="1"/>
  <c r="N126"/>
  <c r="N127" s="1"/>
  <c r="N88"/>
  <c r="N89" s="1"/>
  <c r="N1424" i="7"/>
  <c r="N1425" s="1"/>
  <c r="N1089"/>
  <c r="N1090" s="1"/>
  <c r="N966"/>
  <c r="N967" s="1"/>
  <c r="N755"/>
  <c r="N548"/>
  <c r="N549" s="1"/>
  <c r="N211"/>
  <c r="N1381"/>
  <c r="N1382" s="1"/>
  <c r="N1340"/>
  <c r="N1341" s="1"/>
  <c r="N1303"/>
  <c r="N1304" s="1"/>
  <c r="N1257"/>
  <c r="N1222"/>
  <c r="N1173"/>
  <c r="N1174" s="1"/>
  <c r="N1132"/>
  <c r="N1133" s="1"/>
  <c r="N1050"/>
  <c r="N1051" s="1"/>
  <c r="N1005"/>
  <c r="N1006" s="1"/>
  <c r="N922"/>
  <c r="N923" s="1"/>
  <c r="N885"/>
  <c r="N886" s="1"/>
  <c r="N838"/>
  <c r="N839" s="1"/>
  <c r="N803"/>
  <c r="N804" s="1"/>
  <c r="N756"/>
  <c r="N714"/>
  <c r="N715" s="1"/>
  <c r="N671"/>
  <c r="N672" s="1"/>
  <c r="N632"/>
  <c r="N633" s="1"/>
  <c r="N587"/>
  <c r="N588" s="1"/>
  <c r="N504"/>
  <c r="N505" s="1"/>
  <c r="N469"/>
  <c r="N470" s="1"/>
  <c r="N420"/>
  <c r="N421" s="1"/>
  <c r="N373"/>
  <c r="N374" s="1"/>
  <c r="N337"/>
  <c r="N338" s="1"/>
  <c r="N289"/>
  <c r="N290" s="1"/>
  <c r="N254"/>
  <c r="N255" s="1"/>
  <c r="N212"/>
  <c r="N171"/>
  <c r="N172" s="1"/>
  <c r="N126"/>
  <c r="N127" s="1"/>
  <c r="N88"/>
  <c r="N89" s="1"/>
  <c r="N44"/>
  <c r="N45" s="1"/>
  <c r="N9"/>
  <c r="N10" s="1"/>
  <c r="N1303" i="6"/>
  <c r="N1304" s="1"/>
  <c r="N1256"/>
  <c r="N1257" s="1"/>
  <c r="N1173"/>
  <c r="N1174" s="1"/>
  <c r="N1132"/>
  <c r="N1133" s="1"/>
  <c r="N1089"/>
  <c r="N1090" s="1"/>
  <c r="N922"/>
  <c r="N923" s="1"/>
  <c r="N469"/>
  <c r="N470" s="1"/>
  <c r="N289"/>
  <c r="N290" s="1"/>
  <c r="N211"/>
  <c r="N212" s="1"/>
  <c r="N88"/>
  <c r="N89" s="1"/>
  <c r="N44"/>
  <c r="N45" s="1"/>
  <c r="N1424"/>
  <c r="N1425" s="1"/>
  <c r="N1381"/>
  <c r="N1382" s="1"/>
  <c r="N1340"/>
  <c r="N1341" s="1"/>
  <c r="N1221"/>
  <c r="N1222" s="1"/>
  <c r="N1050"/>
  <c r="N1051" s="1"/>
  <c r="N1005"/>
  <c r="N1006" s="1"/>
  <c r="N885"/>
  <c r="N886" s="1"/>
  <c r="N838"/>
  <c r="N839" s="1"/>
  <c r="N803"/>
  <c r="N804" s="1"/>
  <c r="N755"/>
  <c r="N756" s="1"/>
  <c r="N714"/>
  <c r="N715" s="1"/>
  <c r="N671"/>
  <c r="N672" s="1"/>
  <c r="N632"/>
  <c r="N633" s="1"/>
  <c r="N587"/>
  <c r="N588" s="1"/>
  <c r="N548"/>
  <c r="N549" s="1"/>
  <c r="N504"/>
  <c r="N505" s="1"/>
  <c r="N420"/>
  <c r="N421" s="1"/>
  <c r="N373"/>
  <c r="N374" s="1"/>
  <c r="N337"/>
  <c r="N338" s="1"/>
  <c r="N254"/>
  <c r="N255" s="1"/>
  <c r="N171"/>
  <c r="N172" s="1"/>
  <c r="N126"/>
  <c r="N127" s="1"/>
  <c r="N9"/>
  <c r="N10" s="1"/>
  <c r="N1132" i="1"/>
  <c r="N1133" s="1"/>
  <c r="N714"/>
  <c r="N715" s="1"/>
  <c r="N672"/>
  <c r="N632"/>
  <c r="N633" s="1"/>
  <c r="N548"/>
  <c r="N504"/>
  <c r="N505" s="1"/>
  <c r="N420"/>
  <c r="N421" s="1"/>
  <c r="N337"/>
  <c r="N338" s="1"/>
  <c r="N289"/>
  <c r="N290" s="1"/>
  <c r="N255"/>
  <c r="N211"/>
  <c r="N212" s="1"/>
  <c r="N1424"/>
  <c r="N1425" s="1"/>
  <c r="N1381"/>
  <c r="N1382" s="1"/>
  <c r="N1340"/>
  <c r="N1341" s="1"/>
  <c r="N1303"/>
  <c r="N1304" s="1"/>
  <c r="N1256"/>
  <c r="N1257" s="1"/>
  <c r="N1221"/>
  <c r="N1222" s="1"/>
  <c r="N1173"/>
  <c r="N1174" s="1"/>
  <c r="N1090"/>
  <c r="N1050"/>
  <c r="N1051" s="1"/>
  <c r="N1005"/>
  <c r="N1006" s="1"/>
  <c r="N966"/>
  <c r="N967" s="1"/>
  <c r="N923"/>
  <c r="N885"/>
  <c r="N886" s="1"/>
  <c r="N838"/>
  <c r="N839" s="1"/>
  <c r="N803"/>
  <c r="N804" s="1"/>
  <c r="N755"/>
  <c r="N756" s="1"/>
  <c r="N588"/>
  <c r="N549"/>
  <c r="N469"/>
  <c r="N470" s="1"/>
  <c r="N373"/>
  <c r="N374" s="1"/>
  <c r="N171"/>
  <c r="N172"/>
  <c r="N89"/>
  <c r="N43"/>
  <c r="N10"/>
  <c r="O409" i="9"/>
  <c r="O410" s="1"/>
  <c r="O385"/>
  <c r="O33"/>
  <c r="O34" s="1"/>
  <c r="O313"/>
  <c r="O203"/>
  <c r="O204" s="1"/>
  <c r="O141"/>
  <c r="O142" s="1"/>
  <c r="O91"/>
  <c r="O56"/>
  <c r="O57" s="1"/>
  <c r="O289"/>
  <c r="O290" s="1"/>
  <c r="O265"/>
  <c r="O229"/>
  <c r="O116"/>
  <c r="O117" s="1"/>
  <c r="O9"/>
  <c r="O45" i="1" l="1"/>
  <c r="O375" l="1"/>
  <c r="O90" l="1"/>
  <c r="N11" l="1"/>
</calcChain>
</file>

<file path=xl/sharedStrings.xml><?xml version="1.0" encoding="utf-8"?>
<sst xmlns="http://schemas.openxmlformats.org/spreadsheetml/2006/main" count="1297" uniqueCount="34">
  <si>
    <t xml:space="preserve">Cross Section at </t>
  </si>
  <si>
    <t>Chainage</t>
  </si>
  <si>
    <t>Formation Level</t>
  </si>
  <si>
    <t>Existing Level</t>
  </si>
  <si>
    <t>-</t>
  </si>
  <si>
    <t>Area</t>
  </si>
  <si>
    <r>
      <t>AREA in M</t>
    </r>
    <r>
      <rPr>
        <b/>
        <vertAlign val="superscript"/>
        <sz val="9"/>
        <rFont val="Arial"/>
        <family val="2"/>
      </rPr>
      <t>2</t>
    </r>
  </si>
  <si>
    <t>Chainage in Mts.</t>
  </si>
  <si>
    <t>Distance       in Mts.</t>
  </si>
  <si>
    <r>
      <t>Area              in M</t>
    </r>
    <r>
      <rPr>
        <b/>
        <vertAlign val="superscript"/>
        <sz val="10"/>
        <rFont val="Arial"/>
        <family val="2"/>
      </rPr>
      <t>2</t>
    </r>
  </si>
  <si>
    <t>Mean Area</t>
  </si>
  <si>
    <t>Qty.              in Cum</t>
  </si>
  <si>
    <t>Remarks</t>
  </si>
  <si>
    <t>Total Qty.</t>
  </si>
  <si>
    <t>CUM</t>
  </si>
  <si>
    <t>MT</t>
  </si>
  <si>
    <t>Formation of FC Quantity Calculation</t>
  </si>
  <si>
    <t>Mt</t>
  </si>
  <si>
    <t>Depth(M)</t>
  </si>
  <si>
    <r>
      <t>AREA in M</t>
    </r>
    <r>
      <rPr>
        <b/>
        <vertAlign val="superscript"/>
        <sz val="11"/>
        <rFont val="Arial"/>
        <family val="2"/>
      </rPr>
      <t>2</t>
    </r>
  </si>
  <si>
    <t xml:space="preserve"> Bund embankment  Quantity</t>
  </si>
  <si>
    <t xml:space="preserve"> </t>
  </si>
  <si>
    <t>TBL</t>
  </si>
  <si>
    <t>MWL</t>
  </si>
  <si>
    <t>FTL</t>
  </si>
  <si>
    <t>SILL LEVEL</t>
  </si>
  <si>
    <r>
      <t>AREA in M</t>
    </r>
    <r>
      <rPr>
        <b/>
        <vertAlign val="superscript"/>
        <sz val="9"/>
        <color theme="1"/>
        <rFont val="Arial"/>
        <family val="2"/>
      </rPr>
      <t>2</t>
    </r>
  </si>
  <si>
    <t>LS</t>
  </si>
  <si>
    <t>0.00 MT  to 1380.00 MT</t>
  </si>
  <si>
    <t>1440.00 MT  to 2820.00 MT</t>
  </si>
  <si>
    <t>2880.00 MT  to 4260.00 MT</t>
  </si>
  <si>
    <t>4320.00 MT  to 5700.00 MT</t>
  </si>
  <si>
    <t>.</t>
  </si>
  <si>
    <t>5760.00 MT  to 6900.00 MT</t>
  </si>
</sst>
</file>

<file path=xl/styles.xml><?xml version="1.0" encoding="utf-8"?>
<styleSheet xmlns="http://schemas.openxmlformats.org/spreadsheetml/2006/main">
  <numFmts count="5">
    <numFmt numFmtId="164" formatCode="&quot;Cross Section @  &quot;0&quot;Mts&quot;"/>
    <numFmt numFmtId="165" formatCode="0.000"/>
    <numFmt numFmtId="166" formatCode="0.000;\-0.000;\-\-"/>
    <numFmt numFmtId="167" formatCode="&quot;Cross Section @  &quot;0.00&quot;Mts&quot;"/>
    <numFmt numFmtId="168" formatCode="0.00;\-0.00;\-\-"/>
  </numFmts>
  <fonts count="30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vertAlign val="superscript"/>
      <sz val="11"/>
      <name val="Arial"/>
      <family val="2"/>
    </font>
    <font>
      <b/>
      <sz val="14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vertAlign val="superscript"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164" fontId="1" fillId="0" borderId="3" xfId="0" applyNumberFormat="1" applyFont="1" applyBorder="1" applyAlignment="1">
      <alignment vertical="center"/>
    </xf>
    <xf numFmtId="0" fontId="2" fillId="0" borderId="0" xfId="0" applyFont="1" applyBorder="1"/>
    <xf numFmtId="165" fontId="1" fillId="0" borderId="0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4" xfId="0" applyNumberFormat="1" applyFont="1" applyBorder="1" applyAlignment="1">
      <alignment horizontal="right"/>
    </xf>
    <xf numFmtId="0" fontId="4" fillId="0" borderId="0" xfId="0" applyFont="1"/>
    <xf numFmtId="165" fontId="4" fillId="0" borderId="0" xfId="0" applyNumberFormat="1" applyFont="1"/>
    <xf numFmtId="1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166" fontId="8" fillId="0" borderId="4" xfId="0" applyNumberFormat="1" applyFont="1" applyBorder="1" applyAlignment="1">
      <alignment horizontal="center" vertical="center"/>
    </xf>
    <xf numFmtId="0" fontId="0" fillId="0" borderId="4" xfId="0" applyBorder="1"/>
    <xf numFmtId="1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/>
    </xf>
    <xf numFmtId="166" fontId="5" fillId="0" borderId="4" xfId="0" applyNumberFormat="1" applyFont="1" applyBorder="1" applyAlignment="1">
      <alignment horizontal="center" vertical="center"/>
    </xf>
    <xf numFmtId="0" fontId="0" fillId="0" borderId="0" xfId="0" applyBorder="1"/>
    <xf numFmtId="0" fontId="10" fillId="0" borderId="4" xfId="0" applyFont="1" applyBorder="1"/>
    <xf numFmtId="2" fontId="1" fillId="0" borderId="4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right"/>
    </xf>
    <xf numFmtId="165" fontId="0" fillId="0" borderId="0" xfId="0" applyNumberFormat="1" applyBorder="1"/>
    <xf numFmtId="165" fontId="2" fillId="2" borderId="0" xfId="0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0" xfId="0" applyFont="1"/>
    <xf numFmtId="2" fontId="6" fillId="0" borderId="0" xfId="0" applyNumberFormat="1" applyFont="1" applyBorder="1"/>
    <xf numFmtId="165" fontId="1" fillId="0" borderId="2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  <xf numFmtId="165" fontId="0" fillId="0" borderId="0" xfId="0" applyNumberFormat="1"/>
    <xf numFmtId="167" fontId="1" fillId="0" borderId="3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2" fontId="5" fillId="0" borderId="4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vertical="center"/>
    </xf>
    <xf numFmtId="0" fontId="8" fillId="0" borderId="4" xfId="0" applyFont="1" applyBorder="1" applyAlignment="1">
      <alignment horizontal="left"/>
    </xf>
    <xf numFmtId="0" fontId="0" fillId="0" borderId="4" xfId="0" applyFont="1" applyBorder="1"/>
    <xf numFmtId="165" fontId="0" fillId="0" borderId="4" xfId="0" applyNumberFormat="1" applyFont="1" applyBorder="1" applyAlignment="1">
      <alignment horizontal="center"/>
    </xf>
    <xf numFmtId="165" fontId="0" fillId="0" borderId="4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5" fontId="8" fillId="0" borderId="5" xfId="0" applyNumberFormat="1" applyFont="1" applyBorder="1" applyAlignment="1">
      <alignment horizontal="center" vertical="center"/>
    </xf>
    <xf numFmtId="165" fontId="0" fillId="0" borderId="2" xfId="0" applyNumberFormat="1" applyFont="1" applyBorder="1"/>
    <xf numFmtId="165" fontId="8" fillId="0" borderId="2" xfId="0" applyNumberFormat="1" applyFont="1" applyBorder="1" applyAlignment="1">
      <alignment horizontal="right"/>
    </xf>
    <xf numFmtId="165" fontId="8" fillId="2" borderId="4" xfId="0" applyNumberFormat="1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right"/>
    </xf>
    <xf numFmtId="0" fontId="8" fillId="0" borderId="0" xfId="0" applyFont="1" applyBorder="1"/>
    <xf numFmtId="165" fontId="5" fillId="0" borderId="0" xfId="0" applyNumberFormat="1" applyFont="1" applyBorder="1" applyAlignment="1">
      <alignment horizontal="right"/>
    </xf>
    <xf numFmtId="165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0" fontId="0" fillId="0" borderId="0" xfId="0" applyFont="1"/>
    <xf numFmtId="165" fontId="5" fillId="0" borderId="4" xfId="0" applyNumberFormat="1" applyFont="1" applyBorder="1" applyAlignment="1">
      <alignment horizontal="right"/>
    </xf>
    <xf numFmtId="0" fontId="8" fillId="0" borderId="0" xfId="0" applyFont="1"/>
    <xf numFmtId="165" fontId="8" fillId="0" borderId="0" xfId="0" applyNumberFormat="1" applyFont="1"/>
    <xf numFmtId="0" fontId="13" fillId="0" borderId="0" xfId="0" applyFont="1" applyAlignment="1"/>
    <xf numFmtId="164" fontId="5" fillId="0" borderId="3" xfId="0" applyNumberFormat="1" applyFont="1" applyBorder="1" applyAlignment="1">
      <alignment vertical="center"/>
    </xf>
    <xf numFmtId="164" fontId="5" fillId="0" borderId="7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165" fontId="9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168" fontId="19" fillId="2" borderId="4" xfId="0" applyNumberFormat="1" applyFont="1" applyFill="1" applyBorder="1" applyAlignment="1">
      <alignment horizontal="center"/>
    </xf>
    <xf numFmtId="166" fontId="8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/>
    <xf numFmtId="168" fontId="0" fillId="0" borderId="0" xfId="0" applyNumberFormat="1" applyBorder="1"/>
    <xf numFmtId="165" fontId="0" fillId="0" borderId="0" xfId="0" applyNumberFormat="1" applyFont="1"/>
    <xf numFmtId="0" fontId="0" fillId="0" borderId="0" xfId="0" applyAlignment="1">
      <alignment horizontal="left"/>
    </xf>
    <xf numFmtId="165" fontId="8" fillId="0" borderId="4" xfId="0" applyNumberFormat="1" applyFont="1" applyBorder="1"/>
    <xf numFmtId="165" fontId="8" fillId="0" borderId="8" xfId="0" applyNumberFormat="1" applyFont="1" applyFill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/>
    </xf>
    <xf numFmtId="2" fontId="1" fillId="2" borderId="4" xfId="0" applyNumberFormat="1" applyFont="1" applyFill="1" applyBorder="1" applyAlignment="1">
      <alignment horizontal="center" vertical="center"/>
    </xf>
    <xf numFmtId="0" fontId="0" fillId="3" borderId="0" xfId="0" applyFill="1"/>
    <xf numFmtId="0" fontId="8" fillId="2" borderId="4" xfId="0" applyFont="1" applyFill="1" applyBorder="1" applyAlignment="1">
      <alignment horizontal="left"/>
    </xf>
    <xf numFmtId="0" fontId="0" fillId="2" borderId="4" xfId="0" applyFont="1" applyFill="1" applyBorder="1"/>
    <xf numFmtId="165" fontId="0" fillId="2" borderId="4" xfId="0" applyNumberFormat="1" applyFont="1" applyFill="1" applyBorder="1" applyAlignment="1">
      <alignment horizontal="center"/>
    </xf>
    <xf numFmtId="165" fontId="0" fillId="2" borderId="4" xfId="0" applyNumberFormat="1" applyFont="1" applyFill="1" applyBorder="1" applyAlignment="1">
      <alignment horizontal="center" vertical="center"/>
    </xf>
    <xf numFmtId="165" fontId="8" fillId="2" borderId="6" xfId="0" applyNumberFormat="1" applyFont="1" applyFill="1" applyBorder="1" applyAlignment="1">
      <alignment horizontal="center" vertical="center"/>
    </xf>
    <xf numFmtId="165" fontId="8" fillId="2" borderId="5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165" fontId="8" fillId="2" borderId="8" xfId="0" applyNumberFormat="1" applyFont="1" applyFill="1" applyBorder="1" applyAlignment="1">
      <alignment horizontal="center" vertical="center"/>
    </xf>
    <xf numFmtId="0" fontId="2" fillId="2" borderId="0" xfId="0" applyFont="1" applyFill="1" applyBorder="1"/>
    <xf numFmtId="165" fontId="1" fillId="2" borderId="0" xfId="0" applyNumberFormat="1" applyFont="1" applyFill="1" applyBorder="1" applyAlignment="1">
      <alignment horizontal="right"/>
    </xf>
    <xf numFmtId="165" fontId="2" fillId="2" borderId="0" xfId="0" applyNumberFormat="1" applyFont="1" applyFill="1" applyAlignment="1">
      <alignment horizontal="right"/>
    </xf>
    <xf numFmtId="165" fontId="1" fillId="2" borderId="4" xfId="0" applyNumberFormat="1" applyFont="1" applyFill="1" applyBorder="1" applyAlignment="1">
      <alignment horizontal="right"/>
    </xf>
    <xf numFmtId="2" fontId="21" fillId="2" borderId="4" xfId="0" applyNumberFormat="1" applyFont="1" applyFill="1" applyBorder="1" applyAlignment="1">
      <alignment horizontal="center" vertical="center"/>
    </xf>
    <xf numFmtId="0" fontId="0" fillId="4" borderId="0" xfId="0" applyFill="1"/>
    <xf numFmtId="165" fontId="23" fillId="0" borderId="4" xfId="0" applyNumberFormat="1" applyFont="1" applyBorder="1" applyAlignment="1">
      <alignment horizontal="center" vertical="center"/>
    </xf>
    <xf numFmtId="165" fontId="24" fillId="0" borderId="4" xfId="0" applyNumberFormat="1" applyFont="1" applyBorder="1" applyAlignment="1">
      <alignment horizontal="center" vertical="center"/>
    </xf>
    <xf numFmtId="165" fontId="24" fillId="0" borderId="5" xfId="0" applyNumberFormat="1" applyFont="1" applyBorder="1" applyAlignment="1">
      <alignment horizontal="center" vertical="center"/>
    </xf>
    <xf numFmtId="165" fontId="24" fillId="2" borderId="4" xfId="0" applyNumberFormat="1" applyFont="1" applyFill="1" applyBorder="1" applyAlignment="1">
      <alignment horizontal="center" vertical="center"/>
    </xf>
    <xf numFmtId="165" fontId="26" fillId="0" borderId="0" xfId="0" applyNumberFormat="1" applyFont="1" applyBorder="1" applyAlignment="1">
      <alignment horizontal="right"/>
    </xf>
    <xf numFmtId="165" fontId="25" fillId="0" borderId="0" xfId="0" applyNumberFormat="1" applyFont="1" applyAlignment="1">
      <alignment horizontal="right"/>
    </xf>
    <xf numFmtId="165" fontId="1" fillId="0" borderId="4" xfId="0" applyNumberFormat="1" applyFont="1" applyBorder="1" applyAlignment="1">
      <alignment horizontal="right"/>
    </xf>
    <xf numFmtId="0" fontId="0" fillId="0" borderId="4" xfId="0" applyFont="1" applyFill="1" applyBorder="1"/>
    <xf numFmtId="165" fontId="0" fillId="0" borderId="4" xfId="0" applyNumberFormat="1" applyFont="1" applyFill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165" fontId="8" fillId="0" borderId="6" xfId="0" applyNumberFormat="1" applyFont="1" applyFill="1" applyBorder="1" applyAlignment="1">
      <alignment horizontal="center" vertical="center"/>
    </xf>
    <xf numFmtId="165" fontId="8" fillId="0" borderId="4" xfId="0" applyNumberFormat="1" applyFont="1" applyFill="1" applyBorder="1" applyAlignment="1">
      <alignment horizontal="center" vertical="center"/>
    </xf>
    <xf numFmtId="165" fontId="8" fillId="0" borderId="5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65" fontId="1" fillId="0" borderId="4" xfId="0" applyNumberFormat="1" applyFont="1" applyBorder="1" applyAlignment="1">
      <alignment horizontal="right"/>
    </xf>
    <xf numFmtId="165" fontId="1" fillId="0" borderId="4" xfId="0" applyNumberFormat="1" applyFont="1" applyBorder="1" applyAlignment="1">
      <alignment horizontal="right"/>
    </xf>
    <xf numFmtId="165" fontId="1" fillId="2" borderId="4" xfId="0" applyNumberFormat="1" applyFont="1" applyFill="1" applyBorder="1" applyAlignment="1">
      <alignment horizontal="right"/>
    </xf>
    <xf numFmtId="165" fontId="1" fillId="0" borderId="0" xfId="0" applyNumberFormat="1" applyFont="1" applyBorder="1" applyAlignment="1">
      <alignment horizontal="right"/>
    </xf>
    <xf numFmtId="164" fontId="1" fillId="2" borderId="3" xfId="0" applyNumberFormat="1" applyFont="1" applyFill="1" applyBorder="1" applyAlignment="1">
      <alignment vertical="center"/>
    </xf>
    <xf numFmtId="167" fontId="1" fillId="2" borderId="3" xfId="0" applyNumberFormat="1" applyFont="1" applyFill="1" applyBorder="1" applyAlignment="1">
      <alignment vertical="center"/>
    </xf>
    <xf numFmtId="165" fontId="22" fillId="2" borderId="4" xfId="0" applyNumberFormat="1" applyFont="1" applyFill="1" applyBorder="1" applyAlignment="1">
      <alignment horizontal="center"/>
    </xf>
    <xf numFmtId="165" fontId="22" fillId="2" borderId="4" xfId="0" applyNumberFormat="1" applyFont="1" applyFill="1" applyBorder="1" applyAlignment="1">
      <alignment horizontal="center" vertical="center"/>
    </xf>
    <xf numFmtId="165" fontId="9" fillId="2" borderId="6" xfId="0" applyNumberFormat="1" applyFont="1" applyFill="1" applyBorder="1" applyAlignment="1">
      <alignment horizontal="center" vertical="center"/>
    </xf>
    <xf numFmtId="165" fontId="9" fillId="2" borderId="4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center"/>
    </xf>
    <xf numFmtId="0" fontId="0" fillId="2" borderId="0" xfId="0" applyFill="1" applyBorder="1"/>
    <xf numFmtId="164" fontId="1" fillId="2" borderId="7" xfId="0" applyNumberFormat="1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left"/>
    </xf>
    <xf numFmtId="165" fontId="27" fillId="2" borderId="6" xfId="0" applyNumberFormat="1" applyFont="1" applyFill="1" applyBorder="1" applyAlignment="1">
      <alignment horizontal="center" vertical="center"/>
    </xf>
    <xf numFmtId="165" fontId="27" fillId="2" borderId="4" xfId="0" applyNumberFormat="1" applyFont="1" applyFill="1" applyBorder="1" applyAlignment="1">
      <alignment horizontal="center" vertical="center"/>
    </xf>
    <xf numFmtId="165" fontId="27" fillId="2" borderId="5" xfId="0" applyNumberFormat="1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 vertical="center"/>
    </xf>
    <xf numFmtId="165" fontId="27" fillId="2" borderId="8" xfId="0" applyNumberFormat="1" applyFont="1" applyFill="1" applyBorder="1" applyAlignment="1">
      <alignment horizontal="center" vertical="center"/>
    </xf>
    <xf numFmtId="0" fontId="28" fillId="2" borderId="0" xfId="0" applyFont="1" applyFill="1" applyBorder="1"/>
    <xf numFmtId="165" fontId="21" fillId="2" borderId="0" xfId="0" applyNumberFormat="1" applyFont="1" applyFill="1" applyBorder="1" applyAlignment="1">
      <alignment horizontal="right"/>
    </xf>
    <xf numFmtId="165" fontId="28" fillId="2" borderId="0" xfId="0" applyNumberFormat="1" applyFont="1" applyFill="1" applyAlignment="1">
      <alignment horizontal="right"/>
    </xf>
    <xf numFmtId="165" fontId="21" fillId="2" borderId="4" xfId="0" applyNumberFormat="1" applyFont="1" applyFill="1" applyBorder="1" applyAlignment="1">
      <alignment horizontal="right"/>
    </xf>
    <xf numFmtId="165" fontId="27" fillId="0" borderId="4" xfId="0" applyNumberFormat="1" applyFont="1" applyBorder="1" applyAlignment="1">
      <alignment horizontal="center" vertical="center"/>
    </xf>
    <xf numFmtId="165" fontId="27" fillId="0" borderId="8" xfId="0" applyNumberFormat="1" applyFont="1" applyFill="1" applyBorder="1" applyAlignment="1">
      <alignment horizontal="center" vertical="center"/>
    </xf>
    <xf numFmtId="165" fontId="21" fillId="0" borderId="4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  <xf numFmtId="2" fontId="0" fillId="0" borderId="4" xfId="0" applyNumberFormat="1" applyFont="1" applyBorder="1"/>
    <xf numFmtId="2" fontId="0" fillId="0" borderId="4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 vertical="center"/>
    </xf>
    <xf numFmtId="165" fontId="8" fillId="2" borderId="0" xfId="0" applyNumberFormat="1" applyFont="1" applyFill="1" applyBorder="1" applyAlignment="1">
      <alignment horizontal="center" vertical="center"/>
    </xf>
    <xf numFmtId="165" fontId="0" fillId="0" borderId="4" xfId="0" applyNumberFormat="1" applyFont="1" applyBorder="1" applyAlignment="1">
      <alignment vertical="center"/>
    </xf>
    <xf numFmtId="165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vertical="center"/>
    </xf>
    <xf numFmtId="165" fontId="9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165" fontId="8" fillId="2" borderId="4" xfId="0" applyNumberFormat="1" applyFont="1" applyFill="1" applyBorder="1" applyAlignment="1">
      <alignment horizontal="center" vertical="center" wrapText="1"/>
    </xf>
    <xf numFmtId="165" fontId="0" fillId="2" borderId="4" xfId="0" applyNumberFormat="1" applyFill="1" applyBorder="1" applyAlignment="1">
      <alignment horizontal="center"/>
    </xf>
    <xf numFmtId="0" fontId="0" fillId="5" borderId="4" xfId="0" applyFill="1" applyBorder="1"/>
    <xf numFmtId="0" fontId="16" fillId="0" borderId="0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right"/>
    </xf>
    <xf numFmtId="165" fontId="5" fillId="0" borderId="3" xfId="0" applyNumberFormat="1" applyFont="1" applyBorder="1" applyAlignment="1">
      <alignment horizontal="right"/>
    </xf>
    <xf numFmtId="165" fontId="5" fillId="0" borderId="5" xfId="0" applyNumberFormat="1" applyFont="1" applyBorder="1" applyAlignment="1">
      <alignment horizontal="right"/>
    </xf>
    <xf numFmtId="164" fontId="5" fillId="0" borderId="2" xfId="0" applyNumberFormat="1" applyFont="1" applyBorder="1" applyAlignment="1">
      <alignment horizontal="right" vertical="center"/>
    </xf>
    <xf numFmtId="164" fontId="5" fillId="0" borderId="3" xfId="0" applyNumberFormat="1" applyFont="1" applyBorder="1" applyAlignment="1">
      <alignment horizontal="right" vertical="center"/>
    </xf>
    <xf numFmtId="0" fontId="15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center" vertical="top" wrapText="1"/>
    </xf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4" fontId="5" fillId="0" borderId="5" xfId="0" applyNumberFormat="1" applyFont="1" applyBorder="1" applyAlignment="1">
      <alignment horizontal="right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right" vertical="center"/>
    </xf>
    <xf numFmtId="0" fontId="17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wrapText="1"/>
    </xf>
    <xf numFmtId="0" fontId="17" fillId="2" borderId="0" xfId="0" applyFont="1" applyFill="1" applyAlignment="1">
      <alignment horizontal="center" vertical="center" wrapText="1"/>
    </xf>
    <xf numFmtId="164" fontId="1" fillId="0" borderId="2" xfId="0" applyNumberFormat="1" applyFont="1" applyBorder="1" applyAlignment="1">
      <alignment horizontal="right" vertical="center"/>
    </xf>
    <xf numFmtId="164" fontId="1" fillId="0" borderId="3" xfId="0" applyNumberFormat="1" applyFont="1" applyBorder="1" applyAlignment="1">
      <alignment horizontal="right" vertical="center"/>
    </xf>
    <xf numFmtId="164" fontId="1" fillId="0" borderId="5" xfId="0" applyNumberFormat="1" applyFont="1" applyBorder="1" applyAlignment="1">
      <alignment horizontal="right" vertical="center"/>
    </xf>
    <xf numFmtId="165" fontId="1" fillId="2" borderId="4" xfId="0" applyNumberFormat="1" applyFont="1" applyFill="1" applyBorder="1" applyAlignment="1">
      <alignment horizontal="right"/>
    </xf>
    <xf numFmtId="2" fontId="5" fillId="0" borderId="4" xfId="0" applyNumberFormat="1" applyFont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right" vertical="center"/>
    </xf>
    <xf numFmtId="165" fontId="1" fillId="0" borderId="2" xfId="0" applyNumberFormat="1" applyFont="1" applyBorder="1" applyAlignment="1">
      <alignment horizontal="right"/>
    </xf>
    <xf numFmtId="165" fontId="1" fillId="0" borderId="3" xfId="0" applyNumberFormat="1" applyFont="1" applyBorder="1" applyAlignment="1">
      <alignment horizontal="right"/>
    </xf>
    <xf numFmtId="165" fontId="1" fillId="0" borderId="5" xfId="0" applyNumberFormat="1" applyFont="1" applyBorder="1" applyAlignment="1">
      <alignment horizontal="right"/>
    </xf>
    <xf numFmtId="165" fontId="21" fillId="0" borderId="4" xfId="0" applyNumberFormat="1" applyFont="1" applyBorder="1" applyAlignment="1">
      <alignment horizontal="right"/>
    </xf>
    <xf numFmtId="165" fontId="21" fillId="2" borderId="4" xfId="0" applyNumberFormat="1" applyFont="1" applyFill="1" applyBorder="1" applyAlignment="1">
      <alignment horizontal="right"/>
    </xf>
    <xf numFmtId="165" fontId="0" fillId="0" borderId="4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2063402093064244E-2"/>
          <c:y val="0.17300487339446771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Bund!$A$4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Bund!$B$3:$N$3</c:f>
              <c:numCache>
                <c:formatCode>0.000</c:formatCode>
                <c:ptCount val="13"/>
                <c:pt idx="1">
                  <c:v>0</c:v>
                </c:pt>
                <c:pt idx="2">
                  <c:v>2</c:v>
                </c:pt>
                <c:pt idx="3">
                  <c:v>3.1</c:v>
                </c:pt>
                <c:pt idx="4">
                  <c:v>3.4</c:v>
                </c:pt>
                <c:pt idx="5">
                  <c:v>4.5</c:v>
                </c:pt>
                <c:pt idx="6">
                  <c:v>4.5999999999999996</c:v>
                </c:pt>
                <c:pt idx="7">
                  <c:v>5.3</c:v>
                </c:pt>
                <c:pt idx="8">
                  <c:v>6.1</c:v>
                </c:pt>
                <c:pt idx="9">
                  <c:v>8</c:v>
                </c:pt>
                <c:pt idx="10">
                  <c:v>9.3000000000000007</c:v>
                </c:pt>
                <c:pt idx="11">
                  <c:v>11.2</c:v>
                </c:pt>
              </c:numCache>
            </c:numRef>
          </c:xVal>
          <c:yVal>
            <c:numRef>
              <c:f>Bund!$B$4:$N$4</c:f>
              <c:numCache>
                <c:formatCode>0.000</c:formatCode>
                <c:ptCount val="13"/>
                <c:pt idx="1">
                  <c:v>99.4</c:v>
                </c:pt>
                <c:pt idx="2">
                  <c:v>100.75</c:v>
                </c:pt>
                <c:pt idx="3">
                  <c:v>101.5</c:v>
                </c:pt>
                <c:pt idx="4">
                  <c:v>101.5</c:v>
                </c:pt>
                <c:pt idx="5">
                  <c:v>101.5</c:v>
                </c:pt>
                <c:pt idx="6">
                  <c:v>101.5</c:v>
                </c:pt>
                <c:pt idx="7">
                  <c:v>101.5</c:v>
                </c:pt>
                <c:pt idx="8">
                  <c:v>101.5</c:v>
                </c:pt>
                <c:pt idx="9">
                  <c:v>100.55</c:v>
                </c:pt>
                <c:pt idx="10">
                  <c:v>99.896000000000001</c:v>
                </c:pt>
                <c:pt idx="11">
                  <c:v>98.94</c:v>
                </c:pt>
              </c:numCache>
            </c:numRef>
          </c:yVal>
        </c:ser>
        <c:ser>
          <c:idx val="2"/>
          <c:order val="1"/>
          <c:tx>
            <c:strRef>
              <c:f>Bund!$A$6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Bund!$B$5:$N$5</c:f>
              <c:numCache>
                <c:formatCode>0.000</c:formatCode>
                <c:ptCount val="13"/>
                <c:pt idx="1">
                  <c:v>0</c:v>
                </c:pt>
                <c:pt idx="2">
                  <c:v>2</c:v>
                </c:pt>
                <c:pt idx="3">
                  <c:v>3.1</c:v>
                </c:pt>
                <c:pt idx="4">
                  <c:v>3.4</c:v>
                </c:pt>
                <c:pt idx="5">
                  <c:v>4.5</c:v>
                </c:pt>
                <c:pt idx="6">
                  <c:v>4.5999999999999996</c:v>
                </c:pt>
                <c:pt idx="7">
                  <c:v>5.3</c:v>
                </c:pt>
                <c:pt idx="8">
                  <c:v>6.1</c:v>
                </c:pt>
                <c:pt idx="9">
                  <c:v>8</c:v>
                </c:pt>
                <c:pt idx="10">
                  <c:v>9.3000000000000007</c:v>
                </c:pt>
                <c:pt idx="11">
                  <c:v>11.2</c:v>
                </c:pt>
              </c:numCache>
            </c:numRef>
          </c:xVal>
          <c:yVal>
            <c:numRef>
              <c:f>Bund!$B$6:$N$6</c:f>
              <c:numCache>
                <c:formatCode>0.000</c:formatCode>
                <c:ptCount val="13"/>
                <c:pt idx="1">
                  <c:v>99.4</c:v>
                </c:pt>
                <c:pt idx="2">
                  <c:v>100.75</c:v>
                </c:pt>
                <c:pt idx="3">
                  <c:v>100.983</c:v>
                </c:pt>
                <c:pt idx="4">
                  <c:v>101.05</c:v>
                </c:pt>
                <c:pt idx="5">
                  <c:v>101.05</c:v>
                </c:pt>
                <c:pt idx="6">
                  <c:v>101.05</c:v>
                </c:pt>
                <c:pt idx="7">
                  <c:v>101.05</c:v>
                </c:pt>
                <c:pt idx="8">
                  <c:v>100.63</c:v>
                </c:pt>
                <c:pt idx="9">
                  <c:v>99.632999999999996</c:v>
                </c:pt>
                <c:pt idx="10">
                  <c:v>98.95</c:v>
                </c:pt>
                <c:pt idx="11">
                  <c:v>98.94</c:v>
                </c:pt>
              </c:numCache>
            </c:numRef>
          </c:yVal>
        </c:ser>
        <c:ser>
          <c:idx val="1"/>
          <c:order val="2"/>
          <c:tx>
            <c:strRef>
              <c:f>'Bund-1'!#REF!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'Bund-1'!#REF!</c:f>
            </c:numRef>
          </c:xVal>
          <c:yVal>
            <c:numRef>
              <c:f>'Bund-1'!#REF!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56740096"/>
        <c:axId val="56745984"/>
      </c:scatterChart>
      <c:valAx>
        <c:axId val="56740096"/>
        <c:scaling>
          <c:orientation val="minMax"/>
          <c:max val="14"/>
          <c:min val="-1.5"/>
        </c:scaling>
        <c:axPos val="b"/>
        <c:majorGridlines/>
        <c:minorGridlines/>
        <c:numFmt formatCode="General" sourceLinked="1"/>
        <c:tickLblPos val="nextTo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56745984"/>
        <c:crossesAt val="-2"/>
        <c:crossBetween val="midCat"/>
        <c:majorUnit val="1"/>
        <c:minorUnit val="1"/>
      </c:valAx>
      <c:valAx>
        <c:axId val="56745984"/>
        <c:scaling>
          <c:orientation val="minMax"/>
          <c:max val="102"/>
          <c:min val="97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56740096"/>
        <c:crosses val="max"/>
        <c:crossBetween val="midCat"/>
        <c:majorUnit val="1"/>
      </c:valAx>
    </c:plotArea>
    <c:dispBlanksAs val="gap"/>
  </c:chart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2063402093064244E-2"/>
          <c:y val="0.17300487339446771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Bund!$A$260:$B$260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Bund!$C$259:$M$259</c:f>
              <c:numCache>
                <c:formatCode>0.000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6.1</c:v>
                </c:pt>
                <c:pt idx="3">
                  <c:v>6.4</c:v>
                </c:pt>
                <c:pt idx="4">
                  <c:v>7.6</c:v>
                </c:pt>
                <c:pt idx="5">
                  <c:v>7.7</c:v>
                </c:pt>
                <c:pt idx="6">
                  <c:v>8.5</c:v>
                </c:pt>
                <c:pt idx="7">
                  <c:v>9.1</c:v>
                </c:pt>
                <c:pt idx="8">
                  <c:v>13</c:v>
                </c:pt>
                <c:pt idx="9">
                  <c:v>13.5</c:v>
                </c:pt>
                <c:pt idx="10">
                  <c:v>15.8</c:v>
                </c:pt>
              </c:numCache>
            </c:numRef>
          </c:xVal>
          <c:yVal>
            <c:numRef>
              <c:f>Bund!$C$260:$M$260</c:f>
              <c:numCache>
                <c:formatCode>0.000</c:formatCode>
                <c:ptCount val="11"/>
                <c:pt idx="0">
                  <c:v>97.45</c:v>
                </c:pt>
                <c:pt idx="1">
                  <c:v>100.77</c:v>
                </c:pt>
                <c:pt idx="2">
                  <c:v>101.5</c:v>
                </c:pt>
                <c:pt idx="3">
                  <c:v>101.5</c:v>
                </c:pt>
                <c:pt idx="4">
                  <c:v>101.5</c:v>
                </c:pt>
                <c:pt idx="5">
                  <c:v>101.5</c:v>
                </c:pt>
                <c:pt idx="6">
                  <c:v>101.5</c:v>
                </c:pt>
                <c:pt idx="7">
                  <c:v>101.5</c:v>
                </c:pt>
                <c:pt idx="8">
                  <c:v>99.55</c:v>
                </c:pt>
                <c:pt idx="9">
                  <c:v>99.3</c:v>
                </c:pt>
                <c:pt idx="10">
                  <c:v>98.15</c:v>
                </c:pt>
              </c:numCache>
            </c:numRef>
          </c:yVal>
        </c:ser>
        <c:ser>
          <c:idx val="1"/>
          <c:order val="1"/>
          <c:tx>
            <c:strRef>
              <c:f>Bund!$A$262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Bund!$C$261:$M$261</c:f>
              <c:numCache>
                <c:formatCode>0.000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6.1</c:v>
                </c:pt>
                <c:pt idx="3">
                  <c:v>6.4</c:v>
                </c:pt>
                <c:pt idx="4">
                  <c:v>7.6</c:v>
                </c:pt>
                <c:pt idx="5">
                  <c:v>7.7</c:v>
                </c:pt>
                <c:pt idx="6">
                  <c:v>8.5</c:v>
                </c:pt>
                <c:pt idx="7">
                  <c:v>9.1</c:v>
                </c:pt>
                <c:pt idx="8">
                  <c:v>13</c:v>
                </c:pt>
                <c:pt idx="9">
                  <c:v>13.5</c:v>
                </c:pt>
                <c:pt idx="10">
                  <c:v>15.8</c:v>
                </c:pt>
              </c:numCache>
            </c:numRef>
          </c:xVal>
          <c:yVal>
            <c:numRef>
              <c:f>Bund!$C$262:$M$262</c:f>
              <c:numCache>
                <c:formatCode>0.000</c:formatCode>
                <c:ptCount val="11"/>
                <c:pt idx="0">
                  <c:v>97.45</c:v>
                </c:pt>
                <c:pt idx="1">
                  <c:v>100.77</c:v>
                </c:pt>
                <c:pt idx="2">
                  <c:v>100.95099999999999</c:v>
                </c:pt>
                <c:pt idx="3">
                  <c:v>101</c:v>
                </c:pt>
                <c:pt idx="4">
                  <c:v>101</c:v>
                </c:pt>
                <c:pt idx="5">
                  <c:v>101</c:v>
                </c:pt>
                <c:pt idx="6">
                  <c:v>101</c:v>
                </c:pt>
                <c:pt idx="7">
                  <c:v>100.658</c:v>
                </c:pt>
                <c:pt idx="8">
                  <c:v>98.435000000000002</c:v>
                </c:pt>
                <c:pt idx="9">
                  <c:v>98.15</c:v>
                </c:pt>
                <c:pt idx="10">
                  <c:v>98.15</c:v>
                </c:pt>
              </c:numCache>
            </c:numRef>
          </c:yVal>
        </c:ser>
        <c:axId val="61072128"/>
        <c:axId val="61073664"/>
      </c:scatterChart>
      <c:valAx>
        <c:axId val="61072128"/>
        <c:scaling>
          <c:orientation val="minMax"/>
          <c:max val="17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61073664"/>
        <c:crossesAt val="-2"/>
        <c:crossBetween val="midCat"/>
        <c:majorUnit val="1"/>
        <c:minorUnit val="1"/>
      </c:valAx>
      <c:valAx>
        <c:axId val="61073664"/>
        <c:scaling>
          <c:orientation val="minMax"/>
          <c:max val="102"/>
          <c:min val="97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61072128"/>
        <c:crosses val="max"/>
        <c:crossBetween val="midCat"/>
        <c:majorUnit val="1"/>
      </c:valAx>
    </c:plotArea>
    <c:dispBlanksAs val="gap"/>
  </c:chart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(2)'!$A$1377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(2)'!$C$1376:$L$1376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(2)'!$C$1377:$L$1377</c:f>
              <c:numCache>
                <c:formatCode>0.000</c:formatCode>
                <c:ptCount val="10"/>
                <c:pt idx="0">
                  <c:v>97.17</c:v>
                </c:pt>
                <c:pt idx="1">
                  <c:v>95.98</c:v>
                </c:pt>
                <c:pt idx="2">
                  <c:v>95.98</c:v>
                </c:pt>
                <c:pt idx="3">
                  <c:v>95.98</c:v>
                </c:pt>
                <c:pt idx="4">
                  <c:v>95.98</c:v>
                </c:pt>
                <c:pt idx="5">
                  <c:v>95.98</c:v>
                </c:pt>
                <c:pt idx="6">
                  <c:v>97.32</c:v>
                </c:pt>
              </c:numCache>
            </c:numRef>
          </c:yVal>
        </c:ser>
        <c:ser>
          <c:idx val="1"/>
          <c:order val="1"/>
          <c:tx>
            <c:strRef>
              <c:f>'fc (2)'!$A$1379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(2)'!$C$1378:$L$1378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(2)'!$C$1379:$L$1379</c:f>
              <c:numCache>
                <c:formatCode>0.000</c:formatCode>
                <c:ptCount val="10"/>
                <c:pt idx="0">
                  <c:v>97.17</c:v>
                </c:pt>
                <c:pt idx="1">
                  <c:v>96.51</c:v>
                </c:pt>
                <c:pt idx="2">
                  <c:v>96.4</c:v>
                </c:pt>
                <c:pt idx="3">
                  <c:v>96.4</c:v>
                </c:pt>
                <c:pt idx="4">
                  <c:v>96.4</c:v>
                </c:pt>
                <c:pt idx="5">
                  <c:v>96.515000000000001</c:v>
                </c:pt>
                <c:pt idx="6">
                  <c:v>97.32</c:v>
                </c:pt>
              </c:numCache>
            </c:numRef>
          </c:yVal>
        </c:ser>
        <c:axId val="73898240"/>
        <c:axId val="73900032"/>
      </c:scatterChart>
      <c:valAx>
        <c:axId val="73898240"/>
        <c:scaling>
          <c:orientation val="minMax"/>
          <c:max val="8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900032"/>
        <c:crossesAt val="-2"/>
        <c:crossBetween val="midCat"/>
        <c:majorUnit val="1"/>
        <c:minorUnit val="0.5"/>
      </c:valAx>
      <c:valAx>
        <c:axId val="73900032"/>
        <c:scaling>
          <c:orientation val="minMax"/>
          <c:max val="100"/>
          <c:min val="94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3898240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99" r="0.75000000000001099" t="1" header="0.5" footer="0.5"/>
    <c:pageSetup paperSize="9" orientation="landscape" horizontalDpi="360" verticalDpi="360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(2)'!$A$1420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(2)'!$C$1419:$L$1419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(2)'!$C$1420:$L$1420</c:f>
              <c:numCache>
                <c:formatCode>0.000</c:formatCode>
                <c:ptCount val="10"/>
                <c:pt idx="0">
                  <c:v>97.12</c:v>
                </c:pt>
                <c:pt idx="1">
                  <c:v>95.98</c:v>
                </c:pt>
                <c:pt idx="2">
                  <c:v>95.98</c:v>
                </c:pt>
                <c:pt idx="3">
                  <c:v>95.98</c:v>
                </c:pt>
                <c:pt idx="4">
                  <c:v>95.98</c:v>
                </c:pt>
                <c:pt idx="5">
                  <c:v>95.98</c:v>
                </c:pt>
                <c:pt idx="6">
                  <c:v>97.3</c:v>
                </c:pt>
              </c:numCache>
            </c:numRef>
          </c:yVal>
        </c:ser>
        <c:ser>
          <c:idx val="1"/>
          <c:order val="1"/>
          <c:tx>
            <c:strRef>
              <c:f>'fc (2)'!$A$1422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(2)'!$C$1421:$L$1421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(2)'!$C$1422:$L$1422</c:f>
              <c:numCache>
                <c:formatCode>0.000</c:formatCode>
                <c:ptCount val="10"/>
                <c:pt idx="0">
                  <c:v>97.12</c:v>
                </c:pt>
                <c:pt idx="1">
                  <c:v>96.52</c:v>
                </c:pt>
                <c:pt idx="2">
                  <c:v>96.42</c:v>
                </c:pt>
                <c:pt idx="3">
                  <c:v>96.42</c:v>
                </c:pt>
                <c:pt idx="4">
                  <c:v>96.42</c:v>
                </c:pt>
                <c:pt idx="5">
                  <c:v>96.518000000000001</c:v>
                </c:pt>
                <c:pt idx="6">
                  <c:v>97.3</c:v>
                </c:pt>
              </c:numCache>
            </c:numRef>
          </c:yVal>
        </c:ser>
        <c:axId val="73919872"/>
        <c:axId val="73933952"/>
      </c:scatterChart>
      <c:valAx>
        <c:axId val="73919872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933952"/>
        <c:crossesAt val="-2"/>
        <c:crossBetween val="midCat"/>
        <c:majorUnit val="1"/>
        <c:minorUnit val="0.5"/>
      </c:valAx>
      <c:valAx>
        <c:axId val="73933952"/>
        <c:scaling>
          <c:orientation val="minMax"/>
          <c:max val="100"/>
          <c:min val="94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3919872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21" r="0.75000000000001121" t="1" header="0.5" footer="0.5"/>
    <c:pageSetup paperSize="9" orientation="landscape" horizontalDpi="360" verticalDpi="360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fc!$A$6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fc!$C$5:$I$5</c:f>
              <c:numCache>
                <c:formatCode>0.000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2.1</c:v>
                </c:pt>
                <c:pt idx="4">
                  <c:v>3.6</c:v>
                </c:pt>
                <c:pt idx="5">
                  <c:v>4.2</c:v>
                </c:pt>
                <c:pt idx="6">
                  <c:v>4.5</c:v>
                </c:pt>
              </c:numCache>
            </c:numRef>
          </c:xVal>
          <c:yVal>
            <c:numRef>
              <c:f>fc!$C$6:$I$6</c:f>
              <c:numCache>
                <c:formatCode>0.000</c:formatCode>
                <c:ptCount val="7"/>
                <c:pt idx="0">
                  <c:v>100.02</c:v>
                </c:pt>
                <c:pt idx="1">
                  <c:v>99.87</c:v>
                </c:pt>
                <c:pt idx="2">
                  <c:v>99.8</c:v>
                </c:pt>
                <c:pt idx="3">
                  <c:v>99.8</c:v>
                </c:pt>
                <c:pt idx="4">
                  <c:v>99.8</c:v>
                </c:pt>
                <c:pt idx="5">
                  <c:v>100</c:v>
                </c:pt>
                <c:pt idx="6">
                  <c:v>100.04</c:v>
                </c:pt>
              </c:numCache>
            </c:numRef>
          </c:yVal>
        </c:ser>
        <c:ser>
          <c:idx val="1"/>
          <c:order val="1"/>
          <c:tx>
            <c:strRef>
              <c:f>fc!$A$8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fc!$C$7:$I$7</c:f>
              <c:numCache>
                <c:formatCode>0.000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2.1</c:v>
                </c:pt>
                <c:pt idx="4">
                  <c:v>3.6</c:v>
                </c:pt>
                <c:pt idx="5">
                  <c:v>4.2</c:v>
                </c:pt>
                <c:pt idx="6">
                  <c:v>4.5</c:v>
                </c:pt>
              </c:numCache>
            </c:numRef>
          </c:xVal>
          <c:yVal>
            <c:numRef>
              <c:f>fc!$C$8:$I$8</c:f>
              <c:numCache>
                <c:formatCode>0.000</c:formatCode>
                <c:ptCount val="7"/>
                <c:pt idx="0">
                  <c:v>100.02</c:v>
                </c:pt>
                <c:pt idx="1">
                  <c:v>99.87</c:v>
                </c:pt>
                <c:pt idx="2">
                  <c:v>99.87</c:v>
                </c:pt>
                <c:pt idx="3">
                  <c:v>99.87</c:v>
                </c:pt>
                <c:pt idx="4">
                  <c:v>99.87</c:v>
                </c:pt>
                <c:pt idx="5">
                  <c:v>100</c:v>
                </c:pt>
                <c:pt idx="6">
                  <c:v>100.04</c:v>
                </c:pt>
              </c:numCache>
            </c:numRef>
          </c:yVal>
        </c:ser>
        <c:axId val="74192768"/>
        <c:axId val="74194304"/>
      </c:scatterChart>
      <c:valAx>
        <c:axId val="74192768"/>
        <c:scaling>
          <c:orientation val="minMax"/>
          <c:max val="10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194304"/>
        <c:crossesAt val="-2"/>
        <c:crossBetween val="midCat"/>
        <c:majorUnit val="1"/>
        <c:minorUnit val="0.5"/>
      </c:valAx>
      <c:valAx>
        <c:axId val="74194304"/>
        <c:scaling>
          <c:orientation val="minMax"/>
          <c:max val="102"/>
          <c:min val="99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4192768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1" r="0.7500000000000101" t="1" header="0.5" footer="0.5"/>
    <c:pageSetup paperSize="9" orientation="landscape" horizontalDpi="360" verticalDpi="360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fc!$A$39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fc!$B$38:$J$38</c:f>
              <c:numCache>
                <c:formatCode>0.000</c:formatCode>
                <c:ptCount val="9"/>
                <c:pt idx="1">
                  <c:v>0</c:v>
                </c:pt>
                <c:pt idx="2">
                  <c:v>0.4</c:v>
                </c:pt>
                <c:pt idx="3">
                  <c:v>0.6</c:v>
                </c:pt>
                <c:pt idx="4">
                  <c:v>2.1</c:v>
                </c:pt>
                <c:pt idx="5">
                  <c:v>3.5</c:v>
                </c:pt>
                <c:pt idx="6">
                  <c:v>3.8</c:v>
                </c:pt>
                <c:pt idx="7">
                  <c:v>4.4000000000000004</c:v>
                </c:pt>
              </c:numCache>
            </c:numRef>
          </c:xVal>
          <c:yVal>
            <c:numRef>
              <c:f>fc!$B$39:$J$39</c:f>
              <c:numCache>
                <c:formatCode>0.000</c:formatCode>
                <c:ptCount val="9"/>
                <c:pt idx="1">
                  <c:v>99.87</c:v>
                </c:pt>
                <c:pt idx="2">
                  <c:v>99.57</c:v>
                </c:pt>
                <c:pt idx="3">
                  <c:v>99.48</c:v>
                </c:pt>
                <c:pt idx="4">
                  <c:v>99.48</c:v>
                </c:pt>
                <c:pt idx="5">
                  <c:v>99.48</c:v>
                </c:pt>
                <c:pt idx="6">
                  <c:v>99.68</c:v>
                </c:pt>
                <c:pt idx="7">
                  <c:v>99.91</c:v>
                </c:pt>
              </c:numCache>
            </c:numRef>
          </c:yVal>
        </c:ser>
        <c:ser>
          <c:idx val="1"/>
          <c:order val="1"/>
          <c:tx>
            <c:strRef>
              <c:f>fc!$A$41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fc!$B$40:$J$40</c:f>
              <c:numCache>
                <c:formatCode>0.000</c:formatCode>
                <c:ptCount val="9"/>
                <c:pt idx="1">
                  <c:v>0</c:v>
                </c:pt>
                <c:pt idx="2">
                  <c:v>0.4</c:v>
                </c:pt>
                <c:pt idx="3">
                  <c:v>0.6</c:v>
                </c:pt>
                <c:pt idx="4">
                  <c:v>2.1</c:v>
                </c:pt>
                <c:pt idx="5">
                  <c:v>3.5</c:v>
                </c:pt>
                <c:pt idx="6">
                  <c:v>3.8</c:v>
                </c:pt>
                <c:pt idx="7">
                  <c:v>4.4000000000000004</c:v>
                </c:pt>
              </c:numCache>
            </c:numRef>
          </c:xVal>
          <c:yVal>
            <c:numRef>
              <c:f>fc!$B$41:$J$41</c:f>
              <c:numCache>
                <c:formatCode>0.000</c:formatCode>
                <c:ptCount val="9"/>
                <c:pt idx="1">
                  <c:v>99.87</c:v>
                </c:pt>
                <c:pt idx="2">
                  <c:v>99.57</c:v>
                </c:pt>
                <c:pt idx="3">
                  <c:v>99.57</c:v>
                </c:pt>
                <c:pt idx="4">
                  <c:v>99.57</c:v>
                </c:pt>
                <c:pt idx="5">
                  <c:v>99.57</c:v>
                </c:pt>
                <c:pt idx="6">
                  <c:v>99.68</c:v>
                </c:pt>
                <c:pt idx="7">
                  <c:v>99.91</c:v>
                </c:pt>
              </c:numCache>
            </c:numRef>
          </c:yVal>
        </c:ser>
        <c:axId val="74218496"/>
        <c:axId val="74220288"/>
      </c:scatterChart>
      <c:valAx>
        <c:axId val="74218496"/>
        <c:scaling>
          <c:orientation val="minMax"/>
          <c:max val="10"/>
          <c:min val="-1"/>
        </c:scaling>
        <c:axPos val="b"/>
        <c:majorGridlines/>
        <c:min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220288"/>
        <c:crossesAt val="-2"/>
        <c:crossBetween val="midCat"/>
        <c:majorUnit val="1"/>
        <c:minorUnit val="0.5"/>
      </c:valAx>
      <c:valAx>
        <c:axId val="74220288"/>
        <c:scaling>
          <c:orientation val="minMax"/>
          <c:max val="103"/>
          <c:min val="97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421849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33" r="0.75000000000001033" t="1" header="0.5" footer="0.5"/>
    <c:pageSetup paperSize="9" orientation="landscape" horizontalDpi="360" verticalDpi="360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fc!$A$84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fc!$B$83:$M$83</c:f>
              <c:numCache>
                <c:formatCode>0.000</c:formatCode>
                <c:ptCount val="12"/>
                <c:pt idx="1">
                  <c:v>0</c:v>
                </c:pt>
                <c:pt idx="2">
                  <c:v>0.2</c:v>
                </c:pt>
                <c:pt idx="3">
                  <c:v>0.217</c:v>
                </c:pt>
                <c:pt idx="4">
                  <c:v>0.6</c:v>
                </c:pt>
                <c:pt idx="5">
                  <c:v>2.1</c:v>
                </c:pt>
                <c:pt idx="6">
                  <c:v>3.6</c:v>
                </c:pt>
                <c:pt idx="7">
                  <c:v>3.7</c:v>
                </c:pt>
                <c:pt idx="8">
                  <c:v>3.9</c:v>
                </c:pt>
                <c:pt idx="9">
                  <c:v>4.5</c:v>
                </c:pt>
              </c:numCache>
            </c:numRef>
          </c:xVal>
          <c:yVal>
            <c:numRef>
              <c:f>fc!$B$84:$M$84</c:f>
              <c:numCache>
                <c:formatCode>0.000</c:formatCode>
                <c:ptCount val="12"/>
                <c:pt idx="1">
                  <c:v>100.58</c:v>
                </c:pt>
                <c:pt idx="2">
                  <c:v>100.28</c:v>
                </c:pt>
                <c:pt idx="3">
                  <c:v>100.24299999999999</c:v>
                </c:pt>
                <c:pt idx="4">
                  <c:v>99.43</c:v>
                </c:pt>
                <c:pt idx="5">
                  <c:v>99.43</c:v>
                </c:pt>
                <c:pt idx="6">
                  <c:v>99.43</c:v>
                </c:pt>
                <c:pt idx="7">
                  <c:v>99.537000000000006</c:v>
                </c:pt>
                <c:pt idx="8">
                  <c:v>99.75</c:v>
                </c:pt>
                <c:pt idx="9">
                  <c:v>100.48</c:v>
                </c:pt>
              </c:numCache>
            </c:numRef>
          </c:yVal>
        </c:ser>
        <c:ser>
          <c:idx val="1"/>
          <c:order val="1"/>
          <c:tx>
            <c:strRef>
              <c:f>fc!$A$86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fc!$B$85:$M$85</c:f>
              <c:numCache>
                <c:formatCode>0.000</c:formatCode>
                <c:ptCount val="12"/>
                <c:pt idx="1">
                  <c:v>0</c:v>
                </c:pt>
                <c:pt idx="2">
                  <c:v>0.2</c:v>
                </c:pt>
                <c:pt idx="3">
                  <c:v>0.217</c:v>
                </c:pt>
                <c:pt idx="4">
                  <c:v>0.6</c:v>
                </c:pt>
                <c:pt idx="5">
                  <c:v>2.1</c:v>
                </c:pt>
                <c:pt idx="6">
                  <c:v>3.6</c:v>
                </c:pt>
                <c:pt idx="7">
                  <c:v>3.7</c:v>
                </c:pt>
                <c:pt idx="8">
                  <c:v>3.9</c:v>
                </c:pt>
                <c:pt idx="9">
                  <c:v>4.5</c:v>
                </c:pt>
              </c:numCache>
            </c:numRef>
          </c:xVal>
          <c:yVal>
            <c:numRef>
              <c:f>fc!$B$86:$M$86</c:f>
              <c:numCache>
                <c:formatCode>0.000</c:formatCode>
                <c:ptCount val="12"/>
                <c:pt idx="1">
                  <c:v>100.58</c:v>
                </c:pt>
                <c:pt idx="2">
                  <c:v>100.27</c:v>
                </c:pt>
                <c:pt idx="3">
                  <c:v>100.24299999999999</c:v>
                </c:pt>
                <c:pt idx="4">
                  <c:v>99.65</c:v>
                </c:pt>
                <c:pt idx="5">
                  <c:v>99.65</c:v>
                </c:pt>
                <c:pt idx="6">
                  <c:v>99.65</c:v>
                </c:pt>
                <c:pt idx="7">
                  <c:v>99.65</c:v>
                </c:pt>
                <c:pt idx="8">
                  <c:v>99.858000000000004</c:v>
                </c:pt>
                <c:pt idx="9">
                  <c:v>100.48</c:v>
                </c:pt>
              </c:numCache>
            </c:numRef>
          </c:yVal>
        </c:ser>
        <c:axId val="74244480"/>
        <c:axId val="74246016"/>
      </c:scatterChart>
      <c:valAx>
        <c:axId val="74244480"/>
        <c:scaling>
          <c:orientation val="minMax"/>
          <c:max val="10"/>
          <c:min val="-1"/>
        </c:scaling>
        <c:axPos val="b"/>
        <c:majorGridlines/>
        <c:min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246016"/>
        <c:crossesAt val="-2"/>
        <c:crossBetween val="midCat"/>
        <c:majorUnit val="1"/>
        <c:minorUnit val="0.5"/>
      </c:valAx>
      <c:valAx>
        <c:axId val="74246016"/>
        <c:scaling>
          <c:orientation val="minMax"/>
          <c:max val="103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4244480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55" r="0.75000000000001055" t="1" header="0.5" footer="0.5"/>
    <c:pageSetup paperSize="9" orientation="landscape" horizontalDpi="360" verticalDpi="360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fc!$A$122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fc!$B$121:$L$121</c:f>
              <c:numCache>
                <c:formatCode>0.000</c:formatCode>
                <c:ptCount val="11"/>
                <c:pt idx="1">
                  <c:v>0</c:v>
                </c:pt>
                <c:pt idx="2">
                  <c:v>0.1</c:v>
                </c:pt>
                <c:pt idx="3">
                  <c:v>0.5</c:v>
                </c:pt>
                <c:pt idx="4">
                  <c:v>0.6</c:v>
                </c:pt>
                <c:pt idx="5">
                  <c:v>2.1</c:v>
                </c:pt>
                <c:pt idx="6">
                  <c:v>3.5</c:v>
                </c:pt>
                <c:pt idx="7">
                  <c:v>3.8</c:v>
                </c:pt>
                <c:pt idx="8">
                  <c:v>4.4000000000000004</c:v>
                </c:pt>
              </c:numCache>
            </c:numRef>
          </c:xVal>
          <c:yVal>
            <c:numRef>
              <c:f>fc!$B$122:$L$122</c:f>
              <c:numCache>
                <c:formatCode>0.000</c:formatCode>
                <c:ptCount val="11"/>
                <c:pt idx="1">
                  <c:v>100.14</c:v>
                </c:pt>
                <c:pt idx="2">
                  <c:v>100</c:v>
                </c:pt>
                <c:pt idx="3">
                  <c:v>99.456000000000003</c:v>
                </c:pt>
                <c:pt idx="4">
                  <c:v>99.32</c:v>
                </c:pt>
                <c:pt idx="5">
                  <c:v>99.32</c:v>
                </c:pt>
                <c:pt idx="6">
                  <c:v>99.32</c:v>
                </c:pt>
                <c:pt idx="7">
                  <c:v>99.52</c:v>
                </c:pt>
                <c:pt idx="8">
                  <c:v>100.13</c:v>
                </c:pt>
              </c:numCache>
            </c:numRef>
          </c:yVal>
        </c:ser>
        <c:ser>
          <c:idx val="1"/>
          <c:order val="1"/>
          <c:tx>
            <c:strRef>
              <c:f>fc!$A$124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fc!$B$123:$L$123</c:f>
              <c:numCache>
                <c:formatCode>0.000</c:formatCode>
                <c:ptCount val="11"/>
                <c:pt idx="1">
                  <c:v>0</c:v>
                </c:pt>
                <c:pt idx="2">
                  <c:v>0.1</c:v>
                </c:pt>
                <c:pt idx="3">
                  <c:v>0.5</c:v>
                </c:pt>
                <c:pt idx="4">
                  <c:v>0.6</c:v>
                </c:pt>
                <c:pt idx="5">
                  <c:v>2.1</c:v>
                </c:pt>
                <c:pt idx="6">
                  <c:v>3.5</c:v>
                </c:pt>
                <c:pt idx="7">
                  <c:v>3.8</c:v>
                </c:pt>
                <c:pt idx="8">
                  <c:v>4.4000000000000004</c:v>
                </c:pt>
              </c:numCache>
            </c:numRef>
          </c:xVal>
          <c:yVal>
            <c:numRef>
              <c:f>fc!$B$124:$L$124</c:f>
              <c:numCache>
                <c:formatCode>0.000</c:formatCode>
                <c:ptCount val="11"/>
                <c:pt idx="1">
                  <c:v>100.14</c:v>
                </c:pt>
                <c:pt idx="2">
                  <c:v>100.02200000000001</c:v>
                </c:pt>
                <c:pt idx="3">
                  <c:v>99.55</c:v>
                </c:pt>
                <c:pt idx="4">
                  <c:v>99.55</c:v>
                </c:pt>
                <c:pt idx="5">
                  <c:v>99.55</c:v>
                </c:pt>
                <c:pt idx="6">
                  <c:v>99.55</c:v>
                </c:pt>
                <c:pt idx="7">
                  <c:v>99.52</c:v>
                </c:pt>
                <c:pt idx="8">
                  <c:v>100.13</c:v>
                </c:pt>
              </c:numCache>
            </c:numRef>
          </c:yVal>
        </c:ser>
        <c:axId val="74286592"/>
        <c:axId val="74288128"/>
      </c:scatterChart>
      <c:valAx>
        <c:axId val="74286592"/>
        <c:scaling>
          <c:orientation val="minMax"/>
          <c:max val="10"/>
          <c:min val="-1"/>
        </c:scaling>
        <c:axPos val="b"/>
        <c:majorGridlines/>
        <c:minorGridlines/>
        <c:numFmt formatCode="General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288128"/>
        <c:crossesAt val="-2"/>
        <c:crossBetween val="midCat"/>
        <c:majorUnit val="1"/>
        <c:minorUnit val="0.5"/>
      </c:valAx>
      <c:valAx>
        <c:axId val="74288128"/>
        <c:scaling>
          <c:orientation val="minMax"/>
          <c:max val="103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4286592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77" r="0.75000000000001077" t="1" header="0.5" footer="0.5"/>
    <c:pageSetup paperSize="9" orientation="landscape" horizontalDpi="360" verticalDpi="360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fc!$A$167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fc!$C$166:$K$166</c:f>
              <c:numCache>
                <c:formatCode>0.000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2.1</c:v>
                </c:pt>
                <c:pt idx="5">
                  <c:v>3.6</c:v>
                </c:pt>
                <c:pt idx="6">
                  <c:v>3.9</c:v>
                </c:pt>
                <c:pt idx="7">
                  <c:v>4.2</c:v>
                </c:pt>
                <c:pt idx="8">
                  <c:v>4.5</c:v>
                </c:pt>
              </c:numCache>
            </c:numRef>
          </c:xVal>
          <c:yVal>
            <c:numRef>
              <c:f>fc!$C$167:$K$167</c:f>
              <c:numCache>
                <c:formatCode>0.000</c:formatCode>
                <c:ptCount val="9"/>
                <c:pt idx="0">
                  <c:v>99.7</c:v>
                </c:pt>
                <c:pt idx="1">
                  <c:v>99.6</c:v>
                </c:pt>
                <c:pt idx="2">
                  <c:v>99.432000000000002</c:v>
                </c:pt>
                <c:pt idx="3">
                  <c:v>99.32</c:v>
                </c:pt>
                <c:pt idx="4">
                  <c:v>99.32</c:v>
                </c:pt>
                <c:pt idx="5">
                  <c:v>99.32</c:v>
                </c:pt>
                <c:pt idx="6">
                  <c:v>99.42</c:v>
                </c:pt>
                <c:pt idx="7">
                  <c:v>99.52</c:v>
                </c:pt>
                <c:pt idx="8">
                  <c:v>99.68</c:v>
                </c:pt>
              </c:numCache>
            </c:numRef>
          </c:yVal>
        </c:ser>
        <c:ser>
          <c:idx val="1"/>
          <c:order val="1"/>
          <c:tx>
            <c:strRef>
              <c:f>fc!$A$169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fc!$C$168:$K$168</c:f>
              <c:numCache>
                <c:formatCode>0.000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2.1</c:v>
                </c:pt>
                <c:pt idx="5">
                  <c:v>3.6</c:v>
                </c:pt>
                <c:pt idx="6">
                  <c:v>3.9</c:v>
                </c:pt>
                <c:pt idx="7">
                  <c:v>4.2</c:v>
                </c:pt>
                <c:pt idx="8">
                  <c:v>4.5</c:v>
                </c:pt>
              </c:numCache>
            </c:numRef>
          </c:xVal>
          <c:yVal>
            <c:numRef>
              <c:f>fc!$C$169:$K$169</c:f>
              <c:numCache>
                <c:formatCode>0.000</c:formatCode>
                <c:ptCount val="9"/>
                <c:pt idx="0">
                  <c:v>99.7</c:v>
                </c:pt>
                <c:pt idx="1">
                  <c:v>99.65</c:v>
                </c:pt>
                <c:pt idx="2">
                  <c:v>99.5</c:v>
                </c:pt>
                <c:pt idx="3">
                  <c:v>99.5</c:v>
                </c:pt>
                <c:pt idx="4">
                  <c:v>99.5</c:v>
                </c:pt>
                <c:pt idx="5">
                  <c:v>99.5</c:v>
                </c:pt>
                <c:pt idx="6">
                  <c:v>99.522999999999996</c:v>
                </c:pt>
                <c:pt idx="7">
                  <c:v>99.6</c:v>
                </c:pt>
                <c:pt idx="8">
                  <c:v>99.68</c:v>
                </c:pt>
              </c:numCache>
            </c:numRef>
          </c:yVal>
        </c:ser>
        <c:axId val="74316416"/>
        <c:axId val="74322304"/>
      </c:scatterChart>
      <c:valAx>
        <c:axId val="74316416"/>
        <c:scaling>
          <c:orientation val="minMax"/>
          <c:max val="10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322304"/>
        <c:crossesAt val="-2"/>
        <c:crossBetween val="midCat"/>
        <c:majorUnit val="1"/>
        <c:minorUnit val="0.5"/>
      </c:valAx>
      <c:valAx>
        <c:axId val="74322304"/>
        <c:scaling>
          <c:orientation val="minMax"/>
          <c:max val="102"/>
          <c:min val="98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431641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99" r="0.75000000000001099" t="1" header="0.5" footer="0.5"/>
    <c:pageSetup paperSize="9" orientation="landscape" horizontalDpi="360" verticalDpi="360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fc!$A$207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fc!$C$206:$K$206</c:f>
              <c:numCache>
                <c:formatCode>0.000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0.6</c:v>
                </c:pt>
                <c:pt idx="4">
                  <c:v>2.1</c:v>
                </c:pt>
                <c:pt idx="5">
                  <c:v>3.5</c:v>
                </c:pt>
                <c:pt idx="6">
                  <c:v>3.7</c:v>
                </c:pt>
                <c:pt idx="7">
                  <c:v>3.8</c:v>
                </c:pt>
                <c:pt idx="8">
                  <c:v>4.4000000000000004</c:v>
                </c:pt>
              </c:numCache>
            </c:numRef>
          </c:xVal>
          <c:yVal>
            <c:numRef>
              <c:f>fc!$C$207:$K$207</c:f>
              <c:numCache>
                <c:formatCode>0.000</c:formatCode>
                <c:ptCount val="9"/>
                <c:pt idx="0">
                  <c:v>100.14</c:v>
                </c:pt>
                <c:pt idx="1">
                  <c:v>99.84</c:v>
                </c:pt>
                <c:pt idx="2">
                  <c:v>99.397999999999996</c:v>
                </c:pt>
                <c:pt idx="3">
                  <c:v>99.25</c:v>
                </c:pt>
                <c:pt idx="4">
                  <c:v>99.25</c:v>
                </c:pt>
                <c:pt idx="5">
                  <c:v>99.25</c:v>
                </c:pt>
                <c:pt idx="6">
                  <c:v>99.45</c:v>
                </c:pt>
                <c:pt idx="7">
                  <c:v>99.549000000000007</c:v>
                </c:pt>
                <c:pt idx="8">
                  <c:v>100.14</c:v>
                </c:pt>
              </c:numCache>
            </c:numRef>
          </c:yVal>
        </c:ser>
        <c:ser>
          <c:idx val="1"/>
          <c:order val="1"/>
          <c:tx>
            <c:strRef>
              <c:f>fc!$A$209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fc!$C$208:$K$208</c:f>
              <c:numCache>
                <c:formatCode>0.000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0.6</c:v>
                </c:pt>
                <c:pt idx="4">
                  <c:v>2.1</c:v>
                </c:pt>
                <c:pt idx="5">
                  <c:v>3.5</c:v>
                </c:pt>
                <c:pt idx="6">
                  <c:v>3.7</c:v>
                </c:pt>
                <c:pt idx="7">
                  <c:v>3.8</c:v>
                </c:pt>
                <c:pt idx="8">
                  <c:v>4.4000000000000004</c:v>
                </c:pt>
              </c:numCache>
            </c:numRef>
          </c:xVal>
          <c:yVal>
            <c:numRef>
              <c:f>fc!$C$209:$K$209</c:f>
              <c:numCache>
                <c:formatCode>0.000</c:formatCode>
                <c:ptCount val="9"/>
                <c:pt idx="0">
                  <c:v>100.14</c:v>
                </c:pt>
                <c:pt idx="1">
                  <c:v>99.921000000000006</c:v>
                </c:pt>
                <c:pt idx="2">
                  <c:v>99.58</c:v>
                </c:pt>
                <c:pt idx="3">
                  <c:v>99.58</c:v>
                </c:pt>
                <c:pt idx="4">
                  <c:v>99.58</c:v>
                </c:pt>
                <c:pt idx="5">
                  <c:v>99.58</c:v>
                </c:pt>
                <c:pt idx="6">
                  <c:v>99.58</c:v>
                </c:pt>
                <c:pt idx="7">
                  <c:v>99.58</c:v>
                </c:pt>
                <c:pt idx="8">
                  <c:v>100.14</c:v>
                </c:pt>
              </c:numCache>
            </c:numRef>
          </c:yVal>
        </c:ser>
        <c:axId val="74366976"/>
        <c:axId val="74368512"/>
      </c:scatterChart>
      <c:valAx>
        <c:axId val="74366976"/>
        <c:scaling>
          <c:orientation val="minMax"/>
          <c:max val="10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368512"/>
        <c:crossesAt val="-2"/>
        <c:crossBetween val="midCat"/>
        <c:majorUnit val="1"/>
        <c:minorUnit val="0.5"/>
      </c:valAx>
      <c:valAx>
        <c:axId val="74368512"/>
        <c:scaling>
          <c:orientation val="minMax"/>
          <c:max val="102"/>
          <c:min val="98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436697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21" r="0.75000000000001121" t="1" header="0.5" footer="0.5"/>
    <c:pageSetup paperSize="9" orientation="landscape" horizontalDpi="360" verticalDpi="360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4164966381000424E-2"/>
          <c:y val="9.6970133069158485E-2"/>
          <c:w val="0.88392816300568244"/>
          <c:h val="0.7151557478441517"/>
        </c:manualLayout>
      </c:layout>
      <c:scatterChart>
        <c:scatterStyle val="lineMarker"/>
        <c:ser>
          <c:idx val="1"/>
          <c:order val="0"/>
          <c:tx>
            <c:strRef>
              <c:f>fc!$A$252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fc!$C$251:$K$251</c:f>
              <c:numCache>
                <c:formatCode>0.000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0.36299999999999999</c:v>
                </c:pt>
                <c:pt idx="3">
                  <c:v>0.5</c:v>
                </c:pt>
                <c:pt idx="4">
                  <c:v>0.6</c:v>
                </c:pt>
                <c:pt idx="5">
                  <c:v>2.1</c:v>
                </c:pt>
                <c:pt idx="6">
                  <c:v>3.6</c:v>
                </c:pt>
                <c:pt idx="7">
                  <c:v>3.8</c:v>
                </c:pt>
                <c:pt idx="8">
                  <c:v>4.5</c:v>
                </c:pt>
              </c:numCache>
            </c:numRef>
          </c:xVal>
          <c:yVal>
            <c:numRef>
              <c:f>fc!$C$252:$K$252</c:f>
              <c:numCache>
                <c:formatCode>0.000</c:formatCode>
                <c:ptCount val="9"/>
                <c:pt idx="0">
                  <c:v>100.04</c:v>
                </c:pt>
                <c:pt idx="1">
                  <c:v>99.74</c:v>
                </c:pt>
                <c:pt idx="2">
                  <c:v>99.394000000000005</c:v>
                </c:pt>
                <c:pt idx="3">
                  <c:v>99.21</c:v>
                </c:pt>
                <c:pt idx="4">
                  <c:v>99.15</c:v>
                </c:pt>
                <c:pt idx="5">
                  <c:v>99.15</c:v>
                </c:pt>
                <c:pt idx="6">
                  <c:v>99.15</c:v>
                </c:pt>
                <c:pt idx="7">
                  <c:v>99.15</c:v>
                </c:pt>
                <c:pt idx="8">
                  <c:v>100.05</c:v>
                </c:pt>
              </c:numCache>
            </c:numRef>
          </c:yVal>
        </c:ser>
        <c:ser>
          <c:idx val="0"/>
          <c:order val="1"/>
          <c:tx>
            <c:strRef>
              <c:f>fc!$A$250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fc!$C$249:$K$249</c:f>
              <c:numCache>
                <c:formatCode>0.000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0.36299999999999999</c:v>
                </c:pt>
                <c:pt idx="3">
                  <c:v>0.5</c:v>
                </c:pt>
                <c:pt idx="4">
                  <c:v>0.6</c:v>
                </c:pt>
                <c:pt idx="5">
                  <c:v>2.1</c:v>
                </c:pt>
                <c:pt idx="6">
                  <c:v>3.6</c:v>
                </c:pt>
                <c:pt idx="7">
                  <c:v>3.8</c:v>
                </c:pt>
                <c:pt idx="8">
                  <c:v>4.5</c:v>
                </c:pt>
              </c:numCache>
            </c:numRef>
          </c:xVal>
          <c:yVal>
            <c:numRef>
              <c:f>fc!$C$250:$K$250</c:f>
              <c:numCache>
                <c:formatCode>0.000</c:formatCode>
                <c:ptCount val="9"/>
                <c:pt idx="0">
                  <c:v>100.04</c:v>
                </c:pt>
                <c:pt idx="1">
                  <c:v>99.74</c:v>
                </c:pt>
                <c:pt idx="2">
                  <c:v>99.394000000000005</c:v>
                </c:pt>
                <c:pt idx="3">
                  <c:v>99.102999999999994</c:v>
                </c:pt>
                <c:pt idx="4">
                  <c:v>98.89</c:v>
                </c:pt>
                <c:pt idx="5">
                  <c:v>98.89</c:v>
                </c:pt>
                <c:pt idx="6">
                  <c:v>98.89</c:v>
                </c:pt>
                <c:pt idx="7">
                  <c:v>99.09</c:v>
                </c:pt>
                <c:pt idx="8">
                  <c:v>100.05</c:v>
                </c:pt>
              </c:numCache>
            </c:numRef>
          </c:yVal>
        </c:ser>
        <c:axId val="74454144"/>
        <c:axId val="74455680"/>
      </c:scatterChart>
      <c:valAx>
        <c:axId val="74454144"/>
        <c:scaling>
          <c:orientation val="minMax"/>
          <c:max val="10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455680"/>
        <c:crossesAt val="-2"/>
        <c:crossBetween val="midCat"/>
        <c:majorUnit val="1"/>
        <c:minorUnit val="0.5"/>
      </c:valAx>
      <c:valAx>
        <c:axId val="74455680"/>
        <c:scaling>
          <c:orientation val="minMax"/>
          <c:max val="102"/>
          <c:min val="98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4454144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44" r="0.75000000000001144" t="1" header="0.5" footer="0.5"/>
    <c:pageSetup paperSize="9" orientation="landscape" horizontalDpi="360" verticalDpi="360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fc!$A$285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fc!$C$284:$K$284</c:f>
              <c:numCache>
                <c:formatCode>0.000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0.6</c:v>
                </c:pt>
                <c:pt idx="4">
                  <c:v>2.1</c:v>
                </c:pt>
                <c:pt idx="5">
                  <c:v>3.6</c:v>
                </c:pt>
                <c:pt idx="6">
                  <c:v>3.9</c:v>
                </c:pt>
                <c:pt idx="7">
                  <c:v>4.5</c:v>
                </c:pt>
              </c:numCache>
            </c:numRef>
          </c:xVal>
          <c:yVal>
            <c:numRef>
              <c:f>fc!$C$285:$K$285</c:f>
              <c:numCache>
                <c:formatCode>0.000</c:formatCode>
                <c:ptCount val="9"/>
                <c:pt idx="0">
                  <c:v>99.45</c:v>
                </c:pt>
                <c:pt idx="1">
                  <c:v>99.3</c:v>
                </c:pt>
                <c:pt idx="2">
                  <c:v>98.984999999999999</c:v>
                </c:pt>
                <c:pt idx="3">
                  <c:v>98.88</c:v>
                </c:pt>
                <c:pt idx="4">
                  <c:v>98.88</c:v>
                </c:pt>
                <c:pt idx="5">
                  <c:v>98.88</c:v>
                </c:pt>
                <c:pt idx="6">
                  <c:v>99.08</c:v>
                </c:pt>
                <c:pt idx="7">
                  <c:v>99.45</c:v>
                </c:pt>
              </c:numCache>
            </c:numRef>
          </c:yVal>
        </c:ser>
        <c:ser>
          <c:idx val="1"/>
          <c:order val="1"/>
          <c:tx>
            <c:strRef>
              <c:f>fc!$A$287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fc!$C$286:$K$286</c:f>
              <c:numCache>
                <c:formatCode>0.000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0.6</c:v>
                </c:pt>
                <c:pt idx="4">
                  <c:v>2.1</c:v>
                </c:pt>
                <c:pt idx="5">
                  <c:v>3.6</c:v>
                </c:pt>
                <c:pt idx="6">
                  <c:v>3.9</c:v>
                </c:pt>
                <c:pt idx="7">
                  <c:v>4.5</c:v>
                </c:pt>
              </c:numCache>
            </c:numRef>
          </c:xVal>
          <c:yVal>
            <c:numRef>
              <c:f>fc!$C$287:$K$287</c:f>
              <c:numCache>
                <c:formatCode>0.000</c:formatCode>
                <c:ptCount val="9"/>
                <c:pt idx="0">
                  <c:v>99.45</c:v>
                </c:pt>
                <c:pt idx="1">
                  <c:v>99.302000000000007</c:v>
                </c:pt>
                <c:pt idx="2">
                  <c:v>99.08</c:v>
                </c:pt>
                <c:pt idx="3">
                  <c:v>99.08</c:v>
                </c:pt>
                <c:pt idx="4">
                  <c:v>99.08</c:v>
                </c:pt>
                <c:pt idx="5">
                  <c:v>99.08</c:v>
                </c:pt>
                <c:pt idx="6">
                  <c:v>99.08</c:v>
                </c:pt>
                <c:pt idx="7">
                  <c:v>99.45</c:v>
                </c:pt>
              </c:numCache>
            </c:numRef>
          </c:yVal>
        </c:ser>
        <c:axId val="74471680"/>
        <c:axId val="74477568"/>
      </c:scatterChart>
      <c:valAx>
        <c:axId val="74471680"/>
        <c:scaling>
          <c:orientation val="minMax"/>
          <c:max val="10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477568"/>
        <c:crossesAt val="-2"/>
        <c:crossBetween val="midCat"/>
        <c:majorUnit val="1"/>
        <c:minorUnit val="0.5"/>
      </c:valAx>
      <c:valAx>
        <c:axId val="74477568"/>
        <c:scaling>
          <c:orientation val="minMax"/>
          <c:max val="102"/>
          <c:min val="98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4471680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33" r="0.75000000000001033" t="1" header="0.5" footer="0.5"/>
    <c:pageSetup paperSize="9" orientation="landscape" horizontalDpi="360" verticalDpi="36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Bund!$A$345:$B$345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Bund!$C$344:$M$344</c:f>
              <c:numCache>
                <c:formatCode>0.000</c:formatCode>
                <c:ptCount val="11"/>
                <c:pt idx="0">
                  <c:v>0</c:v>
                </c:pt>
                <c:pt idx="1">
                  <c:v>2.1</c:v>
                </c:pt>
                <c:pt idx="2">
                  <c:v>3.2</c:v>
                </c:pt>
                <c:pt idx="3">
                  <c:v>3.5</c:v>
                </c:pt>
                <c:pt idx="4">
                  <c:v>4.5999999999999996</c:v>
                </c:pt>
                <c:pt idx="5">
                  <c:v>4.7</c:v>
                </c:pt>
                <c:pt idx="6">
                  <c:v>5</c:v>
                </c:pt>
                <c:pt idx="7">
                  <c:v>6.2</c:v>
                </c:pt>
                <c:pt idx="8" formatCode="0.00">
                  <c:v>8.5</c:v>
                </c:pt>
                <c:pt idx="9">
                  <c:v>9</c:v>
                </c:pt>
                <c:pt idx="10">
                  <c:v>10.5</c:v>
                </c:pt>
              </c:numCache>
            </c:numRef>
          </c:xVal>
          <c:yVal>
            <c:numRef>
              <c:f>Bund!$C$345:$M$345</c:f>
              <c:numCache>
                <c:formatCode>0.000</c:formatCode>
                <c:ptCount val="11"/>
                <c:pt idx="0">
                  <c:v>99.4</c:v>
                </c:pt>
                <c:pt idx="1">
                  <c:v>100.76</c:v>
                </c:pt>
                <c:pt idx="2">
                  <c:v>101.5</c:v>
                </c:pt>
                <c:pt idx="3">
                  <c:v>101.5</c:v>
                </c:pt>
                <c:pt idx="4">
                  <c:v>101.5</c:v>
                </c:pt>
                <c:pt idx="5">
                  <c:v>101.5</c:v>
                </c:pt>
                <c:pt idx="6">
                  <c:v>101.5</c:v>
                </c:pt>
                <c:pt idx="7">
                  <c:v>101.5</c:v>
                </c:pt>
                <c:pt idx="8" formatCode="0.00">
                  <c:v>100.358</c:v>
                </c:pt>
                <c:pt idx="9">
                  <c:v>100.11</c:v>
                </c:pt>
                <c:pt idx="10">
                  <c:v>99.37</c:v>
                </c:pt>
              </c:numCache>
            </c:numRef>
          </c:yVal>
        </c:ser>
        <c:ser>
          <c:idx val="1"/>
          <c:order val="1"/>
          <c:tx>
            <c:strRef>
              <c:f>Bund!$A$347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Bund!$C$346:$M$346</c:f>
              <c:numCache>
                <c:formatCode>0.000</c:formatCode>
                <c:ptCount val="11"/>
                <c:pt idx="0">
                  <c:v>0</c:v>
                </c:pt>
                <c:pt idx="1">
                  <c:v>2.1</c:v>
                </c:pt>
                <c:pt idx="2">
                  <c:v>3.2</c:v>
                </c:pt>
                <c:pt idx="3">
                  <c:v>3.5</c:v>
                </c:pt>
                <c:pt idx="4">
                  <c:v>4.5999999999999996</c:v>
                </c:pt>
                <c:pt idx="5">
                  <c:v>4.7</c:v>
                </c:pt>
                <c:pt idx="6">
                  <c:v>5</c:v>
                </c:pt>
                <c:pt idx="7">
                  <c:v>6.2</c:v>
                </c:pt>
                <c:pt idx="8" formatCode="0.00">
                  <c:v>8.5</c:v>
                </c:pt>
                <c:pt idx="9">
                  <c:v>9</c:v>
                </c:pt>
                <c:pt idx="10">
                  <c:v>10.5</c:v>
                </c:pt>
              </c:numCache>
            </c:numRef>
          </c:xVal>
          <c:yVal>
            <c:numRef>
              <c:f>Bund!$C$347:$M$347</c:f>
              <c:numCache>
                <c:formatCode>0.000</c:formatCode>
                <c:ptCount val="11"/>
                <c:pt idx="0">
                  <c:v>99.4</c:v>
                </c:pt>
                <c:pt idx="1">
                  <c:v>100.76</c:v>
                </c:pt>
                <c:pt idx="2">
                  <c:v>100.988</c:v>
                </c:pt>
                <c:pt idx="3">
                  <c:v>101.05</c:v>
                </c:pt>
                <c:pt idx="4">
                  <c:v>101.05</c:v>
                </c:pt>
                <c:pt idx="5">
                  <c:v>101.05</c:v>
                </c:pt>
                <c:pt idx="6">
                  <c:v>101.05</c:v>
                </c:pt>
                <c:pt idx="7">
                  <c:v>100.474</c:v>
                </c:pt>
                <c:pt idx="8" formatCode="0.00">
                  <c:v>99.37</c:v>
                </c:pt>
                <c:pt idx="9">
                  <c:v>99.37</c:v>
                </c:pt>
                <c:pt idx="10">
                  <c:v>99.37</c:v>
                </c:pt>
              </c:numCache>
            </c:numRef>
          </c:yVal>
        </c:ser>
        <c:axId val="61089664"/>
        <c:axId val="61091200"/>
      </c:scatterChart>
      <c:valAx>
        <c:axId val="61089664"/>
        <c:scaling>
          <c:orientation val="minMax"/>
          <c:max val="14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61091200"/>
        <c:crossesAt val="-2"/>
        <c:crossBetween val="midCat"/>
        <c:majorUnit val="1"/>
        <c:minorUnit val="0.1"/>
      </c:valAx>
      <c:valAx>
        <c:axId val="61091200"/>
        <c:scaling>
          <c:orientation val="minMax"/>
          <c:max val="102"/>
          <c:min val="97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61089664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fc!$A$333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fc!$C$332:$L$332</c:f>
              <c:numCache>
                <c:formatCode>0.000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0.40600000000000003</c:v>
                </c:pt>
                <c:pt idx="4">
                  <c:v>0.6</c:v>
                </c:pt>
                <c:pt idx="5">
                  <c:v>2.1</c:v>
                </c:pt>
                <c:pt idx="6">
                  <c:v>3.5</c:v>
                </c:pt>
                <c:pt idx="7">
                  <c:v>3.8</c:v>
                </c:pt>
                <c:pt idx="8">
                  <c:v>3.9</c:v>
                </c:pt>
                <c:pt idx="9">
                  <c:v>4.4000000000000004</c:v>
                </c:pt>
              </c:numCache>
            </c:numRef>
          </c:xVal>
          <c:yVal>
            <c:numRef>
              <c:f>fc!$C$333:$L$333</c:f>
              <c:numCache>
                <c:formatCode>0.000</c:formatCode>
                <c:ptCount val="10"/>
                <c:pt idx="0">
                  <c:v>99.57</c:v>
                </c:pt>
                <c:pt idx="1">
                  <c:v>99.26</c:v>
                </c:pt>
                <c:pt idx="2">
                  <c:v>98.95</c:v>
                </c:pt>
                <c:pt idx="3">
                  <c:v>98.95</c:v>
                </c:pt>
                <c:pt idx="4">
                  <c:v>98.65</c:v>
                </c:pt>
                <c:pt idx="5">
                  <c:v>98.65</c:v>
                </c:pt>
                <c:pt idx="6">
                  <c:v>98.65</c:v>
                </c:pt>
                <c:pt idx="7">
                  <c:v>98.85</c:v>
                </c:pt>
                <c:pt idx="8">
                  <c:v>98.95</c:v>
                </c:pt>
                <c:pt idx="9">
                  <c:v>99.45</c:v>
                </c:pt>
              </c:numCache>
            </c:numRef>
          </c:yVal>
        </c:ser>
        <c:ser>
          <c:idx val="1"/>
          <c:order val="1"/>
          <c:tx>
            <c:strRef>
              <c:f>fc!$A$335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fc!$C$334:$L$334</c:f>
              <c:numCache>
                <c:formatCode>0.000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0.40600000000000003</c:v>
                </c:pt>
                <c:pt idx="4">
                  <c:v>0.6</c:v>
                </c:pt>
                <c:pt idx="5">
                  <c:v>2.1</c:v>
                </c:pt>
                <c:pt idx="6">
                  <c:v>3.5</c:v>
                </c:pt>
                <c:pt idx="7">
                  <c:v>3.8</c:v>
                </c:pt>
                <c:pt idx="8">
                  <c:v>3.9</c:v>
                </c:pt>
                <c:pt idx="9">
                  <c:v>4.4000000000000004</c:v>
                </c:pt>
              </c:numCache>
            </c:numRef>
          </c:xVal>
          <c:yVal>
            <c:numRef>
              <c:f>fc!$C$335:$L$335</c:f>
              <c:numCache>
                <c:formatCode>0.000</c:formatCode>
                <c:ptCount val="10"/>
                <c:pt idx="0">
                  <c:v>99.57</c:v>
                </c:pt>
                <c:pt idx="1">
                  <c:v>99.26</c:v>
                </c:pt>
                <c:pt idx="2">
                  <c:v>98.95</c:v>
                </c:pt>
                <c:pt idx="3">
                  <c:v>98.95</c:v>
                </c:pt>
                <c:pt idx="4">
                  <c:v>98.95</c:v>
                </c:pt>
                <c:pt idx="5">
                  <c:v>98.95</c:v>
                </c:pt>
                <c:pt idx="6">
                  <c:v>98.95</c:v>
                </c:pt>
                <c:pt idx="7">
                  <c:v>98.95</c:v>
                </c:pt>
                <c:pt idx="8">
                  <c:v>98.95</c:v>
                </c:pt>
                <c:pt idx="9">
                  <c:v>99.45</c:v>
                </c:pt>
              </c:numCache>
            </c:numRef>
          </c:yVal>
        </c:ser>
        <c:axId val="74497408"/>
        <c:axId val="74507392"/>
      </c:scatterChart>
      <c:valAx>
        <c:axId val="74497408"/>
        <c:scaling>
          <c:orientation val="minMax"/>
          <c:max val="10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507392"/>
        <c:crossesAt val="-2"/>
        <c:crossBetween val="midCat"/>
        <c:majorUnit val="1"/>
        <c:minorUnit val="0.5"/>
      </c:valAx>
      <c:valAx>
        <c:axId val="74507392"/>
        <c:scaling>
          <c:orientation val="minMax"/>
          <c:max val="102"/>
          <c:min val="98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4497408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55" r="0.75000000000001055" t="1" header="0.5" footer="0.5"/>
    <c:pageSetup paperSize="9" orientation="landscape" horizontalDpi="360" verticalDpi="360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fc!$A$369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fc!$C$368:$K$368</c:f>
              <c:numCache>
                <c:formatCode>0.000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0.6</c:v>
                </c:pt>
                <c:pt idx="4">
                  <c:v>2.1</c:v>
                </c:pt>
                <c:pt idx="5">
                  <c:v>3.5</c:v>
                </c:pt>
                <c:pt idx="6">
                  <c:v>3.8</c:v>
                </c:pt>
                <c:pt idx="7">
                  <c:v>4.4000000000000004</c:v>
                </c:pt>
              </c:numCache>
            </c:numRef>
          </c:xVal>
          <c:yVal>
            <c:numRef>
              <c:f>fc!$C$369:$K$369</c:f>
              <c:numCache>
                <c:formatCode>0.000</c:formatCode>
                <c:ptCount val="9"/>
                <c:pt idx="0">
                  <c:v>99.59</c:v>
                </c:pt>
                <c:pt idx="1">
                  <c:v>99.35</c:v>
                </c:pt>
                <c:pt idx="2">
                  <c:v>98.597999999999999</c:v>
                </c:pt>
                <c:pt idx="3">
                  <c:v>98.41</c:v>
                </c:pt>
                <c:pt idx="4">
                  <c:v>98.41</c:v>
                </c:pt>
                <c:pt idx="5">
                  <c:v>98.41</c:v>
                </c:pt>
                <c:pt idx="6">
                  <c:v>98.61</c:v>
                </c:pt>
                <c:pt idx="7">
                  <c:v>99.34</c:v>
                </c:pt>
              </c:numCache>
            </c:numRef>
          </c:yVal>
        </c:ser>
        <c:ser>
          <c:idx val="1"/>
          <c:order val="1"/>
          <c:tx>
            <c:strRef>
              <c:f>fc!$A$371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fc!$C$370:$K$370</c:f>
              <c:numCache>
                <c:formatCode>0.000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0.6</c:v>
                </c:pt>
                <c:pt idx="4">
                  <c:v>2.1</c:v>
                </c:pt>
                <c:pt idx="5">
                  <c:v>3.5</c:v>
                </c:pt>
                <c:pt idx="6">
                  <c:v>3.8</c:v>
                </c:pt>
                <c:pt idx="7">
                  <c:v>4.4000000000000004</c:v>
                </c:pt>
              </c:numCache>
            </c:numRef>
          </c:xVal>
          <c:yVal>
            <c:numRef>
              <c:f>fc!$C$371:$K$371</c:f>
              <c:numCache>
                <c:formatCode>0.000</c:formatCode>
                <c:ptCount val="9"/>
                <c:pt idx="0">
                  <c:v>99.59</c:v>
                </c:pt>
                <c:pt idx="1">
                  <c:v>99.424999999999997</c:v>
                </c:pt>
                <c:pt idx="2">
                  <c:v>98.75</c:v>
                </c:pt>
                <c:pt idx="3">
                  <c:v>98.75</c:v>
                </c:pt>
                <c:pt idx="4">
                  <c:v>98.75</c:v>
                </c:pt>
                <c:pt idx="5">
                  <c:v>98.75</c:v>
                </c:pt>
                <c:pt idx="6">
                  <c:v>98.75</c:v>
                </c:pt>
                <c:pt idx="7">
                  <c:v>99.34</c:v>
                </c:pt>
              </c:numCache>
            </c:numRef>
          </c:yVal>
        </c:ser>
        <c:axId val="74412800"/>
        <c:axId val="74414336"/>
      </c:scatterChart>
      <c:valAx>
        <c:axId val="74412800"/>
        <c:scaling>
          <c:orientation val="minMax"/>
          <c:max val="10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414336"/>
        <c:crossesAt val="-2"/>
        <c:crossBetween val="midCat"/>
        <c:majorUnit val="1"/>
        <c:minorUnit val="0.5"/>
      </c:valAx>
      <c:valAx>
        <c:axId val="74414336"/>
        <c:scaling>
          <c:orientation val="minMax"/>
          <c:max val="102"/>
          <c:min val="98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4412800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77" r="0.75000000000001077" t="1" header="0.5" footer="0.5"/>
    <c:pageSetup paperSize="9" orientation="landscape" horizontalDpi="360" verticalDpi="360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fc!$A$416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fc!$C$415:$K$415</c:f>
              <c:numCache>
                <c:formatCode>0.000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1.2</c:v>
                </c:pt>
                <c:pt idx="4">
                  <c:v>2.4</c:v>
                </c:pt>
                <c:pt idx="5">
                  <c:v>3.6</c:v>
                </c:pt>
                <c:pt idx="6">
                  <c:v>3.7</c:v>
                </c:pt>
                <c:pt idx="7">
                  <c:v>3.9</c:v>
                </c:pt>
                <c:pt idx="8">
                  <c:v>4.0999999999999996</c:v>
                </c:pt>
              </c:numCache>
            </c:numRef>
          </c:xVal>
          <c:yVal>
            <c:numRef>
              <c:f>fc!$C$416:$K$416</c:f>
              <c:numCache>
                <c:formatCode>0.000</c:formatCode>
                <c:ptCount val="9"/>
                <c:pt idx="0">
                  <c:v>99.32</c:v>
                </c:pt>
                <c:pt idx="1">
                  <c:v>98.484999999999999</c:v>
                </c:pt>
                <c:pt idx="2">
                  <c:v>98.32</c:v>
                </c:pt>
                <c:pt idx="3">
                  <c:v>98.31</c:v>
                </c:pt>
                <c:pt idx="4">
                  <c:v>98.31</c:v>
                </c:pt>
                <c:pt idx="5">
                  <c:v>98.31</c:v>
                </c:pt>
                <c:pt idx="6">
                  <c:v>98.51</c:v>
                </c:pt>
                <c:pt idx="7">
                  <c:v>98.91</c:v>
                </c:pt>
                <c:pt idx="8">
                  <c:v>99.17</c:v>
                </c:pt>
              </c:numCache>
            </c:numRef>
          </c:yVal>
        </c:ser>
        <c:ser>
          <c:idx val="1"/>
          <c:order val="1"/>
          <c:tx>
            <c:strRef>
              <c:f>fc!$A$418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fc!$C$417:$K$417</c:f>
              <c:numCache>
                <c:formatCode>0.000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1.2</c:v>
                </c:pt>
                <c:pt idx="4">
                  <c:v>2.4</c:v>
                </c:pt>
                <c:pt idx="5">
                  <c:v>3.6</c:v>
                </c:pt>
                <c:pt idx="6">
                  <c:v>3.7</c:v>
                </c:pt>
                <c:pt idx="7">
                  <c:v>3.9</c:v>
                </c:pt>
                <c:pt idx="8">
                  <c:v>4.0999999999999996</c:v>
                </c:pt>
              </c:numCache>
            </c:numRef>
          </c:xVal>
          <c:yVal>
            <c:numRef>
              <c:f>fc!$C$418:$K$418</c:f>
              <c:numCache>
                <c:formatCode>0.000</c:formatCode>
                <c:ptCount val="9"/>
                <c:pt idx="0">
                  <c:v>99.32</c:v>
                </c:pt>
                <c:pt idx="1">
                  <c:v>98.65</c:v>
                </c:pt>
                <c:pt idx="2">
                  <c:v>98.65</c:v>
                </c:pt>
                <c:pt idx="3">
                  <c:v>98.65</c:v>
                </c:pt>
                <c:pt idx="4">
                  <c:v>98.65</c:v>
                </c:pt>
                <c:pt idx="5">
                  <c:v>98.65</c:v>
                </c:pt>
                <c:pt idx="6">
                  <c:v>98.65</c:v>
                </c:pt>
                <c:pt idx="7">
                  <c:v>98.91</c:v>
                </c:pt>
                <c:pt idx="8">
                  <c:v>99.17</c:v>
                </c:pt>
              </c:numCache>
            </c:numRef>
          </c:yVal>
        </c:ser>
        <c:axId val="74434432"/>
        <c:axId val="74435968"/>
      </c:scatterChart>
      <c:valAx>
        <c:axId val="74434432"/>
        <c:scaling>
          <c:orientation val="minMax"/>
          <c:max val="10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435968"/>
        <c:crossesAt val="-2"/>
        <c:crossBetween val="midCat"/>
        <c:majorUnit val="1"/>
        <c:minorUnit val="0.5"/>
      </c:valAx>
      <c:valAx>
        <c:axId val="74435968"/>
        <c:scaling>
          <c:orientation val="minMax"/>
          <c:max val="100"/>
          <c:min val="96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4434432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99" r="0.75000000000001099" t="1" header="0.5" footer="0.5"/>
    <c:pageSetup paperSize="9" orientation="landscape" horizontalDpi="360" verticalDpi="360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fc!$A$465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fc!$C$464:$K$464</c:f>
              <c:numCache>
                <c:formatCode>0.000</c:formatCode>
                <c:ptCount val="9"/>
                <c:pt idx="0">
                  <c:v>0</c:v>
                </c:pt>
                <c:pt idx="1">
                  <c:v>0.4</c:v>
                </c:pt>
                <c:pt idx="2">
                  <c:v>0.5</c:v>
                </c:pt>
                <c:pt idx="3">
                  <c:v>1.2</c:v>
                </c:pt>
                <c:pt idx="4">
                  <c:v>3.5</c:v>
                </c:pt>
                <c:pt idx="5">
                  <c:v>3.7</c:v>
                </c:pt>
                <c:pt idx="6">
                  <c:v>4</c:v>
                </c:pt>
                <c:pt idx="7">
                  <c:v>4.5</c:v>
                </c:pt>
              </c:numCache>
            </c:numRef>
          </c:xVal>
          <c:yVal>
            <c:numRef>
              <c:f>fc!$C$465:$K$465</c:f>
              <c:numCache>
                <c:formatCode>0.000</c:formatCode>
                <c:ptCount val="9"/>
                <c:pt idx="0">
                  <c:v>99.5</c:v>
                </c:pt>
                <c:pt idx="1">
                  <c:v>98.531999999999996</c:v>
                </c:pt>
                <c:pt idx="2">
                  <c:v>98.29</c:v>
                </c:pt>
                <c:pt idx="3">
                  <c:v>98.29</c:v>
                </c:pt>
                <c:pt idx="4">
                  <c:v>98.29</c:v>
                </c:pt>
                <c:pt idx="5">
                  <c:v>98.53</c:v>
                </c:pt>
                <c:pt idx="6">
                  <c:v>98.89</c:v>
                </c:pt>
                <c:pt idx="7">
                  <c:v>99.49</c:v>
                </c:pt>
              </c:numCache>
            </c:numRef>
          </c:yVal>
        </c:ser>
        <c:ser>
          <c:idx val="1"/>
          <c:order val="1"/>
          <c:tx>
            <c:strRef>
              <c:f>fc!$A$467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fc!$C$466:$K$466</c:f>
              <c:numCache>
                <c:formatCode>0.000</c:formatCode>
                <c:ptCount val="9"/>
                <c:pt idx="0">
                  <c:v>0</c:v>
                </c:pt>
                <c:pt idx="1">
                  <c:v>0.4</c:v>
                </c:pt>
                <c:pt idx="2">
                  <c:v>0.5</c:v>
                </c:pt>
                <c:pt idx="3">
                  <c:v>1.2</c:v>
                </c:pt>
                <c:pt idx="4">
                  <c:v>3.5</c:v>
                </c:pt>
                <c:pt idx="5">
                  <c:v>3.7</c:v>
                </c:pt>
                <c:pt idx="6">
                  <c:v>4</c:v>
                </c:pt>
                <c:pt idx="7">
                  <c:v>4.5</c:v>
                </c:pt>
              </c:numCache>
            </c:numRef>
          </c:xVal>
          <c:yVal>
            <c:numRef>
              <c:f>fc!$C$467:$K$467</c:f>
              <c:numCache>
                <c:formatCode>0.000</c:formatCode>
                <c:ptCount val="9"/>
                <c:pt idx="0">
                  <c:v>99.5</c:v>
                </c:pt>
                <c:pt idx="1">
                  <c:v>98.68</c:v>
                </c:pt>
                <c:pt idx="2">
                  <c:v>98.68</c:v>
                </c:pt>
                <c:pt idx="3">
                  <c:v>98.68</c:v>
                </c:pt>
                <c:pt idx="4">
                  <c:v>98.68</c:v>
                </c:pt>
                <c:pt idx="5">
                  <c:v>98.68</c:v>
                </c:pt>
                <c:pt idx="6">
                  <c:v>98.983999999999995</c:v>
                </c:pt>
                <c:pt idx="7">
                  <c:v>99.49</c:v>
                </c:pt>
              </c:numCache>
            </c:numRef>
          </c:yVal>
        </c:ser>
        <c:axId val="74550272"/>
        <c:axId val="74552064"/>
      </c:scatterChart>
      <c:valAx>
        <c:axId val="74550272"/>
        <c:scaling>
          <c:orientation val="minMax"/>
          <c:max val="10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552064"/>
        <c:crossesAt val="-2"/>
        <c:crossBetween val="midCat"/>
        <c:majorUnit val="1"/>
        <c:minorUnit val="0.5"/>
      </c:valAx>
      <c:valAx>
        <c:axId val="74552064"/>
        <c:scaling>
          <c:orientation val="minMax"/>
          <c:max val="102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4550272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33" r="0.75000000000001033" t="1" header="0.5" footer="0.5"/>
    <c:pageSetup paperSize="9" orientation="landscape" horizontalDpi="360" verticalDpi="360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fc!$A$500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fc!$C$499:$K$499</c:f>
              <c:numCache>
                <c:formatCode>0.000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2.4</c:v>
                </c:pt>
                <c:pt idx="5">
                  <c:v>3.6</c:v>
                </c:pt>
                <c:pt idx="6">
                  <c:v>4</c:v>
                </c:pt>
                <c:pt idx="7">
                  <c:v>4</c:v>
                </c:pt>
              </c:numCache>
            </c:numRef>
          </c:xVal>
          <c:yVal>
            <c:numRef>
              <c:f>fc!$C$500:$K$500</c:f>
              <c:numCache>
                <c:formatCode>0.000</c:formatCode>
                <c:ptCount val="9"/>
                <c:pt idx="0">
                  <c:v>98.9</c:v>
                </c:pt>
                <c:pt idx="1">
                  <c:v>98.29</c:v>
                </c:pt>
                <c:pt idx="2">
                  <c:v>98.29</c:v>
                </c:pt>
                <c:pt idx="3">
                  <c:v>98.29</c:v>
                </c:pt>
                <c:pt idx="4">
                  <c:v>98.29</c:v>
                </c:pt>
                <c:pt idx="5">
                  <c:v>98.29</c:v>
                </c:pt>
                <c:pt idx="6">
                  <c:v>98.29</c:v>
                </c:pt>
                <c:pt idx="7">
                  <c:v>98.9</c:v>
                </c:pt>
              </c:numCache>
            </c:numRef>
          </c:yVal>
        </c:ser>
        <c:ser>
          <c:idx val="1"/>
          <c:order val="1"/>
          <c:tx>
            <c:strRef>
              <c:f>fc!$A$502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fc!$C$501:$K$501</c:f>
              <c:numCache>
                <c:formatCode>0.000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2.4</c:v>
                </c:pt>
                <c:pt idx="5">
                  <c:v>3.6</c:v>
                </c:pt>
                <c:pt idx="6">
                  <c:v>4</c:v>
                </c:pt>
                <c:pt idx="7">
                  <c:v>4</c:v>
                </c:pt>
              </c:numCache>
            </c:numRef>
          </c:xVal>
          <c:yVal>
            <c:numRef>
              <c:f>fc!$C$502:$K$502</c:f>
              <c:numCache>
                <c:formatCode>0.000</c:formatCode>
                <c:ptCount val="9"/>
                <c:pt idx="0">
                  <c:v>98.9</c:v>
                </c:pt>
                <c:pt idx="1">
                  <c:v>98.62</c:v>
                </c:pt>
                <c:pt idx="2">
                  <c:v>98.48</c:v>
                </c:pt>
                <c:pt idx="3">
                  <c:v>98.48</c:v>
                </c:pt>
                <c:pt idx="4">
                  <c:v>98.48</c:v>
                </c:pt>
                <c:pt idx="5">
                  <c:v>98.48</c:v>
                </c:pt>
                <c:pt idx="6">
                  <c:v>98.48</c:v>
                </c:pt>
                <c:pt idx="7">
                  <c:v>98.9</c:v>
                </c:pt>
              </c:numCache>
            </c:numRef>
          </c:yVal>
        </c:ser>
        <c:axId val="74580736"/>
        <c:axId val="74582272"/>
      </c:scatterChart>
      <c:valAx>
        <c:axId val="74580736"/>
        <c:scaling>
          <c:orientation val="minMax"/>
          <c:max val="10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582272"/>
        <c:crossesAt val="-2"/>
        <c:crossBetween val="midCat"/>
        <c:majorUnit val="1"/>
        <c:minorUnit val="0.5"/>
      </c:valAx>
      <c:valAx>
        <c:axId val="74582272"/>
        <c:scaling>
          <c:orientation val="minMax"/>
          <c:max val="101"/>
          <c:min val="97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458073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55" r="0.75000000000001055" t="1" header="0.5" footer="0.5"/>
    <c:pageSetup paperSize="9" orientation="landscape" horizontalDpi="360" verticalDpi="360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fc!$A$544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fc!$C$543:$K$543</c:f>
              <c:numCache>
                <c:formatCode>0.000</c:formatCode>
                <c:ptCount val="9"/>
                <c:pt idx="0">
                  <c:v>0</c:v>
                </c:pt>
                <c:pt idx="1">
                  <c:v>0.4</c:v>
                </c:pt>
                <c:pt idx="2">
                  <c:v>0.9</c:v>
                </c:pt>
                <c:pt idx="3">
                  <c:v>1.2</c:v>
                </c:pt>
                <c:pt idx="4">
                  <c:v>2.1</c:v>
                </c:pt>
                <c:pt idx="5">
                  <c:v>2.4</c:v>
                </c:pt>
                <c:pt idx="6">
                  <c:v>3.1</c:v>
                </c:pt>
                <c:pt idx="7">
                  <c:v>3.1</c:v>
                </c:pt>
              </c:numCache>
            </c:numRef>
          </c:xVal>
          <c:yVal>
            <c:numRef>
              <c:f>fc!$C$544:$K$544</c:f>
              <c:numCache>
                <c:formatCode>0.000</c:formatCode>
                <c:ptCount val="9"/>
                <c:pt idx="0">
                  <c:v>98.7</c:v>
                </c:pt>
                <c:pt idx="1">
                  <c:v>98.25</c:v>
                </c:pt>
                <c:pt idx="2">
                  <c:v>98.25</c:v>
                </c:pt>
                <c:pt idx="3">
                  <c:v>98.25</c:v>
                </c:pt>
                <c:pt idx="4">
                  <c:v>98.25</c:v>
                </c:pt>
                <c:pt idx="5">
                  <c:v>98.25</c:v>
                </c:pt>
                <c:pt idx="6">
                  <c:v>98.25</c:v>
                </c:pt>
                <c:pt idx="7">
                  <c:v>98.95</c:v>
                </c:pt>
              </c:numCache>
            </c:numRef>
          </c:yVal>
        </c:ser>
        <c:ser>
          <c:idx val="1"/>
          <c:order val="1"/>
          <c:tx>
            <c:strRef>
              <c:f>fc!$A$546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fc!$C$545:$K$545</c:f>
              <c:numCache>
                <c:formatCode>0.000</c:formatCode>
                <c:ptCount val="9"/>
                <c:pt idx="0">
                  <c:v>0</c:v>
                </c:pt>
                <c:pt idx="1">
                  <c:v>0.4</c:v>
                </c:pt>
                <c:pt idx="2">
                  <c:v>0.9</c:v>
                </c:pt>
                <c:pt idx="3">
                  <c:v>1.2</c:v>
                </c:pt>
                <c:pt idx="4">
                  <c:v>2.1</c:v>
                </c:pt>
                <c:pt idx="5">
                  <c:v>2.4</c:v>
                </c:pt>
                <c:pt idx="6">
                  <c:v>3.1</c:v>
                </c:pt>
                <c:pt idx="7">
                  <c:v>3.1</c:v>
                </c:pt>
              </c:numCache>
            </c:numRef>
          </c:xVal>
          <c:yVal>
            <c:numRef>
              <c:f>fc!$C$546:$K$546</c:f>
              <c:numCache>
                <c:formatCode>0.000</c:formatCode>
                <c:ptCount val="9"/>
                <c:pt idx="0">
                  <c:v>98.7</c:v>
                </c:pt>
                <c:pt idx="1">
                  <c:v>98.45</c:v>
                </c:pt>
                <c:pt idx="2">
                  <c:v>98.45</c:v>
                </c:pt>
                <c:pt idx="3">
                  <c:v>98.45</c:v>
                </c:pt>
                <c:pt idx="4">
                  <c:v>98.45</c:v>
                </c:pt>
                <c:pt idx="5">
                  <c:v>98.45</c:v>
                </c:pt>
                <c:pt idx="6">
                  <c:v>98.45</c:v>
                </c:pt>
                <c:pt idx="7">
                  <c:v>98.95</c:v>
                </c:pt>
              </c:numCache>
            </c:numRef>
          </c:yVal>
        </c:ser>
        <c:axId val="73988352"/>
        <c:axId val="74055680"/>
      </c:scatterChart>
      <c:valAx>
        <c:axId val="73988352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055680"/>
        <c:crossesAt val="-2"/>
        <c:crossBetween val="midCat"/>
        <c:majorUnit val="1"/>
        <c:minorUnit val="0.5"/>
      </c:valAx>
      <c:valAx>
        <c:axId val="74055680"/>
        <c:scaling>
          <c:orientation val="minMax"/>
          <c:max val="101"/>
          <c:min val="97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3988352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77" r="0.75000000000001077" t="1" header="0.5" footer="0.5"/>
    <c:pageSetup paperSize="9" orientation="landscape" horizontalDpi="360" verticalDpi="360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fc!$A$583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fc!$C$582:$K$582</c:f>
              <c:numCache>
                <c:formatCode>0.000</c:formatCode>
                <c:ptCount val="9"/>
                <c:pt idx="0">
                  <c:v>0</c:v>
                </c:pt>
                <c:pt idx="1">
                  <c:v>0.7</c:v>
                </c:pt>
                <c:pt idx="2">
                  <c:v>0.9</c:v>
                </c:pt>
                <c:pt idx="3">
                  <c:v>1.2</c:v>
                </c:pt>
                <c:pt idx="4">
                  <c:v>2.4</c:v>
                </c:pt>
                <c:pt idx="5">
                  <c:v>3.3</c:v>
                </c:pt>
                <c:pt idx="6">
                  <c:v>3.3</c:v>
                </c:pt>
              </c:numCache>
            </c:numRef>
          </c:xVal>
          <c:yVal>
            <c:numRef>
              <c:f>fc!$C$583:$K$583</c:f>
              <c:numCache>
                <c:formatCode>0.000</c:formatCode>
                <c:ptCount val="9"/>
                <c:pt idx="0">
                  <c:v>99.19</c:v>
                </c:pt>
                <c:pt idx="1">
                  <c:v>98.135000000000005</c:v>
                </c:pt>
                <c:pt idx="2">
                  <c:v>98.15</c:v>
                </c:pt>
                <c:pt idx="3">
                  <c:v>98.15</c:v>
                </c:pt>
                <c:pt idx="4">
                  <c:v>98.15</c:v>
                </c:pt>
                <c:pt idx="5">
                  <c:v>98.15</c:v>
                </c:pt>
                <c:pt idx="6">
                  <c:v>98.99</c:v>
                </c:pt>
              </c:numCache>
            </c:numRef>
          </c:yVal>
        </c:ser>
        <c:ser>
          <c:idx val="1"/>
          <c:order val="1"/>
          <c:tx>
            <c:strRef>
              <c:f>fc!$A$585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fc!$C$584:$K$584</c:f>
              <c:numCache>
                <c:formatCode>0.000</c:formatCode>
                <c:ptCount val="9"/>
                <c:pt idx="0">
                  <c:v>0</c:v>
                </c:pt>
                <c:pt idx="1">
                  <c:v>0.7</c:v>
                </c:pt>
                <c:pt idx="2">
                  <c:v>0.9</c:v>
                </c:pt>
                <c:pt idx="3">
                  <c:v>1.2</c:v>
                </c:pt>
                <c:pt idx="4">
                  <c:v>2.4</c:v>
                </c:pt>
                <c:pt idx="5">
                  <c:v>3.3</c:v>
                </c:pt>
                <c:pt idx="6">
                  <c:v>3.3</c:v>
                </c:pt>
              </c:numCache>
            </c:numRef>
          </c:xVal>
          <c:yVal>
            <c:numRef>
              <c:f>fc!$C$585:$K$585</c:f>
              <c:numCache>
                <c:formatCode>0.000</c:formatCode>
                <c:ptCount val="9"/>
                <c:pt idx="0">
                  <c:v>99.19</c:v>
                </c:pt>
                <c:pt idx="1">
                  <c:v>98.13</c:v>
                </c:pt>
                <c:pt idx="2">
                  <c:v>98.34</c:v>
                </c:pt>
                <c:pt idx="3">
                  <c:v>98.35</c:v>
                </c:pt>
                <c:pt idx="4">
                  <c:v>98.35</c:v>
                </c:pt>
                <c:pt idx="5">
                  <c:v>98.35</c:v>
                </c:pt>
                <c:pt idx="6">
                  <c:v>98.99</c:v>
                </c:pt>
              </c:numCache>
            </c:numRef>
          </c:yVal>
        </c:ser>
        <c:axId val="74603904"/>
        <c:axId val="74605696"/>
      </c:scatterChart>
      <c:valAx>
        <c:axId val="74603904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605696"/>
        <c:crossesAt val="-2"/>
        <c:crossBetween val="midCat"/>
        <c:majorUnit val="1"/>
        <c:minorUnit val="0.5"/>
      </c:valAx>
      <c:valAx>
        <c:axId val="74605696"/>
        <c:scaling>
          <c:orientation val="minMax"/>
          <c:max val="101"/>
          <c:min val="97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4603904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99" r="0.75000000000001099" t="1" header="0.5" footer="0.5"/>
    <c:pageSetup paperSize="9" orientation="landscape" horizontalDpi="360" verticalDpi="360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fc!$A$628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fc!$C$627:$K$627</c:f>
              <c:numCache>
                <c:formatCode>0.000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2.1</c:v>
                </c:pt>
                <c:pt idx="5">
                  <c:v>2.4</c:v>
                </c:pt>
                <c:pt idx="6">
                  <c:v>3.3</c:v>
                </c:pt>
                <c:pt idx="7">
                  <c:v>3.4</c:v>
                </c:pt>
                <c:pt idx="8">
                  <c:v>3.8</c:v>
                </c:pt>
              </c:numCache>
            </c:numRef>
          </c:xVal>
          <c:yVal>
            <c:numRef>
              <c:f>fc!$C$628:$K$628</c:f>
              <c:numCache>
                <c:formatCode>0.000</c:formatCode>
                <c:ptCount val="9"/>
                <c:pt idx="0">
                  <c:v>98.84</c:v>
                </c:pt>
                <c:pt idx="1">
                  <c:v>98.08</c:v>
                </c:pt>
                <c:pt idx="2">
                  <c:v>98.05</c:v>
                </c:pt>
                <c:pt idx="3">
                  <c:v>98.05</c:v>
                </c:pt>
                <c:pt idx="4">
                  <c:v>98.05</c:v>
                </c:pt>
                <c:pt idx="5">
                  <c:v>98.05</c:v>
                </c:pt>
                <c:pt idx="6">
                  <c:v>98.05</c:v>
                </c:pt>
                <c:pt idx="7">
                  <c:v>98</c:v>
                </c:pt>
                <c:pt idx="8">
                  <c:v>98.84</c:v>
                </c:pt>
              </c:numCache>
            </c:numRef>
          </c:yVal>
        </c:ser>
        <c:ser>
          <c:idx val="1"/>
          <c:order val="1"/>
          <c:tx>
            <c:strRef>
              <c:f>fc!$A$630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fc!$C$629:$K$629</c:f>
              <c:numCache>
                <c:formatCode>0.000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2.1</c:v>
                </c:pt>
                <c:pt idx="5">
                  <c:v>2.4</c:v>
                </c:pt>
                <c:pt idx="6">
                  <c:v>3.3</c:v>
                </c:pt>
                <c:pt idx="7">
                  <c:v>3.4</c:v>
                </c:pt>
                <c:pt idx="8">
                  <c:v>3.8</c:v>
                </c:pt>
              </c:numCache>
            </c:numRef>
          </c:xVal>
          <c:yVal>
            <c:numRef>
              <c:f>fc!$C$630:$K$630</c:f>
              <c:numCache>
                <c:formatCode>0.000</c:formatCode>
                <c:ptCount val="9"/>
                <c:pt idx="0">
                  <c:v>98.84</c:v>
                </c:pt>
                <c:pt idx="1">
                  <c:v>98.287000000000006</c:v>
                </c:pt>
                <c:pt idx="2">
                  <c:v>98.22</c:v>
                </c:pt>
                <c:pt idx="3">
                  <c:v>98.22</c:v>
                </c:pt>
                <c:pt idx="4">
                  <c:v>98.22</c:v>
                </c:pt>
                <c:pt idx="5">
                  <c:v>98.22</c:v>
                </c:pt>
                <c:pt idx="6">
                  <c:v>98.22</c:v>
                </c:pt>
                <c:pt idx="7">
                  <c:v>98.22</c:v>
                </c:pt>
                <c:pt idx="8">
                  <c:v>98.84</c:v>
                </c:pt>
              </c:numCache>
            </c:numRef>
          </c:yVal>
        </c:ser>
        <c:axId val="74633600"/>
        <c:axId val="74635136"/>
      </c:scatterChart>
      <c:valAx>
        <c:axId val="74633600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635136"/>
        <c:crossesAt val="-2"/>
        <c:crossBetween val="midCat"/>
        <c:majorUnit val="1"/>
        <c:minorUnit val="0.5"/>
      </c:valAx>
      <c:valAx>
        <c:axId val="74635136"/>
        <c:scaling>
          <c:orientation val="minMax"/>
          <c:max val="101"/>
          <c:min val="96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4633600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21" r="0.75000000000001121" t="1" header="0.5" footer="0.5"/>
    <c:pageSetup paperSize="9" orientation="landscape" horizontalDpi="360" verticalDpi="360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fc!$A$667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fc!$C$666:$K$666</c:f>
              <c:numCache>
                <c:formatCode>0.000</c:formatCode>
                <c:ptCount val="9"/>
                <c:pt idx="0">
                  <c:v>0</c:v>
                </c:pt>
                <c:pt idx="1">
                  <c:v>0.9</c:v>
                </c:pt>
                <c:pt idx="2">
                  <c:v>1.2</c:v>
                </c:pt>
                <c:pt idx="3">
                  <c:v>2.4</c:v>
                </c:pt>
                <c:pt idx="4">
                  <c:v>3.6</c:v>
                </c:pt>
                <c:pt idx="5">
                  <c:v>3.6</c:v>
                </c:pt>
              </c:numCache>
            </c:numRef>
          </c:xVal>
          <c:yVal>
            <c:numRef>
              <c:f>fc!$C$667:$K$667</c:f>
              <c:numCache>
                <c:formatCode>0.000</c:formatCode>
                <c:ptCount val="9"/>
                <c:pt idx="0">
                  <c:v>99.37</c:v>
                </c:pt>
                <c:pt idx="1">
                  <c:v>98.01</c:v>
                </c:pt>
                <c:pt idx="2">
                  <c:v>98.01</c:v>
                </c:pt>
                <c:pt idx="3">
                  <c:v>98.01</c:v>
                </c:pt>
                <c:pt idx="4">
                  <c:v>98.01</c:v>
                </c:pt>
                <c:pt idx="5">
                  <c:v>99.36</c:v>
                </c:pt>
              </c:numCache>
            </c:numRef>
          </c:yVal>
        </c:ser>
        <c:ser>
          <c:idx val="1"/>
          <c:order val="1"/>
          <c:tx>
            <c:strRef>
              <c:f>fc!$A$669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fc!$C$668:$K$668</c:f>
              <c:numCache>
                <c:formatCode>0.000</c:formatCode>
                <c:ptCount val="9"/>
                <c:pt idx="0">
                  <c:v>0</c:v>
                </c:pt>
                <c:pt idx="1">
                  <c:v>0.9</c:v>
                </c:pt>
                <c:pt idx="2">
                  <c:v>1.2</c:v>
                </c:pt>
                <c:pt idx="3">
                  <c:v>2.4</c:v>
                </c:pt>
                <c:pt idx="4">
                  <c:v>3.6</c:v>
                </c:pt>
                <c:pt idx="5">
                  <c:v>3.6</c:v>
                </c:pt>
              </c:numCache>
            </c:numRef>
          </c:xVal>
          <c:yVal>
            <c:numRef>
              <c:f>fc!$C$669:$K$669</c:f>
              <c:numCache>
                <c:formatCode>0.000</c:formatCode>
                <c:ptCount val="9"/>
                <c:pt idx="0">
                  <c:v>99.37</c:v>
                </c:pt>
                <c:pt idx="1">
                  <c:v>98.177000000000007</c:v>
                </c:pt>
                <c:pt idx="2">
                  <c:v>98.174999999999997</c:v>
                </c:pt>
                <c:pt idx="3">
                  <c:v>98.174999999999997</c:v>
                </c:pt>
                <c:pt idx="4">
                  <c:v>98.174999999999997</c:v>
                </c:pt>
                <c:pt idx="5">
                  <c:v>99.36</c:v>
                </c:pt>
              </c:numCache>
            </c:numRef>
          </c:yVal>
        </c:ser>
        <c:axId val="74673152"/>
        <c:axId val="74679040"/>
      </c:scatterChart>
      <c:valAx>
        <c:axId val="74673152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679040"/>
        <c:crossesAt val="-2"/>
        <c:crossBetween val="midCat"/>
        <c:majorUnit val="1"/>
        <c:minorUnit val="0.5"/>
      </c:valAx>
      <c:valAx>
        <c:axId val="74679040"/>
        <c:scaling>
          <c:orientation val="minMax"/>
          <c:max val="101"/>
          <c:min val="96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4673152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44" r="0.75000000000001144" t="1" header="0.5" footer="0.5"/>
    <c:pageSetup paperSize="9" orientation="landscape" horizontalDpi="360" verticalDpi="360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fc!$A$710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fc!$C$709:$K$709</c:f>
              <c:numCache>
                <c:formatCode>0.000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2.4</c:v>
                </c:pt>
                <c:pt idx="4">
                  <c:v>3.3</c:v>
                </c:pt>
                <c:pt idx="5">
                  <c:v>3.3</c:v>
                </c:pt>
              </c:numCache>
            </c:numRef>
          </c:xVal>
          <c:yVal>
            <c:numRef>
              <c:f>fc!$C$710:$K$710</c:f>
              <c:numCache>
                <c:formatCode>0.000</c:formatCode>
                <c:ptCount val="9"/>
                <c:pt idx="0">
                  <c:v>98.79</c:v>
                </c:pt>
                <c:pt idx="1">
                  <c:v>97.91</c:v>
                </c:pt>
                <c:pt idx="2">
                  <c:v>97.91</c:v>
                </c:pt>
                <c:pt idx="3">
                  <c:v>97.91</c:v>
                </c:pt>
                <c:pt idx="4">
                  <c:v>97.91</c:v>
                </c:pt>
                <c:pt idx="5">
                  <c:v>98.79</c:v>
                </c:pt>
              </c:numCache>
            </c:numRef>
          </c:yVal>
        </c:ser>
        <c:ser>
          <c:idx val="1"/>
          <c:order val="1"/>
          <c:tx>
            <c:strRef>
              <c:f>fc!$A$712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fc!$C$711:$K$711</c:f>
              <c:numCache>
                <c:formatCode>0.000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2.4</c:v>
                </c:pt>
                <c:pt idx="4">
                  <c:v>3.3</c:v>
                </c:pt>
                <c:pt idx="5">
                  <c:v>3.3</c:v>
                </c:pt>
              </c:numCache>
            </c:numRef>
          </c:xVal>
          <c:yVal>
            <c:numRef>
              <c:f>fc!$C$712:$K$712</c:f>
              <c:numCache>
                <c:formatCode>0.000</c:formatCode>
                <c:ptCount val="9"/>
                <c:pt idx="0">
                  <c:v>98.79</c:v>
                </c:pt>
                <c:pt idx="1">
                  <c:v>98.12</c:v>
                </c:pt>
                <c:pt idx="2">
                  <c:v>98.12</c:v>
                </c:pt>
                <c:pt idx="3">
                  <c:v>98.12</c:v>
                </c:pt>
                <c:pt idx="4">
                  <c:v>98.12</c:v>
                </c:pt>
                <c:pt idx="5">
                  <c:v>98.79</c:v>
                </c:pt>
              </c:numCache>
            </c:numRef>
          </c:yVal>
        </c:ser>
        <c:axId val="74704768"/>
        <c:axId val="74706304"/>
      </c:scatterChart>
      <c:valAx>
        <c:axId val="74704768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706304"/>
        <c:crossesAt val="-2"/>
        <c:crossBetween val="midCat"/>
        <c:majorUnit val="1"/>
        <c:minorUnit val="0.5"/>
      </c:valAx>
      <c:valAx>
        <c:axId val="74706304"/>
        <c:scaling>
          <c:orientation val="minMax"/>
          <c:max val="101"/>
          <c:min val="96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4704768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66" r="0.75000000000001166" t="1" header="0.5" footer="0.5"/>
    <c:pageSetup paperSize="9" orientation="landscape" horizontalDpi="360" verticalDpi="36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Bund!$A$308:$B$308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Bund!$C$307:$L$307</c:f>
              <c:numCache>
                <c:formatCode>0.000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4.7</c:v>
                </c:pt>
                <c:pt idx="3">
                  <c:v>5</c:v>
                </c:pt>
                <c:pt idx="4">
                  <c:v>6.2</c:v>
                </c:pt>
                <c:pt idx="5">
                  <c:v>6.3</c:v>
                </c:pt>
                <c:pt idx="6">
                  <c:v>7</c:v>
                </c:pt>
                <c:pt idx="7">
                  <c:v>7.7</c:v>
                </c:pt>
                <c:pt idx="8" formatCode="0.00">
                  <c:v>11</c:v>
                </c:pt>
                <c:pt idx="9">
                  <c:v>13.4</c:v>
                </c:pt>
              </c:numCache>
            </c:numRef>
          </c:xVal>
          <c:yVal>
            <c:numRef>
              <c:f>Bund!$C$308:$M$308</c:f>
              <c:numCache>
                <c:formatCode>0.000</c:formatCode>
                <c:ptCount val="11"/>
                <c:pt idx="0">
                  <c:v>98.37</c:v>
                </c:pt>
                <c:pt idx="1">
                  <c:v>100.37</c:v>
                </c:pt>
                <c:pt idx="2">
                  <c:v>101.5</c:v>
                </c:pt>
                <c:pt idx="3">
                  <c:v>101.5</c:v>
                </c:pt>
                <c:pt idx="4">
                  <c:v>101.5</c:v>
                </c:pt>
                <c:pt idx="5">
                  <c:v>101.5</c:v>
                </c:pt>
                <c:pt idx="6">
                  <c:v>101.5</c:v>
                </c:pt>
                <c:pt idx="7">
                  <c:v>101.5</c:v>
                </c:pt>
                <c:pt idx="8" formatCode="0.00">
                  <c:v>99.85</c:v>
                </c:pt>
                <c:pt idx="9">
                  <c:v>98.65</c:v>
                </c:pt>
              </c:numCache>
            </c:numRef>
          </c:yVal>
        </c:ser>
        <c:ser>
          <c:idx val="1"/>
          <c:order val="1"/>
          <c:tx>
            <c:strRef>
              <c:f>Bund!$A$310:$B$310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Bund!$C$309:$L$309</c:f>
              <c:numCache>
                <c:formatCode>0.000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4.7</c:v>
                </c:pt>
                <c:pt idx="3">
                  <c:v>5</c:v>
                </c:pt>
                <c:pt idx="4">
                  <c:v>6.2</c:v>
                </c:pt>
                <c:pt idx="5">
                  <c:v>6.3</c:v>
                </c:pt>
                <c:pt idx="6">
                  <c:v>7</c:v>
                </c:pt>
                <c:pt idx="7">
                  <c:v>7.7</c:v>
                </c:pt>
                <c:pt idx="8" formatCode="0.00">
                  <c:v>11</c:v>
                </c:pt>
                <c:pt idx="9">
                  <c:v>13.4</c:v>
                </c:pt>
              </c:numCache>
            </c:numRef>
          </c:xVal>
          <c:yVal>
            <c:numRef>
              <c:f>Bund!$C$310:$L$310</c:f>
              <c:numCache>
                <c:formatCode>0.000</c:formatCode>
                <c:ptCount val="10"/>
                <c:pt idx="0">
                  <c:v>98.37</c:v>
                </c:pt>
                <c:pt idx="1">
                  <c:v>100.37</c:v>
                </c:pt>
                <c:pt idx="2">
                  <c:v>100.914</c:v>
                </c:pt>
                <c:pt idx="3">
                  <c:v>101.01</c:v>
                </c:pt>
                <c:pt idx="4">
                  <c:v>101.01</c:v>
                </c:pt>
                <c:pt idx="5">
                  <c:v>101.01</c:v>
                </c:pt>
                <c:pt idx="6">
                  <c:v>101.01</c:v>
                </c:pt>
                <c:pt idx="7">
                  <c:v>100.601</c:v>
                </c:pt>
                <c:pt idx="8" formatCode="0.00">
                  <c:v>98.67</c:v>
                </c:pt>
                <c:pt idx="9">
                  <c:v>98.65</c:v>
                </c:pt>
              </c:numCache>
            </c:numRef>
          </c:yVal>
        </c:ser>
        <c:axId val="61115392"/>
        <c:axId val="61141760"/>
      </c:scatterChart>
      <c:valAx>
        <c:axId val="61115392"/>
        <c:scaling>
          <c:orientation val="minMax"/>
          <c:max val="14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61141760"/>
        <c:crossesAt val="-2"/>
        <c:crossBetween val="midCat"/>
        <c:majorUnit val="1"/>
        <c:minorUnit val="1"/>
      </c:valAx>
      <c:valAx>
        <c:axId val="61141760"/>
        <c:scaling>
          <c:orientation val="minMax"/>
          <c:max val="102"/>
          <c:min val="97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61115392"/>
        <c:crosses val="max"/>
        <c:crossBetween val="midCat"/>
        <c:majorUnit val="1"/>
      </c:valAx>
    </c:plotArea>
    <c:dispBlanksAs val="gap"/>
  </c:chart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fc!$A$751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fc!$C$750:$J$750</c:f>
              <c:numCache>
                <c:formatCode>0.000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2.4</c:v>
                </c:pt>
                <c:pt idx="4">
                  <c:v>3.4</c:v>
                </c:pt>
                <c:pt idx="5">
                  <c:v>3.5</c:v>
                </c:pt>
                <c:pt idx="6">
                  <c:v>3.8</c:v>
                </c:pt>
                <c:pt idx="7">
                  <c:v>4</c:v>
                </c:pt>
              </c:numCache>
            </c:numRef>
          </c:xVal>
          <c:yVal>
            <c:numRef>
              <c:f>fc!$C$751:$J$751</c:f>
              <c:numCache>
                <c:formatCode>0.000</c:formatCode>
                <c:ptCount val="8"/>
                <c:pt idx="0">
                  <c:v>98.75</c:v>
                </c:pt>
                <c:pt idx="1">
                  <c:v>97.91</c:v>
                </c:pt>
                <c:pt idx="2">
                  <c:v>97.91</c:v>
                </c:pt>
                <c:pt idx="3">
                  <c:v>97.91</c:v>
                </c:pt>
                <c:pt idx="4">
                  <c:v>97.91</c:v>
                </c:pt>
                <c:pt idx="5">
                  <c:v>98.048000000000002</c:v>
                </c:pt>
                <c:pt idx="6">
                  <c:v>98.46</c:v>
                </c:pt>
                <c:pt idx="7">
                  <c:v>98.69</c:v>
                </c:pt>
              </c:numCache>
            </c:numRef>
          </c:yVal>
        </c:ser>
        <c:ser>
          <c:idx val="1"/>
          <c:order val="1"/>
          <c:tx>
            <c:strRef>
              <c:f>fc!$A$753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fc!$C$752:$J$752</c:f>
              <c:numCache>
                <c:formatCode>0.000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2.4</c:v>
                </c:pt>
                <c:pt idx="4">
                  <c:v>3.4</c:v>
                </c:pt>
                <c:pt idx="5">
                  <c:v>3.5</c:v>
                </c:pt>
                <c:pt idx="6">
                  <c:v>3.8</c:v>
                </c:pt>
                <c:pt idx="7">
                  <c:v>4</c:v>
                </c:pt>
              </c:numCache>
            </c:numRef>
          </c:xVal>
          <c:yVal>
            <c:numRef>
              <c:f>fc!$C$753:$J$753</c:f>
              <c:numCache>
                <c:formatCode>0.000</c:formatCode>
                <c:ptCount val="8"/>
                <c:pt idx="0">
                  <c:v>98.75</c:v>
                </c:pt>
                <c:pt idx="1">
                  <c:v>98.228999999999999</c:v>
                </c:pt>
                <c:pt idx="2">
                  <c:v>98.24</c:v>
                </c:pt>
                <c:pt idx="3">
                  <c:v>98.24</c:v>
                </c:pt>
                <c:pt idx="4">
                  <c:v>98.24</c:v>
                </c:pt>
                <c:pt idx="5">
                  <c:v>98.24</c:v>
                </c:pt>
                <c:pt idx="6">
                  <c:v>98.46</c:v>
                </c:pt>
                <c:pt idx="7">
                  <c:v>98.69</c:v>
                </c:pt>
              </c:numCache>
            </c:numRef>
          </c:yVal>
        </c:ser>
        <c:axId val="74809344"/>
        <c:axId val="74810880"/>
      </c:scatterChart>
      <c:valAx>
        <c:axId val="74809344"/>
        <c:scaling>
          <c:orientation val="minMax"/>
          <c:max val="8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810880"/>
        <c:crossesAt val="-2"/>
        <c:crossBetween val="midCat"/>
        <c:majorUnit val="1"/>
        <c:minorUnit val="0.5"/>
      </c:valAx>
      <c:valAx>
        <c:axId val="74810880"/>
        <c:scaling>
          <c:orientation val="minMax"/>
          <c:max val="101"/>
          <c:min val="96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4809344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55" r="0.75000000000001055" t="1" header="0.5" footer="0.5"/>
    <c:pageSetup paperSize="9" orientation="landscape" horizontalDpi="360" verticalDpi="360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fc!$A$799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fc!$C$798:$K$798</c:f>
              <c:numCache>
                <c:formatCode>0.000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1.2</c:v>
                </c:pt>
                <c:pt idx="4">
                  <c:v>2.4</c:v>
                </c:pt>
                <c:pt idx="5">
                  <c:v>3.4</c:v>
                </c:pt>
                <c:pt idx="6">
                  <c:v>3.5</c:v>
                </c:pt>
                <c:pt idx="7">
                  <c:v>3.7</c:v>
                </c:pt>
                <c:pt idx="8">
                  <c:v>3.8</c:v>
                </c:pt>
              </c:numCache>
            </c:numRef>
          </c:xVal>
          <c:yVal>
            <c:numRef>
              <c:f>fc!$C$799:$K$799</c:f>
              <c:numCache>
                <c:formatCode>0.000</c:formatCode>
                <c:ptCount val="9"/>
                <c:pt idx="0">
                  <c:v>98.65</c:v>
                </c:pt>
                <c:pt idx="1">
                  <c:v>98.022000000000006</c:v>
                </c:pt>
                <c:pt idx="2">
                  <c:v>97.9</c:v>
                </c:pt>
                <c:pt idx="3">
                  <c:v>97.9</c:v>
                </c:pt>
                <c:pt idx="4">
                  <c:v>97.9</c:v>
                </c:pt>
                <c:pt idx="5">
                  <c:v>97.9</c:v>
                </c:pt>
                <c:pt idx="6">
                  <c:v>98.1</c:v>
                </c:pt>
                <c:pt idx="7">
                  <c:v>98.5</c:v>
                </c:pt>
                <c:pt idx="8">
                  <c:v>98.58</c:v>
                </c:pt>
              </c:numCache>
            </c:numRef>
          </c:yVal>
        </c:ser>
        <c:ser>
          <c:idx val="1"/>
          <c:order val="1"/>
          <c:tx>
            <c:strRef>
              <c:f>fc!$A$801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fc!$C$800:$K$800</c:f>
              <c:numCache>
                <c:formatCode>0.000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1.2</c:v>
                </c:pt>
                <c:pt idx="4">
                  <c:v>2.4</c:v>
                </c:pt>
                <c:pt idx="5">
                  <c:v>3.4</c:v>
                </c:pt>
                <c:pt idx="6">
                  <c:v>3.5</c:v>
                </c:pt>
                <c:pt idx="7">
                  <c:v>3.7</c:v>
                </c:pt>
                <c:pt idx="8">
                  <c:v>3.8</c:v>
                </c:pt>
              </c:numCache>
            </c:numRef>
          </c:xVal>
          <c:yVal>
            <c:numRef>
              <c:f>fc!$C$801:$K$801</c:f>
              <c:numCache>
                <c:formatCode>0.000</c:formatCode>
                <c:ptCount val="9"/>
                <c:pt idx="0">
                  <c:v>98.65</c:v>
                </c:pt>
                <c:pt idx="1">
                  <c:v>98.27</c:v>
                </c:pt>
                <c:pt idx="2">
                  <c:v>98.22</c:v>
                </c:pt>
                <c:pt idx="3">
                  <c:v>98.22</c:v>
                </c:pt>
                <c:pt idx="4">
                  <c:v>98.22</c:v>
                </c:pt>
                <c:pt idx="5">
                  <c:v>98.22</c:v>
                </c:pt>
                <c:pt idx="6">
                  <c:v>98.22</c:v>
                </c:pt>
                <c:pt idx="7">
                  <c:v>98.5</c:v>
                </c:pt>
                <c:pt idx="8">
                  <c:v>98.58</c:v>
                </c:pt>
              </c:numCache>
            </c:numRef>
          </c:yVal>
        </c:ser>
        <c:axId val="74912896"/>
        <c:axId val="74914432"/>
      </c:scatterChart>
      <c:valAx>
        <c:axId val="74912896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914432"/>
        <c:crossesAt val="-2"/>
        <c:crossBetween val="midCat"/>
        <c:majorUnit val="1"/>
        <c:minorUnit val="0.5"/>
      </c:valAx>
      <c:valAx>
        <c:axId val="74914432"/>
        <c:scaling>
          <c:orientation val="minMax"/>
          <c:max val="100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491289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77" r="0.75000000000001077" t="1" header="0.5" footer="0.5"/>
    <c:pageSetup paperSize="9" orientation="landscape" horizontalDpi="360" verticalDpi="360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fc!$A$834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fc!$C$833:$J$833</c:f>
              <c:numCache>
                <c:formatCode>0.000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1.2</c:v>
                </c:pt>
                <c:pt idx="4">
                  <c:v>2.4</c:v>
                </c:pt>
                <c:pt idx="5">
                  <c:v>3</c:v>
                </c:pt>
                <c:pt idx="6">
                  <c:v>3.4</c:v>
                </c:pt>
                <c:pt idx="7">
                  <c:v>4</c:v>
                </c:pt>
              </c:numCache>
            </c:numRef>
          </c:xVal>
          <c:yVal>
            <c:numRef>
              <c:f>fc!$C$834:$J$834</c:f>
              <c:numCache>
                <c:formatCode>0.000</c:formatCode>
                <c:ptCount val="8"/>
                <c:pt idx="0">
                  <c:v>99.06</c:v>
                </c:pt>
                <c:pt idx="1">
                  <c:v>98.034999999999997</c:v>
                </c:pt>
                <c:pt idx="2">
                  <c:v>97.83</c:v>
                </c:pt>
                <c:pt idx="3">
                  <c:v>97.83</c:v>
                </c:pt>
                <c:pt idx="4">
                  <c:v>97.83</c:v>
                </c:pt>
                <c:pt idx="5">
                  <c:v>97.83</c:v>
                </c:pt>
                <c:pt idx="6">
                  <c:v>98.4</c:v>
                </c:pt>
                <c:pt idx="7">
                  <c:v>98.98</c:v>
                </c:pt>
              </c:numCache>
            </c:numRef>
          </c:yVal>
        </c:ser>
        <c:ser>
          <c:idx val="1"/>
          <c:order val="1"/>
          <c:tx>
            <c:strRef>
              <c:f>fc!$A$836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fc!$C$835:$J$835</c:f>
              <c:numCache>
                <c:formatCode>0.000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1.2</c:v>
                </c:pt>
                <c:pt idx="4">
                  <c:v>2.4</c:v>
                </c:pt>
                <c:pt idx="5">
                  <c:v>3</c:v>
                </c:pt>
                <c:pt idx="6">
                  <c:v>3.4</c:v>
                </c:pt>
                <c:pt idx="7">
                  <c:v>4</c:v>
                </c:pt>
              </c:numCache>
            </c:numRef>
          </c:xVal>
          <c:yVal>
            <c:numRef>
              <c:f>fc!$C$836:$J$836</c:f>
              <c:numCache>
                <c:formatCode>0.000</c:formatCode>
                <c:ptCount val="8"/>
                <c:pt idx="0">
                  <c:v>99.06</c:v>
                </c:pt>
                <c:pt idx="1">
                  <c:v>98.15</c:v>
                </c:pt>
                <c:pt idx="2">
                  <c:v>98.135000000000005</c:v>
                </c:pt>
                <c:pt idx="3">
                  <c:v>98.135000000000005</c:v>
                </c:pt>
                <c:pt idx="4">
                  <c:v>98.135000000000005</c:v>
                </c:pt>
                <c:pt idx="5">
                  <c:v>98.135000000000005</c:v>
                </c:pt>
                <c:pt idx="6">
                  <c:v>98.4</c:v>
                </c:pt>
                <c:pt idx="7">
                  <c:v>98.98</c:v>
                </c:pt>
              </c:numCache>
            </c:numRef>
          </c:yVal>
        </c:ser>
        <c:axId val="74946432"/>
        <c:axId val="74947968"/>
      </c:scatterChart>
      <c:valAx>
        <c:axId val="74946432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947968"/>
        <c:crossesAt val="-2"/>
        <c:crossBetween val="midCat"/>
        <c:majorUnit val="1"/>
        <c:minorUnit val="0.5"/>
      </c:valAx>
      <c:valAx>
        <c:axId val="74947968"/>
        <c:scaling>
          <c:orientation val="minMax"/>
          <c:max val="100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4946432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99" r="0.75000000000001099" t="1" header="0.5" footer="0.5"/>
    <c:pageSetup paperSize="9" orientation="landscape" horizontalDpi="360" verticalDpi="360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fc!$A$881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fc!$C$880:$I$880</c:f>
              <c:numCache>
                <c:formatCode>0.000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1.2</c:v>
                </c:pt>
                <c:pt idx="4">
                  <c:v>2.4</c:v>
                </c:pt>
                <c:pt idx="5">
                  <c:v>3</c:v>
                </c:pt>
                <c:pt idx="6">
                  <c:v>3</c:v>
                </c:pt>
              </c:numCache>
            </c:numRef>
          </c:xVal>
          <c:yVal>
            <c:numRef>
              <c:f>fc!$C$881:$I$881</c:f>
              <c:numCache>
                <c:formatCode>0.000</c:formatCode>
                <c:ptCount val="7"/>
                <c:pt idx="0">
                  <c:v>98.75</c:v>
                </c:pt>
                <c:pt idx="1">
                  <c:v>97.96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97.8</c:v>
                </c:pt>
                <c:pt idx="6">
                  <c:v>98.68</c:v>
                </c:pt>
              </c:numCache>
            </c:numRef>
          </c:yVal>
        </c:ser>
        <c:ser>
          <c:idx val="1"/>
          <c:order val="1"/>
          <c:tx>
            <c:strRef>
              <c:f>fc!$A$883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fc!$C$882:$I$882</c:f>
              <c:numCache>
                <c:formatCode>0.000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1.2</c:v>
                </c:pt>
                <c:pt idx="4">
                  <c:v>2.4</c:v>
                </c:pt>
                <c:pt idx="5">
                  <c:v>3</c:v>
                </c:pt>
                <c:pt idx="6">
                  <c:v>3</c:v>
                </c:pt>
              </c:numCache>
            </c:numRef>
          </c:xVal>
          <c:yVal>
            <c:numRef>
              <c:f>fc!$C$883:$I$883</c:f>
              <c:numCache>
                <c:formatCode>0.000</c:formatCode>
                <c:ptCount val="7"/>
                <c:pt idx="0">
                  <c:v>98.75</c:v>
                </c:pt>
                <c:pt idx="1">
                  <c:v>98.188000000000002</c:v>
                </c:pt>
                <c:pt idx="2">
                  <c:v>98.155000000000001</c:v>
                </c:pt>
                <c:pt idx="3">
                  <c:v>98.155000000000001</c:v>
                </c:pt>
                <c:pt idx="4">
                  <c:v>98.155000000000001</c:v>
                </c:pt>
                <c:pt idx="5">
                  <c:v>98.155000000000001</c:v>
                </c:pt>
                <c:pt idx="6">
                  <c:v>98.68</c:v>
                </c:pt>
              </c:numCache>
            </c:numRef>
          </c:yVal>
        </c:ser>
        <c:axId val="74984448"/>
        <c:axId val="74994432"/>
      </c:scatterChart>
      <c:valAx>
        <c:axId val="74984448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994432"/>
        <c:crossesAt val="-2"/>
        <c:crossBetween val="midCat"/>
        <c:majorUnit val="1"/>
        <c:minorUnit val="0.5"/>
      </c:valAx>
      <c:valAx>
        <c:axId val="74994432"/>
        <c:scaling>
          <c:orientation val="minMax"/>
          <c:max val="101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4984448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21" r="0.75000000000001121" t="1" header="0.5" footer="0.5"/>
    <c:pageSetup paperSize="9" orientation="landscape" horizontalDpi="360" verticalDpi="360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fc!$A$918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fc!$C$917:$I$917</c:f>
              <c:numCache>
                <c:formatCode>0.000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1.2</c:v>
                </c:pt>
                <c:pt idx="4">
                  <c:v>2.4</c:v>
                </c:pt>
                <c:pt idx="5">
                  <c:v>3</c:v>
                </c:pt>
                <c:pt idx="6">
                  <c:v>3</c:v>
                </c:pt>
              </c:numCache>
            </c:numRef>
          </c:xVal>
          <c:yVal>
            <c:numRef>
              <c:f>fc!$C$918:$I$918</c:f>
              <c:numCache>
                <c:formatCode>0.000</c:formatCode>
                <c:ptCount val="7"/>
                <c:pt idx="0">
                  <c:v>98.71</c:v>
                </c:pt>
                <c:pt idx="1">
                  <c:v>97.91</c:v>
                </c:pt>
                <c:pt idx="2">
                  <c:v>97.75</c:v>
                </c:pt>
                <c:pt idx="3">
                  <c:v>97.75</c:v>
                </c:pt>
                <c:pt idx="4">
                  <c:v>97.75</c:v>
                </c:pt>
                <c:pt idx="5">
                  <c:v>97.75</c:v>
                </c:pt>
                <c:pt idx="6">
                  <c:v>98.86</c:v>
                </c:pt>
              </c:numCache>
            </c:numRef>
          </c:yVal>
        </c:ser>
        <c:ser>
          <c:idx val="1"/>
          <c:order val="1"/>
          <c:tx>
            <c:strRef>
              <c:f>fc!$A$920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fc!$C$919:$I$919</c:f>
              <c:numCache>
                <c:formatCode>0.000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1.2</c:v>
                </c:pt>
                <c:pt idx="4">
                  <c:v>2.4</c:v>
                </c:pt>
                <c:pt idx="5">
                  <c:v>3</c:v>
                </c:pt>
                <c:pt idx="6">
                  <c:v>3</c:v>
                </c:pt>
              </c:numCache>
            </c:numRef>
          </c:xVal>
          <c:yVal>
            <c:numRef>
              <c:f>fc!$C$920:$I$920</c:f>
              <c:numCache>
                <c:formatCode>0.000</c:formatCode>
                <c:ptCount val="7"/>
                <c:pt idx="0">
                  <c:v>98.71</c:v>
                </c:pt>
                <c:pt idx="1">
                  <c:v>98.135000000000005</c:v>
                </c:pt>
                <c:pt idx="2">
                  <c:v>98.094999999999999</c:v>
                </c:pt>
                <c:pt idx="3">
                  <c:v>98.094999999999999</c:v>
                </c:pt>
                <c:pt idx="4">
                  <c:v>98.094999999999999</c:v>
                </c:pt>
                <c:pt idx="5">
                  <c:v>98.094999999999999</c:v>
                </c:pt>
                <c:pt idx="6">
                  <c:v>98.86</c:v>
                </c:pt>
              </c:numCache>
            </c:numRef>
          </c:yVal>
        </c:ser>
        <c:axId val="75014144"/>
        <c:axId val="75015680"/>
      </c:scatterChart>
      <c:valAx>
        <c:axId val="75014144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5015680"/>
        <c:crossesAt val="-2"/>
        <c:crossBetween val="midCat"/>
        <c:majorUnit val="1"/>
        <c:minorUnit val="0.5"/>
      </c:valAx>
      <c:valAx>
        <c:axId val="75015680"/>
        <c:scaling>
          <c:orientation val="minMax"/>
          <c:max val="101"/>
          <c:min val="96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5014144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77" r="0.75000000000001077" t="1" header="0.5" footer="0.5"/>
    <c:pageSetup paperSize="9" orientation="landscape" horizontalDpi="360" verticalDpi="360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fc!$A$962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fc!$C$961:$K$961</c:f>
              <c:numCache>
                <c:formatCode>0.000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1.2</c:v>
                </c:pt>
                <c:pt idx="4">
                  <c:v>2.4</c:v>
                </c:pt>
                <c:pt idx="5">
                  <c:v>3</c:v>
                </c:pt>
                <c:pt idx="6">
                  <c:v>3</c:v>
                </c:pt>
              </c:numCache>
            </c:numRef>
          </c:xVal>
          <c:yVal>
            <c:numRef>
              <c:f>fc!$C$962:$K$962</c:f>
              <c:numCache>
                <c:formatCode>0.000</c:formatCode>
                <c:ptCount val="9"/>
                <c:pt idx="0">
                  <c:v>98.71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98.86</c:v>
                </c:pt>
              </c:numCache>
            </c:numRef>
          </c:yVal>
        </c:ser>
        <c:ser>
          <c:idx val="1"/>
          <c:order val="1"/>
          <c:tx>
            <c:strRef>
              <c:f>fc!$A$964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fc!$C$963:$K$963</c:f>
              <c:numCache>
                <c:formatCode>0.000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1.2</c:v>
                </c:pt>
                <c:pt idx="4">
                  <c:v>2.4</c:v>
                </c:pt>
                <c:pt idx="5">
                  <c:v>3</c:v>
                </c:pt>
                <c:pt idx="6">
                  <c:v>3</c:v>
                </c:pt>
              </c:numCache>
            </c:numRef>
          </c:xVal>
          <c:yVal>
            <c:numRef>
              <c:f>fc!$C$964:$K$964</c:f>
              <c:numCache>
                <c:formatCode>0.000</c:formatCode>
                <c:ptCount val="9"/>
                <c:pt idx="0">
                  <c:v>98.71</c:v>
                </c:pt>
                <c:pt idx="1">
                  <c:v>98.058000000000007</c:v>
                </c:pt>
                <c:pt idx="2">
                  <c:v>98.02</c:v>
                </c:pt>
                <c:pt idx="3">
                  <c:v>98.02</c:v>
                </c:pt>
                <c:pt idx="4">
                  <c:v>98.02</c:v>
                </c:pt>
                <c:pt idx="5">
                  <c:v>98.02</c:v>
                </c:pt>
                <c:pt idx="6">
                  <c:v>98.86</c:v>
                </c:pt>
              </c:numCache>
            </c:numRef>
          </c:yVal>
        </c:ser>
        <c:axId val="75035776"/>
        <c:axId val="75037312"/>
      </c:scatterChart>
      <c:valAx>
        <c:axId val="75035776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5037312"/>
        <c:crossesAt val="-2"/>
        <c:crossBetween val="midCat"/>
        <c:majorUnit val="1"/>
        <c:minorUnit val="0.5"/>
      </c:valAx>
      <c:valAx>
        <c:axId val="75037312"/>
        <c:scaling>
          <c:orientation val="minMax"/>
          <c:max val="101"/>
          <c:min val="97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503577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99" r="0.75000000000001099" t="1" header="0.5" footer="0.5"/>
    <c:pageSetup paperSize="9" orientation="landscape" horizontalDpi="360" verticalDpi="360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fc!$A$1001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fc!$C$1000:$I$1000</c:f>
              <c:numCache>
                <c:formatCode>0.000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1.2</c:v>
                </c:pt>
                <c:pt idx="4">
                  <c:v>2.4</c:v>
                </c:pt>
                <c:pt idx="5">
                  <c:v>3</c:v>
                </c:pt>
                <c:pt idx="6">
                  <c:v>3</c:v>
                </c:pt>
              </c:numCache>
            </c:numRef>
          </c:xVal>
          <c:yVal>
            <c:numRef>
              <c:f>fc!$C$1001:$I$1001</c:f>
              <c:numCache>
                <c:formatCode>0.000</c:formatCode>
                <c:ptCount val="7"/>
                <c:pt idx="0">
                  <c:v>98.54</c:v>
                </c:pt>
                <c:pt idx="1">
                  <c:v>97.856999999999999</c:v>
                </c:pt>
                <c:pt idx="2">
                  <c:v>97.72</c:v>
                </c:pt>
                <c:pt idx="3">
                  <c:v>97.72</c:v>
                </c:pt>
                <c:pt idx="4">
                  <c:v>97.72</c:v>
                </c:pt>
                <c:pt idx="5">
                  <c:v>97.72</c:v>
                </c:pt>
                <c:pt idx="6">
                  <c:v>98.68</c:v>
                </c:pt>
              </c:numCache>
            </c:numRef>
          </c:yVal>
        </c:ser>
        <c:ser>
          <c:idx val="1"/>
          <c:order val="1"/>
          <c:tx>
            <c:strRef>
              <c:f>fc!$A$1003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fc!$C$1002:$I$1002</c:f>
              <c:numCache>
                <c:formatCode>0.000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1.2</c:v>
                </c:pt>
                <c:pt idx="4">
                  <c:v>2.4</c:v>
                </c:pt>
                <c:pt idx="5">
                  <c:v>3</c:v>
                </c:pt>
                <c:pt idx="6">
                  <c:v>3</c:v>
                </c:pt>
              </c:numCache>
            </c:numRef>
          </c:xVal>
          <c:yVal>
            <c:numRef>
              <c:f>fc!$C$1003:$I$1003</c:f>
              <c:numCache>
                <c:formatCode>0.000</c:formatCode>
                <c:ptCount val="7"/>
                <c:pt idx="0">
                  <c:v>98.54</c:v>
                </c:pt>
                <c:pt idx="1">
                  <c:v>98.16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98.68</c:v>
                </c:pt>
              </c:numCache>
            </c:numRef>
          </c:yVal>
        </c:ser>
        <c:axId val="74887936"/>
        <c:axId val="74889472"/>
      </c:scatterChart>
      <c:valAx>
        <c:axId val="74887936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889472"/>
        <c:crossesAt val="-2"/>
        <c:crossBetween val="midCat"/>
        <c:majorUnit val="1"/>
        <c:minorUnit val="0.5"/>
      </c:valAx>
      <c:valAx>
        <c:axId val="74889472"/>
        <c:scaling>
          <c:orientation val="minMax"/>
          <c:max val="101"/>
          <c:min val="97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488793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21" r="0.75000000000001121" t="1" header="0.5" footer="0.5"/>
    <c:pageSetup paperSize="9" orientation="landscape" horizontalDpi="360" verticalDpi="360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fc!$A$1046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fc!$C$1045:$K$1045</c:f>
              <c:numCache>
                <c:formatCode>0.000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2.4</c:v>
                </c:pt>
                <c:pt idx="4">
                  <c:v>3</c:v>
                </c:pt>
                <c:pt idx="5">
                  <c:v>3</c:v>
                </c:pt>
              </c:numCache>
            </c:numRef>
          </c:xVal>
          <c:yVal>
            <c:numRef>
              <c:f>fc!$C$1046:$K$1046</c:f>
              <c:numCache>
                <c:formatCode>0.000</c:formatCode>
                <c:ptCount val="9"/>
                <c:pt idx="0">
                  <c:v>98.68</c:v>
                </c:pt>
                <c:pt idx="1">
                  <c:v>97.65</c:v>
                </c:pt>
                <c:pt idx="2">
                  <c:v>97.65</c:v>
                </c:pt>
                <c:pt idx="3">
                  <c:v>97.65</c:v>
                </c:pt>
                <c:pt idx="4">
                  <c:v>97.65</c:v>
                </c:pt>
                <c:pt idx="5">
                  <c:v>98.47</c:v>
                </c:pt>
              </c:numCache>
            </c:numRef>
          </c:yVal>
        </c:ser>
        <c:ser>
          <c:idx val="1"/>
          <c:order val="1"/>
          <c:tx>
            <c:strRef>
              <c:f>fc!$A$1048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fc!$C$1047:$K$1047</c:f>
              <c:numCache>
                <c:formatCode>0.000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2.4</c:v>
                </c:pt>
                <c:pt idx="4">
                  <c:v>3</c:v>
                </c:pt>
                <c:pt idx="5">
                  <c:v>3</c:v>
                </c:pt>
              </c:numCache>
            </c:numRef>
          </c:xVal>
          <c:yVal>
            <c:numRef>
              <c:f>fc!$C$1048:$K$1048</c:f>
              <c:numCache>
                <c:formatCode>0.000</c:formatCode>
                <c:ptCount val="9"/>
                <c:pt idx="0">
                  <c:v>98.68</c:v>
                </c:pt>
                <c:pt idx="1">
                  <c:v>97.947999999999993</c:v>
                </c:pt>
                <c:pt idx="2">
                  <c:v>97.935000000000002</c:v>
                </c:pt>
                <c:pt idx="3">
                  <c:v>97.935000000000002</c:v>
                </c:pt>
                <c:pt idx="4">
                  <c:v>97.935000000000002</c:v>
                </c:pt>
                <c:pt idx="5">
                  <c:v>98.47</c:v>
                </c:pt>
              </c:numCache>
            </c:numRef>
          </c:yVal>
        </c:ser>
        <c:axId val="74904320"/>
        <c:axId val="74905856"/>
      </c:scatterChart>
      <c:valAx>
        <c:axId val="74904320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905856"/>
        <c:crossesAt val="-2"/>
        <c:crossBetween val="midCat"/>
        <c:majorUnit val="1"/>
        <c:minorUnit val="0.5"/>
      </c:valAx>
      <c:valAx>
        <c:axId val="74905856"/>
        <c:scaling>
          <c:orientation val="minMax"/>
          <c:max val="101"/>
          <c:min val="97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4904320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44" r="0.75000000000001144" t="1" header="0.5" footer="0.5"/>
    <c:pageSetup paperSize="9" orientation="landscape" horizontalDpi="360" verticalDpi="360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fc!$A$1085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fc!$C$1084:$K$1084</c:f>
              <c:numCache>
                <c:formatCode>0.000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1.2</c:v>
                </c:pt>
                <c:pt idx="4">
                  <c:v>2.4</c:v>
                </c:pt>
                <c:pt idx="5">
                  <c:v>3</c:v>
                </c:pt>
                <c:pt idx="6">
                  <c:v>3.8</c:v>
                </c:pt>
                <c:pt idx="7">
                  <c:v>4</c:v>
                </c:pt>
              </c:numCache>
            </c:numRef>
          </c:xVal>
          <c:yVal>
            <c:numRef>
              <c:f>fc!$C$1085:$K$1085</c:f>
              <c:numCache>
                <c:formatCode>0.000</c:formatCode>
                <c:ptCount val="9"/>
                <c:pt idx="0">
                  <c:v>98.32</c:v>
                </c:pt>
                <c:pt idx="1">
                  <c:v>97.727999999999994</c:v>
                </c:pt>
                <c:pt idx="2">
                  <c:v>97.61</c:v>
                </c:pt>
                <c:pt idx="3">
                  <c:v>97.61</c:v>
                </c:pt>
                <c:pt idx="4">
                  <c:v>97.61</c:v>
                </c:pt>
                <c:pt idx="5">
                  <c:v>97.61</c:v>
                </c:pt>
                <c:pt idx="6">
                  <c:v>98.21</c:v>
                </c:pt>
                <c:pt idx="7">
                  <c:v>98.27</c:v>
                </c:pt>
              </c:numCache>
            </c:numRef>
          </c:yVal>
        </c:ser>
        <c:ser>
          <c:idx val="1"/>
          <c:order val="1"/>
          <c:tx>
            <c:strRef>
              <c:f>fc!$A$1087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fc!$C$1086:$K$1086</c:f>
              <c:numCache>
                <c:formatCode>0.000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1.2</c:v>
                </c:pt>
                <c:pt idx="4">
                  <c:v>2.4</c:v>
                </c:pt>
                <c:pt idx="5">
                  <c:v>3</c:v>
                </c:pt>
                <c:pt idx="6">
                  <c:v>3.8</c:v>
                </c:pt>
                <c:pt idx="7">
                  <c:v>4</c:v>
                </c:pt>
              </c:numCache>
            </c:numRef>
          </c:xVal>
          <c:yVal>
            <c:numRef>
              <c:f>fc!$C$1087:$K$1087</c:f>
              <c:numCache>
                <c:formatCode>0.000</c:formatCode>
                <c:ptCount val="9"/>
                <c:pt idx="0">
                  <c:v>98.32</c:v>
                </c:pt>
                <c:pt idx="1">
                  <c:v>97.875</c:v>
                </c:pt>
                <c:pt idx="2">
                  <c:v>97.83</c:v>
                </c:pt>
                <c:pt idx="3">
                  <c:v>97.83</c:v>
                </c:pt>
                <c:pt idx="4">
                  <c:v>97.83</c:v>
                </c:pt>
                <c:pt idx="5">
                  <c:v>97.834999999999994</c:v>
                </c:pt>
                <c:pt idx="6">
                  <c:v>98.21</c:v>
                </c:pt>
                <c:pt idx="7">
                  <c:v>98.27</c:v>
                </c:pt>
              </c:numCache>
            </c:numRef>
          </c:yVal>
        </c:ser>
        <c:axId val="75073408"/>
        <c:axId val="75074944"/>
      </c:scatterChart>
      <c:valAx>
        <c:axId val="75073408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5074944"/>
        <c:crossesAt val="-2"/>
        <c:crossBetween val="midCat"/>
        <c:majorUnit val="1"/>
        <c:minorUnit val="0.5"/>
      </c:valAx>
      <c:valAx>
        <c:axId val="75074944"/>
        <c:scaling>
          <c:orientation val="minMax"/>
          <c:max val="101"/>
          <c:min val="97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5073408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66" r="0.75000000000001166" t="1" header="0.5" footer="0.5"/>
    <c:pageSetup paperSize="9" orientation="landscape" horizontalDpi="360" verticalDpi="360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fc!$A$1128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fc!$C$1127:$K$1127</c:f>
              <c:numCache>
                <c:formatCode>0.000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1.2</c:v>
                </c:pt>
                <c:pt idx="4">
                  <c:v>2.4</c:v>
                </c:pt>
                <c:pt idx="5">
                  <c:v>3</c:v>
                </c:pt>
                <c:pt idx="6">
                  <c:v>3.2</c:v>
                </c:pt>
                <c:pt idx="7">
                  <c:v>3.5</c:v>
                </c:pt>
                <c:pt idx="8">
                  <c:v>3.8</c:v>
                </c:pt>
              </c:numCache>
            </c:numRef>
          </c:xVal>
          <c:yVal>
            <c:numRef>
              <c:f>fc!$C$1128:$K$1128</c:f>
              <c:numCache>
                <c:formatCode>0.000</c:formatCode>
                <c:ptCount val="9"/>
                <c:pt idx="0">
                  <c:v>98.66</c:v>
                </c:pt>
                <c:pt idx="1">
                  <c:v>97.751999999999995</c:v>
                </c:pt>
                <c:pt idx="2">
                  <c:v>97.57</c:v>
                </c:pt>
                <c:pt idx="3">
                  <c:v>97.57</c:v>
                </c:pt>
                <c:pt idx="4">
                  <c:v>97.57</c:v>
                </c:pt>
                <c:pt idx="5">
                  <c:v>97.57</c:v>
                </c:pt>
                <c:pt idx="6">
                  <c:v>97.81</c:v>
                </c:pt>
                <c:pt idx="7">
                  <c:v>98.17</c:v>
                </c:pt>
                <c:pt idx="8">
                  <c:v>98.62</c:v>
                </c:pt>
              </c:numCache>
            </c:numRef>
          </c:yVal>
        </c:ser>
        <c:ser>
          <c:idx val="1"/>
          <c:order val="1"/>
          <c:tx>
            <c:strRef>
              <c:f>fc!$A$1130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fc!$C$1129:$K$1129</c:f>
              <c:numCache>
                <c:formatCode>0.000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1.2</c:v>
                </c:pt>
                <c:pt idx="4">
                  <c:v>2.4</c:v>
                </c:pt>
                <c:pt idx="5">
                  <c:v>3</c:v>
                </c:pt>
                <c:pt idx="6">
                  <c:v>3.2</c:v>
                </c:pt>
                <c:pt idx="7">
                  <c:v>3.5</c:v>
                </c:pt>
                <c:pt idx="8">
                  <c:v>3.8</c:v>
                </c:pt>
              </c:numCache>
            </c:numRef>
          </c:xVal>
          <c:yVal>
            <c:numRef>
              <c:f>fc!$C$1130:$K$1130</c:f>
              <c:numCache>
                <c:formatCode>0.000</c:formatCode>
                <c:ptCount val="9"/>
                <c:pt idx="0">
                  <c:v>98.66</c:v>
                </c:pt>
                <c:pt idx="1">
                  <c:v>97.844999999999999</c:v>
                </c:pt>
                <c:pt idx="2">
                  <c:v>97.83</c:v>
                </c:pt>
                <c:pt idx="3">
                  <c:v>97.83</c:v>
                </c:pt>
                <c:pt idx="4">
                  <c:v>97.83</c:v>
                </c:pt>
                <c:pt idx="5">
                  <c:v>97.83</c:v>
                </c:pt>
                <c:pt idx="6">
                  <c:v>97.83</c:v>
                </c:pt>
                <c:pt idx="7">
                  <c:v>98.28</c:v>
                </c:pt>
                <c:pt idx="8">
                  <c:v>98.62</c:v>
                </c:pt>
              </c:numCache>
            </c:numRef>
          </c:yVal>
        </c:ser>
        <c:axId val="81529856"/>
        <c:axId val="81535744"/>
      </c:scatterChart>
      <c:valAx>
        <c:axId val="81529856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1535744"/>
        <c:crossesAt val="-2"/>
        <c:crossBetween val="midCat"/>
        <c:majorUnit val="1"/>
        <c:minorUnit val="0.5"/>
      </c:valAx>
      <c:valAx>
        <c:axId val="81535744"/>
        <c:scaling>
          <c:orientation val="minMax"/>
          <c:max val="101"/>
          <c:min val="96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8152985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88" r="0.75000000000001188" t="1" header="0.5" footer="0.5"/>
    <c:pageSetup paperSize="9" orientation="landscape" horizontalDpi="360" verticalDpi="36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2063402093064244E-2"/>
          <c:y val="0.17300487339446771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Bund!$A$285:$B$285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Bund!$C$284:$M$284</c:f>
              <c:numCache>
                <c:formatCode>0.000</c:formatCode>
                <c:ptCount val="11"/>
                <c:pt idx="0">
                  <c:v>0</c:v>
                </c:pt>
                <c:pt idx="1">
                  <c:v>4.5</c:v>
                </c:pt>
                <c:pt idx="2">
                  <c:v>5.8</c:v>
                </c:pt>
                <c:pt idx="3">
                  <c:v>6.1</c:v>
                </c:pt>
                <c:pt idx="4">
                  <c:v>7.2</c:v>
                </c:pt>
                <c:pt idx="5">
                  <c:v>7.3</c:v>
                </c:pt>
                <c:pt idx="6">
                  <c:v>8</c:v>
                </c:pt>
                <c:pt idx="7">
                  <c:v>8.8000000000000007</c:v>
                </c:pt>
                <c:pt idx="8">
                  <c:v>12</c:v>
                </c:pt>
                <c:pt idx="9">
                  <c:v>12.5</c:v>
                </c:pt>
                <c:pt idx="10">
                  <c:v>14.7</c:v>
                </c:pt>
              </c:numCache>
            </c:numRef>
          </c:xVal>
          <c:yVal>
            <c:numRef>
              <c:f>Bund!$C$285:$M$285</c:f>
              <c:numCache>
                <c:formatCode>0.000</c:formatCode>
                <c:ptCount val="11"/>
                <c:pt idx="0">
                  <c:v>97.65</c:v>
                </c:pt>
                <c:pt idx="1">
                  <c:v>100.64</c:v>
                </c:pt>
                <c:pt idx="2">
                  <c:v>101.5</c:v>
                </c:pt>
                <c:pt idx="3">
                  <c:v>101.5</c:v>
                </c:pt>
                <c:pt idx="4">
                  <c:v>101.5</c:v>
                </c:pt>
                <c:pt idx="5">
                  <c:v>101.5</c:v>
                </c:pt>
                <c:pt idx="6">
                  <c:v>101.5</c:v>
                </c:pt>
                <c:pt idx="7">
                  <c:v>101.5</c:v>
                </c:pt>
                <c:pt idx="8">
                  <c:v>99.9</c:v>
                </c:pt>
                <c:pt idx="9">
                  <c:v>99.65</c:v>
                </c:pt>
                <c:pt idx="10">
                  <c:v>98.55</c:v>
                </c:pt>
              </c:numCache>
            </c:numRef>
          </c:yVal>
        </c:ser>
        <c:ser>
          <c:idx val="1"/>
          <c:order val="1"/>
          <c:tx>
            <c:strRef>
              <c:f>Bund!$A$287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Bund!$C$286:$M$286</c:f>
              <c:numCache>
                <c:formatCode>0.000</c:formatCode>
                <c:ptCount val="11"/>
                <c:pt idx="0">
                  <c:v>0</c:v>
                </c:pt>
                <c:pt idx="1">
                  <c:v>4.5</c:v>
                </c:pt>
                <c:pt idx="2">
                  <c:v>5.8</c:v>
                </c:pt>
                <c:pt idx="3">
                  <c:v>6.1</c:v>
                </c:pt>
                <c:pt idx="4">
                  <c:v>7.2</c:v>
                </c:pt>
                <c:pt idx="5">
                  <c:v>7.3</c:v>
                </c:pt>
                <c:pt idx="6">
                  <c:v>8</c:v>
                </c:pt>
                <c:pt idx="7">
                  <c:v>8.8000000000000007</c:v>
                </c:pt>
                <c:pt idx="8">
                  <c:v>12</c:v>
                </c:pt>
                <c:pt idx="9">
                  <c:v>12.5</c:v>
                </c:pt>
                <c:pt idx="10">
                  <c:v>14.7</c:v>
                </c:pt>
              </c:numCache>
            </c:numRef>
          </c:xVal>
          <c:yVal>
            <c:numRef>
              <c:f>Bund!$C$287:$M$287</c:f>
              <c:numCache>
                <c:formatCode>0.000</c:formatCode>
                <c:ptCount val="11"/>
                <c:pt idx="0">
                  <c:v>97.65</c:v>
                </c:pt>
                <c:pt idx="1">
                  <c:v>100.64</c:v>
                </c:pt>
                <c:pt idx="2">
                  <c:v>100.92400000000001</c:v>
                </c:pt>
                <c:pt idx="3">
                  <c:v>100.99</c:v>
                </c:pt>
                <c:pt idx="4">
                  <c:v>100.99</c:v>
                </c:pt>
                <c:pt idx="5">
                  <c:v>100.99</c:v>
                </c:pt>
                <c:pt idx="6">
                  <c:v>100.99</c:v>
                </c:pt>
                <c:pt idx="7">
                  <c:v>100.55800000000001</c:v>
                </c:pt>
                <c:pt idx="8">
                  <c:v>98.83</c:v>
                </c:pt>
                <c:pt idx="9">
                  <c:v>98.56</c:v>
                </c:pt>
                <c:pt idx="10">
                  <c:v>98.55</c:v>
                </c:pt>
              </c:numCache>
            </c:numRef>
          </c:yVal>
        </c:ser>
        <c:axId val="61161856"/>
        <c:axId val="61163392"/>
      </c:scatterChart>
      <c:valAx>
        <c:axId val="61161856"/>
        <c:scaling>
          <c:orientation val="minMax"/>
          <c:max val="16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61163392"/>
        <c:crossesAt val="-2"/>
        <c:crossBetween val="midCat"/>
        <c:majorUnit val="1"/>
        <c:minorUnit val="1"/>
      </c:valAx>
      <c:valAx>
        <c:axId val="61163392"/>
        <c:scaling>
          <c:orientation val="minMax"/>
          <c:max val="102"/>
          <c:min val="97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61161856"/>
        <c:crosses val="max"/>
        <c:crossBetween val="midCat"/>
        <c:majorUnit val="1"/>
      </c:valAx>
    </c:plotArea>
    <c:dispBlanksAs val="gap"/>
  </c:chart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fc!$A$1169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fc!$C$1168:$K$1168</c:f>
              <c:numCache>
                <c:formatCode>0.000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fc!$C$1169:$K$1169</c:f>
              <c:numCache>
                <c:formatCode>0.000</c:formatCode>
                <c:ptCount val="9"/>
                <c:pt idx="0">
                  <c:v>98.56</c:v>
                </c:pt>
                <c:pt idx="1">
                  <c:v>97.56</c:v>
                </c:pt>
                <c:pt idx="2">
                  <c:v>97.56</c:v>
                </c:pt>
                <c:pt idx="3">
                  <c:v>97.56</c:v>
                </c:pt>
                <c:pt idx="4">
                  <c:v>97.56</c:v>
                </c:pt>
                <c:pt idx="5">
                  <c:v>97.56</c:v>
                </c:pt>
                <c:pt idx="6">
                  <c:v>98.71</c:v>
                </c:pt>
              </c:numCache>
            </c:numRef>
          </c:yVal>
        </c:ser>
        <c:ser>
          <c:idx val="1"/>
          <c:order val="1"/>
          <c:tx>
            <c:strRef>
              <c:f>fc!$A$1171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fc!$C$1170:$K$1170</c:f>
              <c:numCache>
                <c:formatCode>0.000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fc!$C$1171:$K$1171</c:f>
              <c:numCache>
                <c:formatCode>0.000</c:formatCode>
                <c:ptCount val="9"/>
                <c:pt idx="0">
                  <c:v>98.56</c:v>
                </c:pt>
                <c:pt idx="1">
                  <c:v>97.82</c:v>
                </c:pt>
                <c:pt idx="2">
                  <c:v>97.805000000000007</c:v>
                </c:pt>
                <c:pt idx="3">
                  <c:v>97.805000000000007</c:v>
                </c:pt>
                <c:pt idx="4">
                  <c:v>97.805000000000007</c:v>
                </c:pt>
                <c:pt idx="5">
                  <c:v>98.070999999999998</c:v>
                </c:pt>
                <c:pt idx="6">
                  <c:v>98.71</c:v>
                </c:pt>
              </c:numCache>
            </c:numRef>
          </c:yVal>
        </c:ser>
        <c:axId val="81576320"/>
        <c:axId val="81577856"/>
      </c:scatterChart>
      <c:valAx>
        <c:axId val="81576320"/>
        <c:scaling>
          <c:orientation val="minMax"/>
          <c:max val="8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1577856"/>
        <c:crossesAt val="-2"/>
        <c:crossBetween val="midCat"/>
        <c:majorUnit val="1"/>
        <c:minorUnit val="0.5"/>
      </c:valAx>
      <c:valAx>
        <c:axId val="81577856"/>
        <c:scaling>
          <c:orientation val="minMax"/>
          <c:max val="101"/>
          <c:min val="97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81576320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77" r="0.75000000000001077" t="1" header="0.5" footer="0.5"/>
    <c:pageSetup paperSize="9" orientation="landscape" horizontalDpi="360" verticalDpi="360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fc!$A$1217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fc!$C$1216:$I$1216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2.8</c:v>
                </c:pt>
                <c:pt idx="5">
                  <c:v>3.6</c:v>
                </c:pt>
                <c:pt idx="6">
                  <c:v>3.6</c:v>
                </c:pt>
              </c:numCache>
            </c:numRef>
          </c:xVal>
          <c:yVal>
            <c:numRef>
              <c:f>fc!$C$1217:$I$1217</c:f>
              <c:numCache>
                <c:formatCode>0.000</c:formatCode>
                <c:ptCount val="7"/>
                <c:pt idx="0">
                  <c:v>98.84</c:v>
                </c:pt>
                <c:pt idx="1">
                  <c:v>97.55</c:v>
                </c:pt>
                <c:pt idx="2">
                  <c:v>97.55</c:v>
                </c:pt>
                <c:pt idx="3">
                  <c:v>97.55</c:v>
                </c:pt>
                <c:pt idx="4">
                  <c:v>97.55</c:v>
                </c:pt>
                <c:pt idx="5">
                  <c:v>97.55</c:v>
                </c:pt>
                <c:pt idx="6">
                  <c:v>99.02</c:v>
                </c:pt>
              </c:numCache>
            </c:numRef>
          </c:yVal>
        </c:ser>
        <c:ser>
          <c:idx val="1"/>
          <c:order val="1"/>
          <c:tx>
            <c:strRef>
              <c:f>fc!$A$1219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fc!$C$1218:$I$1218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2.8</c:v>
                </c:pt>
                <c:pt idx="5">
                  <c:v>3.6</c:v>
                </c:pt>
                <c:pt idx="6">
                  <c:v>3.6</c:v>
                </c:pt>
              </c:numCache>
            </c:numRef>
          </c:xVal>
          <c:yVal>
            <c:numRef>
              <c:f>fc!$C$1219:$I$1219</c:f>
              <c:numCache>
                <c:formatCode>0.000</c:formatCode>
                <c:ptCount val="7"/>
                <c:pt idx="0">
                  <c:v>98.84</c:v>
                </c:pt>
                <c:pt idx="1">
                  <c:v>97.873000000000005</c:v>
                </c:pt>
                <c:pt idx="2">
                  <c:v>97.78</c:v>
                </c:pt>
                <c:pt idx="3">
                  <c:v>97.78</c:v>
                </c:pt>
                <c:pt idx="4">
                  <c:v>97.78</c:v>
                </c:pt>
                <c:pt idx="5">
                  <c:v>98.042000000000002</c:v>
                </c:pt>
                <c:pt idx="6">
                  <c:v>99.02</c:v>
                </c:pt>
              </c:numCache>
            </c:numRef>
          </c:yVal>
        </c:ser>
        <c:axId val="81470592"/>
        <c:axId val="81472128"/>
      </c:scatterChart>
      <c:valAx>
        <c:axId val="81470592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1472128"/>
        <c:crossesAt val="-2"/>
        <c:crossBetween val="midCat"/>
        <c:majorUnit val="1"/>
        <c:minorUnit val="0.5"/>
      </c:valAx>
      <c:valAx>
        <c:axId val="81472128"/>
        <c:scaling>
          <c:orientation val="minMax"/>
          <c:max val="101"/>
          <c:min val="96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81470592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99" r="0.75000000000001099" t="1" header="0.5" footer="0.5"/>
    <c:pageSetup paperSize="9" orientation="landscape" horizontalDpi="360" verticalDpi="360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fc!$A$1252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fc!$C$1251:$K$1251</c:f>
              <c:numCache>
                <c:formatCode>0.000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fc!$C$1252:$K$1252</c:f>
              <c:numCache>
                <c:formatCode>0.000</c:formatCode>
                <c:ptCount val="9"/>
                <c:pt idx="0">
                  <c:v>98.47</c:v>
                </c:pt>
                <c:pt idx="1">
                  <c:v>97.54</c:v>
                </c:pt>
                <c:pt idx="2">
                  <c:v>97.54</c:v>
                </c:pt>
                <c:pt idx="3">
                  <c:v>97.54</c:v>
                </c:pt>
                <c:pt idx="4">
                  <c:v>97.54</c:v>
                </c:pt>
                <c:pt idx="5">
                  <c:v>97.54</c:v>
                </c:pt>
                <c:pt idx="6">
                  <c:v>98.64</c:v>
                </c:pt>
              </c:numCache>
            </c:numRef>
          </c:yVal>
        </c:ser>
        <c:ser>
          <c:idx val="1"/>
          <c:order val="1"/>
          <c:tx>
            <c:strRef>
              <c:f>fc!$A$1254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fc!$C$1253:$K$1253</c:f>
              <c:numCache>
                <c:formatCode>0.000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fc!$C$1254:$K$1254</c:f>
              <c:numCache>
                <c:formatCode>0.000</c:formatCode>
                <c:ptCount val="9"/>
                <c:pt idx="0">
                  <c:v>98.47</c:v>
                </c:pt>
                <c:pt idx="1">
                  <c:v>97.980999999999995</c:v>
                </c:pt>
                <c:pt idx="2">
                  <c:v>97.9</c:v>
                </c:pt>
                <c:pt idx="3">
                  <c:v>97.9</c:v>
                </c:pt>
                <c:pt idx="4">
                  <c:v>97.9</c:v>
                </c:pt>
                <c:pt idx="5">
                  <c:v>97.992999999999995</c:v>
                </c:pt>
                <c:pt idx="6">
                  <c:v>98.64</c:v>
                </c:pt>
              </c:numCache>
            </c:numRef>
          </c:yVal>
        </c:ser>
        <c:axId val="81496320"/>
        <c:axId val="81502208"/>
      </c:scatterChart>
      <c:valAx>
        <c:axId val="81496320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1502208"/>
        <c:crossesAt val="-2"/>
        <c:crossBetween val="midCat"/>
        <c:majorUnit val="1"/>
        <c:minorUnit val="0.5"/>
      </c:valAx>
      <c:valAx>
        <c:axId val="81502208"/>
        <c:scaling>
          <c:orientation val="minMax"/>
          <c:max val="101"/>
          <c:min val="97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81496320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21" r="0.75000000000001121" t="1" header="0.5" footer="0.5"/>
    <c:pageSetup paperSize="9" orientation="landscape" horizontalDpi="360" verticalDpi="360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fc!$A$1299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fc!$C$1298:$I$1298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fc!$C$1299:$I$1299</c:f>
              <c:numCache>
                <c:formatCode>0.000</c:formatCode>
                <c:ptCount val="7"/>
                <c:pt idx="0">
                  <c:v>98.63</c:v>
                </c:pt>
                <c:pt idx="1">
                  <c:v>97.53</c:v>
                </c:pt>
                <c:pt idx="2">
                  <c:v>97.53</c:v>
                </c:pt>
                <c:pt idx="3">
                  <c:v>97.53</c:v>
                </c:pt>
                <c:pt idx="4">
                  <c:v>97.53</c:v>
                </c:pt>
                <c:pt idx="5">
                  <c:v>97.53</c:v>
                </c:pt>
                <c:pt idx="6">
                  <c:v>98.83</c:v>
                </c:pt>
              </c:numCache>
            </c:numRef>
          </c:yVal>
        </c:ser>
        <c:ser>
          <c:idx val="1"/>
          <c:order val="1"/>
          <c:tx>
            <c:strRef>
              <c:f>fc!$A$1301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fc!$C$1300:$I$1300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fc!$C$1301:$I$1301</c:f>
              <c:numCache>
                <c:formatCode>0.000</c:formatCode>
                <c:ptCount val="7"/>
                <c:pt idx="0">
                  <c:v>98.63</c:v>
                </c:pt>
                <c:pt idx="1">
                  <c:v>98.03</c:v>
                </c:pt>
                <c:pt idx="2">
                  <c:v>97.93</c:v>
                </c:pt>
                <c:pt idx="3">
                  <c:v>97.93</c:v>
                </c:pt>
                <c:pt idx="4">
                  <c:v>97.93</c:v>
                </c:pt>
                <c:pt idx="5">
                  <c:v>98.03</c:v>
                </c:pt>
                <c:pt idx="6">
                  <c:v>98.83</c:v>
                </c:pt>
              </c:numCache>
            </c:numRef>
          </c:yVal>
        </c:ser>
        <c:axId val="81509760"/>
        <c:axId val="73999488"/>
      </c:scatterChart>
      <c:valAx>
        <c:axId val="81509760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999488"/>
        <c:crossesAt val="-2"/>
        <c:crossBetween val="midCat"/>
        <c:majorUnit val="1"/>
        <c:minorUnit val="0.5"/>
      </c:valAx>
      <c:valAx>
        <c:axId val="73999488"/>
        <c:scaling>
          <c:orientation val="minMax"/>
          <c:max val="101"/>
          <c:min val="97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81509760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44" r="0.75000000000001144" t="1" header="0.5" footer="0.5"/>
    <c:pageSetup paperSize="9" orientation="landscape" horizontalDpi="360" verticalDpi="360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fc!$A$1336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fc!$C$1335:$I$1335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fc!$C$1336:$I$1336</c:f>
              <c:numCache>
                <c:formatCode>0.000</c:formatCode>
                <c:ptCount val="7"/>
                <c:pt idx="0">
                  <c:v>98.62</c:v>
                </c:pt>
                <c:pt idx="1">
                  <c:v>97.41</c:v>
                </c:pt>
                <c:pt idx="2">
                  <c:v>97.41</c:v>
                </c:pt>
                <c:pt idx="3">
                  <c:v>97.41</c:v>
                </c:pt>
                <c:pt idx="4">
                  <c:v>97.41</c:v>
                </c:pt>
                <c:pt idx="5">
                  <c:v>97.41</c:v>
                </c:pt>
                <c:pt idx="6">
                  <c:v>98.77</c:v>
                </c:pt>
              </c:numCache>
            </c:numRef>
          </c:yVal>
        </c:ser>
        <c:ser>
          <c:idx val="1"/>
          <c:order val="1"/>
          <c:tx>
            <c:strRef>
              <c:f>fc!$A$1338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fc!$C$1337:$I$1337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fc!$C$1338:$I$1338</c:f>
              <c:numCache>
                <c:formatCode>0.000</c:formatCode>
                <c:ptCount val="7"/>
                <c:pt idx="0">
                  <c:v>98.62</c:v>
                </c:pt>
                <c:pt idx="1">
                  <c:v>97.942999999999998</c:v>
                </c:pt>
                <c:pt idx="2">
                  <c:v>97.83</c:v>
                </c:pt>
                <c:pt idx="3">
                  <c:v>97.83</c:v>
                </c:pt>
                <c:pt idx="4">
                  <c:v>97.83</c:v>
                </c:pt>
                <c:pt idx="5">
                  <c:v>97.947999999999993</c:v>
                </c:pt>
                <c:pt idx="6">
                  <c:v>98.77</c:v>
                </c:pt>
              </c:numCache>
            </c:numRef>
          </c:yVal>
        </c:ser>
        <c:axId val="74019584"/>
        <c:axId val="74021120"/>
      </c:scatterChart>
      <c:valAx>
        <c:axId val="74019584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021120"/>
        <c:crossesAt val="-2"/>
        <c:crossBetween val="midCat"/>
        <c:majorUnit val="1"/>
        <c:minorUnit val="0.5"/>
      </c:valAx>
      <c:valAx>
        <c:axId val="74021120"/>
        <c:scaling>
          <c:orientation val="minMax"/>
          <c:max val="101"/>
          <c:min val="97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4019584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88" r="0.75000000000001188" t="1" header="0.5" footer="0.5"/>
    <c:pageSetup paperSize="9" orientation="landscape" horizontalDpi="360" verticalDpi="360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fc!$A$1377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fc!$C$1376:$I$1376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fc!$C$1377:$I$1377</c:f>
              <c:numCache>
                <c:formatCode>0.000</c:formatCode>
                <c:ptCount val="7"/>
                <c:pt idx="0">
                  <c:v>98.55</c:v>
                </c:pt>
                <c:pt idx="1">
                  <c:v>97.31</c:v>
                </c:pt>
                <c:pt idx="2">
                  <c:v>97.31</c:v>
                </c:pt>
                <c:pt idx="3">
                  <c:v>97.31</c:v>
                </c:pt>
                <c:pt idx="4">
                  <c:v>97.31</c:v>
                </c:pt>
                <c:pt idx="5">
                  <c:v>97.31</c:v>
                </c:pt>
                <c:pt idx="6">
                  <c:v>98.73</c:v>
                </c:pt>
              </c:numCache>
            </c:numRef>
          </c:yVal>
        </c:ser>
        <c:ser>
          <c:idx val="1"/>
          <c:order val="1"/>
          <c:tx>
            <c:strRef>
              <c:f>fc!$A$1379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fc!$C$1378:$I$1378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fc!$C$1379:$I$1379</c:f>
              <c:numCache>
                <c:formatCode>0.000</c:formatCode>
                <c:ptCount val="7"/>
                <c:pt idx="0">
                  <c:v>98.55</c:v>
                </c:pt>
                <c:pt idx="1">
                  <c:v>97.864000000000004</c:v>
                </c:pt>
                <c:pt idx="2">
                  <c:v>97.75</c:v>
                </c:pt>
                <c:pt idx="3">
                  <c:v>97.75</c:v>
                </c:pt>
                <c:pt idx="4">
                  <c:v>97.75</c:v>
                </c:pt>
                <c:pt idx="5">
                  <c:v>97.858999999999995</c:v>
                </c:pt>
                <c:pt idx="6">
                  <c:v>98.73</c:v>
                </c:pt>
              </c:numCache>
            </c:numRef>
          </c:yVal>
        </c:ser>
        <c:axId val="74037120"/>
        <c:axId val="74038656"/>
      </c:scatterChart>
      <c:valAx>
        <c:axId val="74037120"/>
        <c:scaling>
          <c:orientation val="minMax"/>
          <c:max val="8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038656"/>
        <c:crossesAt val="-2"/>
        <c:crossBetween val="midCat"/>
        <c:majorUnit val="1"/>
        <c:minorUnit val="0.5"/>
      </c:valAx>
      <c:valAx>
        <c:axId val="74038656"/>
        <c:scaling>
          <c:orientation val="minMax"/>
          <c:max val="101"/>
          <c:min val="96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4037120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77" r="0.75000000000001077" t="1" header="0.5" footer="0.5"/>
    <c:pageSetup paperSize="9" orientation="landscape" horizontalDpi="360" verticalDpi="360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fc!$A$1420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fc!$C$1419:$K$1419</c:f>
              <c:numCache>
                <c:formatCode>0.000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fc!$C$1420:$K$1420</c:f>
              <c:numCache>
                <c:formatCode>0.000</c:formatCode>
                <c:ptCount val="9"/>
                <c:pt idx="0">
                  <c:v>98.68</c:v>
                </c:pt>
                <c:pt idx="1">
                  <c:v>97.28</c:v>
                </c:pt>
                <c:pt idx="2">
                  <c:v>97.28</c:v>
                </c:pt>
                <c:pt idx="3">
                  <c:v>97.28</c:v>
                </c:pt>
                <c:pt idx="4">
                  <c:v>97.28</c:v>
                </c:pt>
                <c:pt idx="5">
                  <c:v>97.28</c:v>
                </c:pt>
                <c:pt idx="6">
                  <c:v>98.85</c:v>
                </c:pt>
              </c:numCache>
            </c:numRef>
          </c:yVal>
        </c:ser>
        <c:ser>
          <c:idx val="1"/>
          <c:order val="1"/>
          <c:tx>
            <c:strRef>
              <c:f>fc!$A$1422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fc!$C$1421:$K$1421</c:f>
              <c:numCache>
                <c:formatCode>0.000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fc!$C$1422:$K$1422</c:f>
              <c:numCache>
                <c:formatCode>0.000</c:formatCode>
                <c:ptCount val="9"/>
                <c:pt idx="0">
                  <c:v>98.68</c:v>
                </c:pt>
                <c:pt idx="1">
                  <c:v>97.837999999999994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97.843999999999994</c:v>
                </c:pt>
                <c:pt idx="6">
                  <c:v>98.85</c:v>
                </c:pt>
              </c:numCache>
            </c:numRef>
          </c:yVal>
        </c:ser>
        <c:axId val="74124288"/>
        <c:axId val="81597184"/>
      </c:scatterChart>
      <c:valAx>
        <c:axId val="74124288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1597184"/>
        <c:crossesAt val="-2"/>
        <c:crossBetween val="midCat"/>
        <c:majorUnit val="1"/>
        <c:minorUnit val="0.5"/>
      </c:valAx>
      <c:valAx>
        <c:axId val="81597184"/>
        <c:scaling>
          <c:orientation val="minMax"/>
          <c:max val="101"/>
          <c:min val="97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4124288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99" r="0.75000000000001099" t="1" header="0.5" footer="0.5"/>
    <c:pageSetup paperSize="9" orientation="landscape" horizontalDpi="360" verticalDpi="36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2063402093064244E-2"/>
          <c:y val="0.17300487339446771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Bund!$A$380:$B$380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Bund!$C$379:$N$379</c:f>
              <c:numCache>
                <c:formatCode>0.000</c:formatCode>
                <c:ptCount val="12"/>
                <c:pt idx="0">
                  <c:v>0</c:v>
                </c:pt>
                <c:pt idx="1">
                  <c:v>2.2000000000000002</c:v>
                </c:pt>
                <c:pt idx="2">
                  <c:v>3</c:v>
                </c:pt>
                <c:pt idx="3">
                  <c:v>3.3</c:v>
                </c:pt>
                <c:pt idx="4">
                  <c:v>4.5</c:v>
                </c:pt>
                <c:pt idx="5">
                  <c:v>4.5999999999999996</c:v>
                </c:pt>
                <c:pt idx="6">
                  <c:v>5</c:v>
                </c:pt>
                <c:pt idx="7">
                  <c:v>6</c:v>
                </c:pt>
                <c:pt idx="8" formatCode="0.00">
                  <c:v>6.7</c:v>
                </c:pt>
                <c:pt idx="9">
                  <c:v>7</c:v>
                </c:pt>
                <c:pt idx="10">
                  <c:v>8.9</c:v>
                </c:pt>
              </c:numCache>
            </c:numRef>
          </c:xVal>
          <c:yVal>
            <c:numRef>
              <c:f>Bund!$C$380:$N$380</c:f>
              <c:numCache>
                <c:formatCode>0.000</c:formatCode>
                <c:ptCount val="12"/>
                <c:pt idx="0">
                  <c:v>99.52</c:v>
                </c:pt>
                <c:pt idx="1">
                  <c:v>100.97</c:v>
                </c:pt>
                <c:pt idx="2">
                  <c:v>101.5</c:v>
                </c:pt>
                <c:pt idx="3">
                  <c:v>101.5</c:v>
                </c:pt>
                <c:pt idx="4">
                  <c:v>101.5</c:v>
                </c:pt>
                <c:pt idx="5">
                  <c:v>101.5</c:v>
                </c:pt>
                <c:pt idx="6">
                  <c:v>101.5</c:v>
                </c:pt>
                <c:pt idx="7">
                  <c:v>101.5</c:v>
                </c:pt>
                <c:pt idx="8" formatCode="0.00">
                  <c:v>101.15</c:v>
                </c:pt>
                <c:pt idx="9">
                  <c:v>101</c:v>
                </c:pt>
                <c:pt idx="10">
                  <c:v>100.05</c:v>
                </c:pt>
              </c:numCache>
            </c:numRef>
          </c:yVal>
        </c:ser>
        <c:ser>
          <c:idx val="1"/>
          <c:order val="1"/>
          <c:tx>
            <c:strRef>
              <c:f>Bund!$A$382:$B$382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Bund!$C$381:$N$381</c:f>
              <c:numCache>
                <c:formatCode>0.000</c:formatCode>
                <c:ptCount val="12"/>
                <c:pt idx="0">
                  <c:v>0</c:v>
                </c:pt>
                <c:pt idx="1">
                  <c:v>2.2000000000000002</c:v>
                </c:pt>
                <c:pt idx="2">
                  <c:v>3</c:v>
                </c:pt>
                <c:pt idx="3">
                  <c:v>3.3</c:v>
                </c:pt>
                <c:pt idx="4">
                  <c:v>4.5</c:v>
                </c:pt>
                <c:pt idx="5">
                  <c:v>4.5999999999999996</c:v>
                </c:pt>
                <c:pt idx="6">
                  <c:v>5</c:v>
                </c:pt>
                <c:pt idx="7">
                  <c:v>6</c:v>
                </c:pt>
                <c:pt idx="8" formatCode="0.00">
                  <c:v>6.7</c:v>
                </c:pt>
                <c:pt idx="9">
                  <c:v>7</c:v>
                </c:pt>
                <c:pt idx="10">
                  <c:v>8.9</c:v>
                </c:pt>
              </c:numCache>
            </c:numRef>
          </c:xVal>
          <c:yVal>
            <c:numRef>
              <c:f>Bund!$C$382:$N$382</c:f>
              <c:numCache>
                <c:formatCode>0.000</c:formatCode>
                <c:ptCount val="12"/>
                <c:pt idx="0">
                  <c:v>99.52</c:v>
                </c:pt>
                <c:pt idx="1">
                  <c:v>100.97</c:v>
                </c:pt>
                <c:pt idx="2">
                  <c:v>100.992</c:v>
                </c:pt>
                <c:pt idx="3">
                  <c:v>101</c:v>
                </c:pt>
                <c:pt idx="4">
                  <c:v>101</c:v>
                </c:pt>
                <c:pt idx="5">
                  <c:v>101</c:v>
                </c:pt>
                <c:pt idx="6">
                  <c:v>101</c:v>
                </c:pt>
                <c:pt idx="7">
                  <c:v>100.447</c:v>
                </c:pt>
                <c:pt idx="8">
                  <c:v>100.06</c:v>
                </c:pt>
                <c:pt idx="9">
                  <c:v>100.059</c:v>
                </c:pt>
                <c:pt idx="10">
                  <c:v>100.05</c:v>
                </c:pt>
              </c:numCache>
            </c:numRef>
          </c:yVal>
        </c:ser>
        <c:axId val="61208832"/>
        <c:axId val="56565760"/>
      </c:scatterChart>
      <c:valAx>
        <c:axId val="61208832"/>
        <c:scaling>
          <c:orientation val="minMax"/>
          <c:max val="14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56565760"/>
        <c:crossesAt val="-2"/>
        <c:crossBetween val="midCat"/>
        <c:majorUnit val="1"/>
        <c:minorUnit val="1"/>
      </c:valAx>
      <c:valAx>
        <c:axId val="56565760"/>
        <c:scaling>
          <c:orientation val="minMax"/>
          <c:max val="102"/>
          <c:min val="97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61208832"/>
        <c:crosses val="max"/>
        <c:crossBetween val="midCat"/>
        <c:majorUnit val="1"/>
      </c:valAx>
    </c:plotArea>
    <c:dispBlanksAs val="gap"/>
  </c:chart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2063402093064244E-2"/>
          <c:y val="0.17300487339446771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Bund!$A$405:$B$405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Bund!$C$404:$M$404</c:f>
              <c:numCache>
                <c:formatCode>0.000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2.2999999999999998</c:v>
                </c:pt>
                <c:pt idx="3">
                  <c:v>2.6</c:v>
                </c:pt>
                <c:pt idx="4">
                  <c:v>3.7</c:v>
                </c:pt>
                <c:pt idx="5">
                  <c:v>3.8</c:v>
                </c:pt>
                <c:pt idx="6">
                  <c:v>4.5</c:v>
                </c:pt>
                <c:pt idx="7">
                  <c:v>5.3</c:v>
                </c:pt>
                <c:pt idx="8">
                  <c:v>6.5</c:v>
                </c:pt>
                <c:pt idx="9">
                  <c:v>7</c:v>
                </c:pt>
                <c:pt idx="10">
                  <c:v>8.1</c:v>
                </c:pt>
              </c:numCache>
            </c:numRef>
          </c:xVal>
          <c:yVal>
            <c:numRef>
              <c:f>Bund!$C$405:$M$405</c:f>
              <c:numCache>
                <c:formatCode>0.000</c:formatCode>
                <c:ptCount val="11"/>
                <c:pt idx="0">
                  <c:v>99.94</c:v>
                </c:pt>
                <c:pt idx="1">
                  <c:v>100.96</c:v>
                </c:pt>
                <c:pt idx="2">
                  <c:v>101.5</c:v>
                </c:pt>
                <c:pt idx="3">
                  <c:v>101.5</c:v>
                </c:pt>
                <c:pt idx="4">
                  <c:v>101.5</c:v>
                </c:pt>
                <c:pt idx="5">
                  <c:v>101.5</c:v>
                </c:pt>
                <c:pt idx="6">
                  <c:v>101.5</c:v>
                </c:pt>
                <c:pt idx="7">
                  <c:v>101.5</c:v>
                </c:pt>
                <c:pt idx="8">
                  <c:v>100.893</c:v>
                </c:pt>
                <c:pt idx="9">
                  <c:v>100.64</c:v>
                </c:pt>
                <c:pt idx="10">
                  <c:v>100.09</c:v>
                </c:pt>
              </c:numCache>
            </c:numRef>
          </c:yVal>
        </c:ser>
        <c:ser>
          <c:idx val="1"/>
          <c:order val="1"/>
          <c:tx>
            <c:strRef>
              <c:f>Bund!$A$407:$B$407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Bund!$C$406:$M$406</c:f>
              <c:numCache>
                <c:formatCode>0.000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2.2999999999999998</c:v>
                </c:pt>
                <c:pt idx="3">
                  <c:v>2.6</c:v>
                </c:pt>
                <c:pt idx="4">
                  <c:v>3.7</c:v>
                </c:pt>
                <c:pt idx="5">
                  <c:v>3.8</c:v>
                </c:pt>
                <c:pt idx="6">
                  <c:v>4.5</c:v>
                </c:pt>
                <c:pt idx="7">
                  <c:v>5.3</c:v>
                </c:pt>
                <c:pt idx="8">
                  <c:v>6.5</c:v>
                </c:pt>
                <c:pt idx="9">
                  <c:v>7</c:v>
                </c:pt>
                <c:pt idx="10">
                  <c:v>8.1</c:v>
                </c:pt>
              </c:numCache>
            </c:numRef>
          </c:xVal>
          <c:yVal>
            <c:numRef>
              <c:f>Bund!$C$407:$M$407</c:f>
              <c:numCache>
                <c:formatCode>0.000</c:formatCode>
                <c:ptCount val="11"/>
                <c:pt idx="0">
                  <c:v>99.94</c:v>
                </c:pt>
                <c:pt idx="1">
                  <c:v>100.96</c:v>
                </c:pt>
                <c:pt idx="2">
                  <c:v>100.982</c:v>
                </c:pt>
                <c:pt idx="3">
                  <c:v>100.99</c:v>
                </c:pt>
                <c:pt idx="4">
                  <c:v>100.99</c:v>
                </c:pt>
                <c:pt idx="5">
                  <c:v>100.99</c:v>
                </c:pt>
                <c:pt idx="6">
                  <c:v>100.99</c:v>
                </c:pt>
                <c:pt idx="7">
                  <c:v>100.63500000000001</c:v>
                </c:pt>
                <c:pt idx="8">
                  <c:v>100.1</c:v>
                </c:pt>
                <c:pt idx="9">
                  <c:v>100.09699999999999</c:v>
                </c:pt>
                <c:pt idx="10">
                  <c:v>100.09</c:v>
                </c:pt>
              </c:numCache>
            </c:numRef>
          </c:yVal>
        </c:ser>
        <c:axId val="56577408"/>
        <c:axId val="56595584"/>
      </c:scatterChart>
      <c:valAx>
        <c:axId val="56577408"/>
        <c:scaling>
          <c:orientation val="minMax"/>
          <c:max val="14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56595584"/>
        <c:crossesAt val="-2"/>
        <c:crossBetween val="midCat"/>
        <c:majorUnit val="1"/>
        <c:minorUnit val="1"/>
      </c:valAx>
      <c:valAx>
        <c:axId val="56595584"/>
        <c:scaling>
          <c:orientation val="minMax"/>
          <c:max val="102"/>
          <c:min val="97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56577408"/>
        <c:crosses val="max"/>
        <c:crossBetween val="midCat"/>
        <c:majorUnit val="1"/>
      </c:valAx>
    </c:plotArea>
    <c:dispBlanksAs val="gap"/>
  </c:chart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(4)'!$A$5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(4)'!$C$4:$I$4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(4)'!$C$5:$I$5</c:f>
              <c:numCache>
                <c:formatCode>0.000</c:formatCode>
                <c:ptCount val="7"/>
                <c:pt idx="0">
                  <c:v>95.24</c:v>
                </c:pt>
                <c:pt idx="1">
                  <c:v>94.11</c:v>
                </c:pt>
                <c:pt idx="2">
                  <c:v>94.11</c:v>
                </c:pt>
                <c:pt idx="3">
                  <c:v>94.11</c:v>
                </c:pt>
                <c:pt idx="4">
                  <c:v>94.11</c:v>
                </c:pt>
                <c:pt idx="5">
                  <c:v>94.11</c:v>
                </c:pt>
                <c:pt idx="6">
                  <c:v>95.42</c:v>
                </c:pt>
              </c:numCache>
            </c:numRef>
          </c:yVal>
        </c:ser>
        <c:ser>
          <c:idx val="1"/>
          <c:order val="1"/>
          <c:tx>
            <c:strRef>
              <c:f>'fc (4)'!$A$7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(4)'!$C$6:$I$6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(4)'!$C$7:$I$7</c:f>
              <c:numCache>
                <c:formatCode>0.000</c:formatCode>
                <c:ptCount val="7"/>
                <c:pt idx="0">
                  <c:v>95.24</c:v>
                </c:pt>
                <c:pt idx="1">
                  <c:v>94.649000000000001</c:v>
                </c:pt>
                <c:pt idx="2">
                  <c:v>94.55</c:v>
                </c:pt>
                <c:pt idx="3">
                  <c:v>94.55</c:v>
                </c:pt>
                <c:pt idx="4">
                  <c:v>94.55</c:v>
                </c:pt>
                <c:pt idx="5">
                  <c:v>94.649000000000001</c:v>
                </c:pt>
                <c:pt idx="6">
                  <c:v>95.42</c:v>
                </c:pt>
              </c:numCache>
            </c:numRef>
          </c:yVal>
        </c:ser>
        <c:axId val="62497536"/>
        <c:axId val="62499072"/>
      </c:scatterChart>
      <c:valAx>
        <c:axId val="62497536"/>
        <c:scaling>
          <c:orientation val="minMax"/>
          <c:max val="8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2499072"/>
        <c:crossesAt val="-2"/>
        <c:crossBetween val="midCat"/>
        <c:majorUnit val="1"/>
        <c:minorUnit val="0.5"/>
      </c:valAx>
      <c:valAx>
        <c:axId val="62499072"/>
        <c:scaling>
          <c:orientation val="minMax"/>
          <c:max val="99"/>
          <c:min val="93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249753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77" r="0.75000000000001077" t="1" header="0.5" footer="0.5"/>
    <c:pageSetup paperSize="9" orientation="landscape" horizontalDpi="360" verticalDpi="36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(4)'!$A$40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(4)'!$C$39:$I$39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(4)'!$C$40:$I$40</c:f>
              <c:numCache>
                <c:formatCode>0.000</c:formatCode>
                <c:ptCount val="7"/>
                <c:pt idx="0">
                  <c:v>95.29</c:v>
                </c:pt>
                <c:pt idx="1">
                  <c:v>93.86</c:v>
                </c:pt>
                <c:pt idx="2">
                  <c:v>93.86</c:v>
                </c:pt>
                <c:pt idx="3">
                  <c:v>93.86</c:v>
                </c:pt>
                <c:pt idx="4">
                  <c:v>93.86</c:v>
                </c:pt>
                <c:pt idx="5">
                  <c:v>93.86</c:v>
                </c:pt>
                <c:pt idx="6">
                  <c:v>95.46</c:v>
                </c:pt>
              </c:numCache>
            </c:numRef>
          </c:yVal>
        </c:ser>
        <c:ser>
          <c:idx val="1"/>
          <c:order val="1"/>
          <c:tx>
            <c:strRef>
              <c:f>'fc (4)'!$A$42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(4)'!$C$41:$I$41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(4)'!$C$42:$I$42</c:f>
              <c:numCache>
                <c:formatCode>0.000</c:formatCode>
                <c:ptCount val="7"/>
                <c:pt idx="0">
                  <c:v>95.29</c:v>
                </c:pt>
                <c:pt idx="1">
                  <c:v>94.441000000000003</c:v>
                </c:pt>
                <c:pt idx="2">
                  <c:v>94.3</c:v>
                </c:pt>
                <c:pt idx="3">
                  <c:v>94.3</c:v>
                </c:pt>
                <c:pt idx="4">
                  <c:v>94.3</c:v>
                </c:pt>
                <c:pt idx="5">
                  <c:v>94.444999999999993</c:v>
                </c:pt>
                <c:pt idx="6">
                  <c:v>95.46</c:v>
                </c:pt>
              </c:numCache>
            </c:numRef>
          </c:yVal>
        </c:ser>
        <c:axId val="61360000"/>
        <c:axId val="61361536"/>
      </c:scatterChart>
      <c:valAx>
        <c:axId val="61360000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1361536"/>
        <c:crossesAt val="-2"/>
        <c:crossBetween val="midCat"/>
        <c:majorUnit val="1"/>
        <c:minorUnit val="0.5"/>
      </c:valAx>
      <c:valAx>
        <c:axId val="61361536"/>
        <c:scaling>
          <c:orientation val="minMax"/>
          <c:max val="99"/>
          <c:min val="93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1360000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99" r="0.75000000000001099" t="1" header="0.5" footer="0.5"/>
    <c:pageSetup paperSize="9" orientation="landscape" horizontalDpi="360" verticalDpi="36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(4)'!$A$84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(4)'!$C$83:$I$83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(4)'!$C$84:$I$84</c:f>
              <c:numCache>
                <c:formatCode>0.000</c:formatCode>
                <c:ptCount val="7"/>
                <c:pt idx="0">
                  <c:v>94.69</c:v>
                </c:pt>
                <c:pt idx="1">
                  <c:v>93.59</c:v>
                </c:pt>
                <c:pt idx="2">
                  <c:v>93.59</c:v>
                </c:pt>
                <c:pt idx="3">
                  <c:v>93.59</c:v>
                </c:pt>
                <c:pt idx="4">
                  <c:v>93.59</c:v>
                </c:pt>
                <c:pt idx="5">
                  <c:v>93.59</c:v>
                </c:pt>
                <c:pt idx="6">
                  <c:v>94.89</c:v>
                </c:pt>
              </c:numCache>
            </c:numRef>
          </c:yVal>
        </c:ser>
        <c:ser>
          <c:idx val="1"/>
          <c:order val="1"/>
          <c:tx>
            <c:strRef>
              <c:f>'fc (4)'!$A$86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(4)'!$C$85:$I$85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(4)'!$C$86:$I$86</c:f>
              <c:numCache>
                <c:formatCode>0.000</c:formatCode>
                <c:ptCount val="7"/>
                <c:pt idx="0">
                  <c:v>94.69</c:v>
                </c:pt>
                <c:pt idx="1">
                  <c:v>94.185000000000002</c:v>
                </c:pt>
                <c:pt idx="2">
                  <c:v>94.1</c:v>
                </c:pt>
                <c:pt idx="3">
                  <c:v>94.1</c:v>
                </c:pt>
                <c:pt idx="4">
                  <c:v>94.1</c:v>
                </c:pt>
                <c:pt idx="5">
                  <c:v>94.185000000000002</c:v>
                </c:pt>
                <c:pt idx="6">
                  <c:v>94.89</c:v>
                </c:pt>
              </c:numCache>
            </c:numRef>
          </c:yVal>
        </c:ser>
        <c:axId val="61398016"/>
        <c:axId val="61399808"/>
      </c:scatterChart>
      <c:valAx>
        <c:axId val="61398016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1399808"/>
        <c:crossesAt val="-2"/>
        <c:crossBetween val="midCat"/>
        <c:majorUnit val="1"/>
        <c:minorUnit val="0.5"/>
      </c:valAx>
      <c:valAx>
        <c:axId val="61399808"/>
        <c:scaling>
          <c:orientation val="minMax"/>
          <c:max val="98"/>
          <c:min val="92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139801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21" r="0.75000000000001121" t="1" header="0.5" footer="0.5"/>
    <c:pageSetup paperSize="9" orientation="landscape" horizontalDpi="360" verticalDpi="36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(4)'!$A$122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(4)'!$C$121:$I$121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(4)'!$C$122:$I$122</c:f>
              <c:numCache>
                <c:formatCode>0.000</c:formatCode>
                <c:ptCount val="7"/>
                <c:pt idx="0">
                  <c:v>93.53</c:v>
                </c:pt>
                <c:pt idx="1">
                  <c:v>92.14</c:v>
                </c:pt>
                <c:pt idx="2">
                  <c:v>92.14</c:v>
                </c:pt>
                <c:pt idx="3">
                  <c:v>92.14</c:v>
                </c:pt>
                <c:pt idx="4">
                  <c:v>92.14</c:v>
                </c:pt>
                <c:pt idx="5">
                  <c:v>92.14</c:v>
                </c:pt>
                <c:pt idx="6">
                  <c:v>93.68</c:v>
                </c:pt>
              </c:numCache>
            </c:numRef>
          </c:yVal>
        </c:ser>
        <c:ser>
          <c:idx val="1"/>
          <c:order val="1"/>
          <c:tx>
            <c:strRef>
              <c:f>'fc (4)'!$A$124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(4)'!$C$123:$I$123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(4)'!$C$124:$I$124</c:f>
              <c:numCache>
                <c:formatCode>0.000</c:formatCode>
                <c:ptCount val="7"/>
                <c:pt idx="0">
                  <c:v>93.53</c:v>
                </c:pt>
                <c:pt idx="1">
                  <c:v>92.75</c:v>
                </c:pt>
                <c:pt idx="2">
                  <c:v>92.62</c:v>
                </c:pt>
                <c:pt idx="3">
                  <c:v>92.62</c:v>
                </c:pt>
                <c:pt idx="4">
                  <c:v>92.62</c:v>
                </c:pt>
                <c:pt idx="5">
                  <c:v>92.754999999999995</c:v>
                </c:pt>
                <c:pt idx="6">
                  <c:v>93.68</c:v>
                </c:pt>
              </c:numCache>
            </c:numRef>
          </c:yVal>
        </c:ser>
        <c:axId val="62546304"/>
        <c:axId val="62547840"/>
      </c:scatterChart>
      <c:valAx>
        <c:axId val="62546304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2547840"/>
        <c:crossesAt val="-2"/>
        <c:crossBetween val="midCat"/>
        <c:majorUnit val="1"/>
        <c:minorUnit val="0.5"/>
      </c:valAx>
      <c:valAx>
        <c:axId val="62547840"/>
        <c:scaling>
          <c:orientation val="minMax"/>
          <c:max val="97"/>
          <c:min val="91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2546304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44" r="0.75000000000001144" t="1" header="0.5" footer="0.5"/>
    <c:pageSetup paperSize="9" orientation="landscape" horizontalDpi="360" verticalDpi="36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Bund!$A$86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Bund!$C$85:$M$85</c:f>
              <c:numCache>
                <c:formatCode>0.000</c:formatCode>
                <c:ptCount val="11"/>
                <c:pt idx="0">
                  <c:v>0</c:v>
                </c:pt>
                <c:pt idx="1">
                  <c:v>4.2</c:v>
                </c:pt>
                <c:pt idx="2">
                  <c:v>5.4</c:v>
                </c:pt>
                <c:pt idx="3">
                  <c:v>5.7</c:v>
                </c:pt>
                <c:pt idx="4">
                  <c:v>6.9</c:v>
                </c:pt>
                <c:pt idx="5">
                  <c:v>7</c:v>
                </c:pt>
                <c:pt idx="6">
                  <c:v>7.7</c:v>
                </c:pt>
                <c:pt idx="7">
                  <c:v>8.4</c:v>
                </c:pt>
                <c:pt idx="8">
                  <c:v>13.5</c:v>
                </c:pt>
                <c:pt idx="9">
                  <c:v>14</c:v>
                </c:pt>
                <c:pt idx="10">
                  <c:v>15.6</c:v>
                </c:pt>
              </c:numCache>
            </c:numRef>
          </c:xVal>
          <c:yVal>
            <c:numRef>
              <c:f>Bund!$C$86:$M$86</c:f>
              <c:numCache>
                <c:formatCode>0.000</c:formatCode>
                <c:ptCount val="11"/>
                <c:pt idx="0">
                  <c:v>97.88</c:v>
                </c:pt>
                <c:pt idx="1">
                  <c:v>100.7</c:v>
                </c:pt>
                <c:pt idx="2">
                  <c:v>101.5</c:v>
                </c:pt>
                <c:pt idx="3">
                  <c:v>101.5</c:v>
                </c:pt>
                <c:pt idx="4">
                  <c:v>101.5</c:v>
                </c:pt>
                <c:pt idx="5">
                  <c:v>101.5</c:v>
                </c:pt>
                <c:pt idx="6">
                  <c:v>101.5</c:v>
                </c:pt>
                <c:pt idx="7">
                  <c:v>101.5</c:v>
                </c:pt>
                <c:pt idx="8">
                  <c:v>98.932000000000002</c:v>
                </c:pt>
                <c:pt idx="9">
                  <c:v>98.68</c:v>
                </c:pt>
                <c:pt idx="10">
                  <c:v>97.88</c:v>
                </c:pt>
              </c:numCache>
            </c:numRef>
          </c:yVal>
        </c:ser>
        <c:ser>
          <c:idx val="1"/>
          <c:order val="1"/>
          <c:tx>
            <c:strRef>
              <c:f>Bund!$A$88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Bund!$C$87:$M$87</c:f>
              <c:numCache>
                <c:formatCode>0.000</c:formatCode>
                <c:ptCount val="11"/>
                <c:pt idx="0">
                  <c:v>0</c:v>
                </c:pt>
                <c:pt idx="1">
                  <c:v>4.2</c:v>
                </c:pt>
                <c:pt idx="2">
                  <c:v>5.4</c:v>
                </c:pt>
                <c:pt idx="3">
                  <c:v>5.7</c:v>
                </c:pt>
                <c:pt idx="4">
                  <c:v>6.9</c:v>
                </c:pt>
                <c:pt idx="5">
                  <c:v>7</c:v>
                </c:pt>
                <c:pt idx="6">
                  <c:v>7.7</c:v>
                </c:pt>
                <c:pt idx="7">
                  <c:v>8.4</c:v>
                </c:pt>
                <c:pt idx="8">
                  <c:v>13.5</c:v>
                </c:pt>
                <c:pt idx="9">
                  <c:v>14</c:v>
                </c:pt>
                <c:pt idx="10">
                  <c:v>15.6</c:v>
                </c:pt>
              </c:numCache>
            </c:numRef>
          </c:xVal>
          <c:yVal>
            <c:numRef>
              <c:f>Bund!$C$88:$M$88</c:f>
              <c:numCache>
                <c:formatCode>0.000</c:formatCode>
                <c:ptCount val="11"/>
                <c:pt idx="0">
                  <c:v>97.88</c:v>
                </c:pt>
                <c:pt idx="1">
                  <c:v>100.7</c:v>
                </c:pt>
                <c:pt idx="2">
                  <c:v>100.94799999999999</c:v>
                </c:pt>
                <c:pt idx="3">
                  <c:v>101.01</c:v>
                </c:pt>
                <c:pt idx="4">
                  <c:v>101.01</c:v>
                </c:pt>
                <c:pt idx="5">
                  <c:v>101.01</c:v>
                </c:pt>
                <c:pt idx="6">
                  <c:v>101.01</c:v>
                </c:pt>
                <c:pt idx="7">
                  <c:v>100.63200000000001</c:v>
                </c:pt>
                <c:pt idx="8">
                  <c:v>97.88</c:v>
                </c:pt>
                <c:pt idx="9">
                  <c:v>97.88</c:v>
                </c:pt>
                <c:pt idx="10">
                  <c:v>97.88</c:v>
                </c:pt>
              </c:numCache>
            </c:numRef>
          </c:yVal>
        </c:ser>
        <c:axId val="57023872"/>
        <c:axId val="57058432"/>
      </c:scatterChart>
      <c:valAx>
        <c:axId val="57023872"/>
        <c:scaling>
          <c:orientation val="minMax"/>
          <c:max val="17"/>
          <c:min val="-1.5"/>
        </c:scaling>
        <c:axPos val="b"/>
        <c:majorGridlines/>
        <c:numFmt formatCode="0.000" sourceLinked="1"/>
        <c:majorTickMark val="none"/>
        <c:tickLblPos val="nextTo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57058432"/>
        <c:crossesAt val="-2"/>
        <c:crossBetween val="midCat"/>
        <c:majorUnit val="1"/>
        <c:minorUnit val="0.1"/>
      </c:valAx>
      <c:valAx>
        <c:axId val="57058432"/>
        <c:scaling>
          <c:orientation val="minMax"/>
          <c:max val="102"/>
          <c:min val="97"/>
        </c:scaling>
        <c:axPos val="r"/>
        <c:majorGridlines/>
        <c:numFmt formatCode="0.00" sourceLinked="0"/>
        <c:majorTickMark val="none"/>
        <c:tickLblPos val="low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57023872"/>
        <c:crosses val="max"/>
        <c:crossBetween val="midCat"/>
        <c:majorUnit val="1"/>
      </c:valAx>
    </c:plotArea>
    <c:legend>
      <c:legendPos val="b"/>
    </c:legend>
    <c:dispBlanksAs val="span"/>
  </c:chart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(4)'!$A$167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(4)'!$C$166:$I$166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(4)'!$C$167:$I$167</c:f>
              <c:numCache>
                <c:formatCode>0.000</c:formatCode>
                <c:ptCount val="7"/>
                <c:pt idx="0">
                  <c:v>92.59</c:v>
                </c:pt>
                <c:pt idx="1">
                  <c:v>91.79</c:v>
                </c:pt>
                <c:pt idx="2">
                  <c:v>91.79</c:v>
                </c:pt>
                <c:pt idx="3">
                  <c:v>91.79</c:v>
                </c:pt>
                <c:pt idx="4">
                  <c:v>91.79</c:v>
                </c:pt>
                <c:pt idx="5">
                  <c:v>91.79</c:v>
                </c:pt>
                <c:pt idx="6">
                  <c:v>92.77</c:v>
                </c:pt>
              </c:numCache>
            </c:numRef>
          </c:yVal>
        </c:ser>
        <c:ser>
          <c:idx val="1"/>
          <c:order val="1"/>
          <c:tx>
            <c:strRef>
              <c:f>'fc (4)'!$A$169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(4)'!$C$168:$I$168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(4)'!$C$169:$I$169</c:f>
              <c:numCache>
                <c:formatCode>0.000</c:formatCode>
                <c:ptCount val="7"/>
                <c:pt idx="0">
                  <c:v>92.59</c:v>
                </c:pt>
                <c:pt idx="1">
                  <c:v>92.263999999999996</c:v>
                </c:pt>
                <c:pt idx="2">
                  <c:v>92.21</c:v>
                </c:pt>
                <c:pt idx="3">
                  <c:v>92.21</c:v>
                </c:pt>
                <c:pt idx="4">
                  <c:v>92.21</c:v>
                </c:pt>
                <c:pt idx="5">
                  <c:v>92.272000000000006</c:v>
                </c:pt>
                <c:pt idx="6">
                  <c:v>92.77</c:v>
                </c:pt>
              </c:numCache>
            </c:numRef>
          </c:yVal>
        </c:ser>
        <c:axId val="62567936"/>
        <c:axId val="62569472"/>
      </c:scatterChart>
      <c:valAx>
        <c:axId val="62567936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2569472"/>
        <c:crossesAt val="-2"/>
        <c:crossBetween val="midCat"/>
        <c:majorUnit val="1"/>
        <c:minorUnit val="0.5"/>
      </c:valAx>
      <c:valAx>
        <c:axId val="62569472"/>
        <c:scaling>
          <c:orientation val="minMax"/>
          <c:max val="95"/>
          <c:min val="90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256793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66" r="0.75000000000001166" t="1" header="0.5" footer="0.5"/>
    <c:pageSetup paperSize="9" orientation="landscape" horizontalDpi="360" verticalDpi="36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(4)'!$A$207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(4)'!$C$206:$I$206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(4)'!$C$207:$I$207</c:f>
              <c:numCache>
                <c:formatCode>0.000</c:formatCode>
                <c:ptCount val="7"/>
                <c:pt idx="0">
                  <c:v>91.19</c:v>
                </c:pt>
                <c:pt idx="1">
                  <c:v>89.99</c:v>
                </c:pt>
                <c:pt idx="2">
                  <c:v>89.99</c:v>
                </c:pt>
                <c:pt idx="3">
                  <c:v>89.99</c:v>
                </c:pt>
                <c:pt idx="4">
                  <c:v>89.99</c:v>
                </c:pt>
                <c:pt idx="5">
                  <c:v>89.99</c:v>
                </c:pt>
                <c:pt idx="6">
                  <c:v>91.36</c:v>
                </c:pt>
              </c:numCache>
            </c:numRef>
          </c:yVal>
        </c:ser>
        <c:ser>
          <c:idx val="1"/>
          <c:order val="1"/>
          <c:tx>
            <c:strRef>
              <c:f>'fc (4)'!$A$209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(4)'!$C$208:$I$208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(4)'!$C$209:$I$209</c:f>
              <c:numCache>
                <c:formatCode>0.000</c:formatCode>
                <c:ptCount val="7"/>
                <c:pt idx="0">
                  <c:v>91.19</c:v>
                </c:pt>
                <c:pt idx="1">
                  <c:v>90.599000000000004</c:v>
                </c:pt>
                <c:pt idx="2">
                  <c:v>90.5</c:v>
                </c:pt>
                <c:pt idx="3">
                  <c:v>90.5</c:v>
                </c:pt>
                <c:pt idx="4">
                  <c:v>90.5</c:v>
                </c:pt>
                <c:pt idx="5">
                  <c:v>90.608000000000004</c:v>
                </c:pt>
                <c:pt idx="6">
                  <c:v>91.36</c:v>
                </c:pt>
              </c:numCache>
            </c:numRef>
          </c:yVal>
        </c:ser>
        <c:axId val="62605952"/>
        <c:axId val="62611840"/>
      </c:scatterChart>
      <c:valAx>
        <c:axId val="62605952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2611840"/>
        <c:crossesAt val="-2"/>
        <c:crossBetween val="midCat"/>
        <c:majorUnit val="1"/>
        <c:minorUnit val="0.5"/>
      </c:valAx>
      <c:valAx>
        <c:axId val="62611840"/>
        <c:scaling>
          <c:orientation val="minMax"/>
          <c:max val="93"/>
          <c:min val="88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2605952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88" r="0.75000000000001188" t="1" header="0.5" footer="0.5"/>
    <c:pageSetup paperSize="9" orientation="landscape" horizontalDpi="360" verticalDpi="36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(4)'!$A$250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(4)'!$C$249:$I$249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(4)'!$C$250:$I$250</c:f>
              <c:numCache>
                <c:formatCode>0.000</c:formatCode>
                <c:ptCount val="7"/>
                <c:pt idx="0">
                  <c:v>90.87</c:v>
                </c:pt>
                <c:pt idx="1">
                  <c:v>89.27</c:v>
                </c:pt>
                <c:pt idx="2">
                  <c:v>89.27</c:v>
                </c:pt>
                <c:pt idx="3">
                  <c:v>89.27</c:v>
                </c:pt>
                <c:pt idx="4">
                  <c:v>89.27</c:v>
                </c:pt>
                <c:pt idx="5">
                  <c:v>89.27</c:v>
                </c:pt>
                <c:pt idx="6">
                  <c:v>91.07</c:v>
                </c:pt>
              </c:numCache>
            </c:numRef>
          </c:yVal>
        </c:ser>
        <c:ser>
          <c:idx val="1"/>
          <c:order val="1"/>
          <c:tx>
            <c:strRef>
              <c:f>'fc (4)'!$A$252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(4)'!$C$251:$I$251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(4)'!$C$252:$I$252</c:f>
              <c:numCache>
                <c:formatCode>0.000</c:formatCode>
                <c:ptCount val="7"/>
                <c:pt idx="0">
                  <c:v>90.87</c:v>
                </c:pt>
                <c:pt idx="1">
                  <c:v>89.97</c:v>
                </c:pt>
                <c:pt idx="2">
                  <c:v>89.82</c:v>
                </c:pt>
                <c:pt idx="3">
                  <c:v>89.82</c:v>
                </c:pt>
                <c:pt idx="4">
                  <c:v>89.82</c:v>
                </c:pt>
                <c:pt idx="5">
                  <c:v>89.96</c:v>
                </c:pt>
                <c:pt idx="6">
                  <c:v>91.07</c:v>
                </c:pt>
              </c:numCache>
            </c:numRef>
          </c:yVal>
        </c:ser>
        <c:axId val="62631936"/>
        <c:axId val="62633472"/>
      </c:scatterChart>
      <c:valAx>
        <c:axId val="62631936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2633472"/>
        <c:crossesAt val="-2"/>
        <c:crossBetween val="midCat"/>
        <c:majorUnit val="1"/>
        <c:minorUnit val="0.5"/>
      </c:valAx>
      <c:valAx>
        <c:axId val="62633472"/>
        <c:scaling>
          <c:orientation val="minMax"/>
          <c:max val="95"/>
          <c:min val="87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263193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21" r="0.7500000000000121" t="1" header="0.5" footer="0.5"/>
    <c:pageSetup paperSize="9" orientation="landscape" horizontalDpi="360" verticalDpi="36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(4)'!$A$285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(4)'!$C$284:$I$284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(4)'!$C$285:$I$285</c:f>
              <c:numCache>
                <c:formatCode>0.000</c:formatCode>
                <c:ptCount val="7"/>
                <c:pt idx="0">
                  <c:v>89.77</c:v>
                </c:pt>
                <c:pt idx="1">
                  <c:v>88.87</c:v>
                </c:pt>
                <c:pt idx="2">
                  <c:v>88.87</c:v>
                </c:pt>
                <c:pt idx="3">
                  <c:v>88.87</c:v>
                </c:pt>
                <c:pt idx="4">
                  <c:v>88.87</c:v>
                </c:pt>
                <c:pt idx="5">
                  <c:v>88.87</c:v>
                </c:pt>
                <c:pt idx="6">
                  <c:v>89.92</c:v>
                </c:pt>
              </c:numCache>
            </c:numRef>
          </c:yVal>
        </c:ser>
        <c:ser>
          <c:idx val="1"/>
          <c:order val="1"/>
          <c:tx>
            <c:strRef>
              <c:f>'fc (4)'!$A$287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(4)'!$C$286:$I$286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(4)'!$C$287:$I$287</c:f>
              <c:numCache>
                <c:formatCode>0.000</c:formatCode>
                <c:ptCount val="7"/>
                <c:pt idx="0">
                  <c:v>89.77</c:v>
                </c:pt>
                <c:pt idx="1">
                  <c:v>89.340999999999994</c:v>
                </c:pt>
                <c:pt idx="2">
                  <c:v>89.27</c:v>
                </c:pt>
                <c:pt idx="3">
                  <c:v>89.27</c:v>
                </c:pt>
                <c:pt idx="4">
                  <c:v>89.27</c:v>
                </c:pt>
                <c:pt idx="5">
                  <c:v>89.350999999999999</c:v>
                </c:pt>
                <c:pt idx="6">
                  <c:v>89.92</c:v>
                </c:pt>
              </c:numCache>
            </c:numRef>
          </c:yVal>
        </c:ser>
        <c:axId val="62661760"/>
        <c:axId val="62663296"/>
      </c:scatterChart>
      <c:valAx>
        <c:axId val="62661760"/>
        <c:scaling>
          <c:orientation val="minMax"/>
          <c:max val="8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2663296"/>
        <c:crossesAt val="-2"/>
        <c:crossBetween val="midCat"/>
        <c:majorUnit val="1"/>
        <c:minorUnit val="0.5"/>
      </c:valAx>
      <c:valAx>
        <c:axId val="62663296"/>
        <c:scaling>
          <c:orientation val="minMax"/>
          <c:max val="92"/>
          <c:min val="86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2661760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99" r="0.75000000000001099" t="1" header="0.5" footer="0.5"/>
    <c:pageSetup paperSize="9" orientation="landscape" horizontalDpi="360" verticalDpi="36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(4)'!$A$333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(4)'!$C$332:$I$332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(4)'!$C$333:$I$333</c:f>
              <c:numCache>
                <c:formatCode>0.000</c:formatCode>
                <c:ptCount val="7"/>
                <c:pt idx="0">
                  <c:v>89.1</c:v>
                </c:pt>
                <c:pt idx="1">
                  <c:v>88.32</c:v>
                </c:pt>
                <c:pt idx="2">
                  <c:v>88.32</c:v>
                </c:pt>
                <c:pt idx="3">
                  <c:v>88.32</c:v>
                </c:pt>
                <c:pt idx="4">
                  <c:v>88.32</c:v>
                </c:pt>
                <c:pt idx="5">
                  <c:v>88.32</c:v>
                </c:pt>
                <c:pt idx="6">
                  <c:v>89.28</c:v>
                </c:pt>
              </c:numCache>
            </c:numRef>
          </c:yVal>
        </c:ser>
        <c:ser>
          <c:idx val="1"/>
          <c:order val="1"/>
          <c:tx>
            <c:strRef>
              <c:f>'fc (4)'!$A$335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(4)'!$C$334:$I$334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(4)'!$C$335:$I$335</c:f>
              <c:numCache>
                <c:formatCode>0.000</c:formatCode>
                <c:ptCount val="7"/>
                <c:pt idx="0">
                  <c:v>89.1</c:v>
                </c:pt>
                <c:pt idx="1">
                  <c:v>88.790999999999997</c:v>
                </c:pt>
                <c:pt idx="2">
                  <c:v>88.74</c:v>
                </c:pt>
                <c:pt idx="3">
                  <c:v>88.74</c:v>
                </c:pt>
                <c:pt idx="4">
                  <c:v>88.74</c:v>
                </c:pt>
                <c:pt idx="5">
                  <c:v>88.8</c:v>
                </c:pt>
                <c:pt idx="6">
                  <c:v>89.28</c:v>
                </c:pt>
              </c:numCache>
            </c:numRef>
          </c:yVal>
        </c:ser>
        <c:axId val="62683392"/>
        <c:axId val="62709760"/>
      </c:scatterChart>
      <c:valAx>
        <c:axId val="62683392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2709760"/>
        <c:crossesAt val="-2"/>
        <c:crossBetween val="midCat"/>
        <c:majorUnit val="1"/>
        <c:minorUnit val="0.5"/>
      </c:valAx>
      <c:valAx>
        <c:axId val="62709760"/>
        <c:scaling>
          <c:orientation val="minMax"/>
          <c:max val="91"/>
          <c:min val="86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2683392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21" r="0.75000000000001121" t="1" header="0.5" footer="0.5"/>
    <c:pageSetup paperSize="9" orientation="landscape" horizontalDpi="360" verticalDpi="36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fc!$A$369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fc!$E$368:$H$368</c:f>
              <c:numCache>
                <c:formatCode>0.000</c:formatCode>
                <c:ptCount val="4"/>
                <c:pt idx="0">
                  <c:v>0.5</c:v>
                </c:pt>
                <c:pt idx="1">
                  <c:v>0.6</c:v>
                </c:pt>
                <c:pt idx="2">
                  <c:v>2.1</c:v>
                </c:pt>
                <c:pt idx="3">
                  <c:v>3.5</c:v>
                </c:pt>
              </c:numCache>
            </c:numRef>
          </c:xVal>
          <c:yVal>
            <c:numRef>
              <c:f>fc!$E$369:$H$369</c:f>
              <c:numCache>
                <c:formatCode>0.000</c:formatCode>
                <c:ptCount val="4"/>
                <c:pt idx="0">
                  <c:v>98.597999999999999</c:v>
                </c:pt>
                <c:pt idx="1">
                  <c:v>98.41</c:v>
                </c:pt>
                <c:pt idx="2">
                  <c:v>98.41</c:v>
                </c:pt>
                <c:pt idx="3">
                  <c:v>98.41</c:v>
                </c:pt>
              </c:numCache>
            </c:numRef>
          </c:yVal>
        </c:ser>
        <c:ser>
          <c:idx val="1"/>
          <c:order val="1"/>
          <c:tx>
            <c:strRef>
              <c:f>fc!$A$371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fc!$E$370:$H$370</c:f>
              <c:numCache>
                <c:formatCode>0.000</c:formatCode>
                <c:ptCount val="4"/>
                <c:pt idx="0">
                  <c:v>0.5</c:v>
                </c:pt>
                <c:pt idx="1">
                  <c:v>0.6</c:v>
                </c:pt>
                <c:pt idx="2">
                  <c:v>2.1</c:v>
                </c:pt>
                <c:pt idx="3">
                  <c:v>3.5</c:v>
                </c:pt>
              </c:numCache>
            </c:numRef>
          </c:xVal>
          <c:yVal>
            <c:numRef>
              <c:f>fc!$E$371:$H$371</c:f>
              <c:numCache>
                <c:formatCode>0.000</c:formatCode>
                <c:ptCount val="4"/>
                <c:pt idx="0">
                  <c:v>98.75</c:v>
                </c:pt>
                <c:pt idx="1">
                  <c:v>98.75</c:v>
                </c:pt>
                <c:pt idx="2">
                  <c:v>98.75</c:v>
                </c:pt>
                <c:pt idx="3">
                  <c:v>98.75</c:v>
                </c:pt>
              </c:numCache>
            </c:numRef>
          </c:yVal>
        </c:ser>
        <c:ser>
          <c:idx val="2"/>
          <c:order val="2"/>
          <c:tx>
            <c:strRef>
              <c:f>'fc (4)'!$A$369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(4)'!$C$368:$I$368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(4)'!$C$369:$I$369</c:f>
              <c:numCache>
                <c:formatCode>0.000</c:formatCode>
                <c:ptCount val="7"/>
                <c:pt idx="0">
                  <c:v>88.96</c:v>
                </c:pt>
                <c:pt idx="1">
                  <c:v>88.17</c:v>
                </c:pt>
                <c:pt idx="2">
                  <c:v>88.17</c:v>
                </c:pt>
                <c:pt idx="3">
                  <c:v>88.17</c:v>
                </c:pt>
                <c:pt idx="4">
                  <c:v>88.17</c:v>
                </c:pt>
                <c:pt idx="5">
                  <c:v>88.17</c:v>
                </c:pt>
                <c:pt idx="6">
                  <c:v>89.13</c:v>
                </c:pt>
              </c:numCache>
            </c:numRef>
          </c:yVal>
        </c:ser>
        <c:ser>
          <c:idx val="3"/>
          <c:order val="3"/>
          <c:tx>
            <c:strRef>
              <c:f>'fc (4)'!$A$371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(4)'!$C$370:$I$370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(4)'!$C$371:$I$371</c:f>
              <c:numCache>
                <c:formatCode>0.000</c:formatCode>
                <c:ptCount val="7"/>
                <c:pt idx="0">
                  <c:v>88.96</c:v>
                </c:pt>
                <c:pt idx="1">
                  <c:v>88.66</c:v>
                </c:pt>
                <c:pt idx="2">
                  <c:v>88.61</c:v>
                </c:pt>
                <c:pt idx="3">
                  <c:v>88.61</c:v>
                </c:pt>
                <c:pt idx="4">
                  <c:v>88.61</c:v>
                </c:pt>
                <c:pt idx="5">
                  <c:v>88.674999999999997</c:v>
                </c:pt>
                <c:pt idx="6">
                  <c:v>89.13</c:v>
                </c:pt>
              </c:numCache>
            </c:numRef>
          </c:yVal>
        </c:ser>
        <c:axId val="62719104"/>
        <c:axId val="62720640"/>
      </c:scatterChart>
      <c:valAx>
        <c:axId val="62719104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2720640"/>
        <c:crossesAt val="-2"/>
        <c:crossBetween val="midCat"/>
        <c:majorUnit val="1"/>
        <c:minorUnit val="0.5"/>
      </c:valAx>
      <c:valAx>
        <c:axId val="62720640"/>
        <c:scaling>
          <c:orientation val="minMax"/>
          <c:max val="90"/>
          <c:min val="8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2719104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44" r="0.75000000000001144" t="1" header="0.5" footer="0.5"/>
    <c:pageSetup paperSize="9" orientation="landscape" horizontalDpi="360" verticalDpi="36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(4)'!$A$416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(4)'!$C$415:$I$415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(4)'!$C$416:$I$416</c:f>
              <c:numCache>
                <c:formatCode>0.000</c:formatCode>
                <c:ptCount val="7"/>
                <c:pt idx="0">
                  <c:v>88.64</c:v>
                </c:pt>
                <c:pt idx="1">
                  <c:v>88.15</c:v>
                </c:pt>
                <c:pt idx="2">
                  <c:v>88.15</c:v>
                </c:pt>
                <c:pt idx="3">
                  <c:v>88.15</c:v>
                </c:pt>
                <c:pt idx="4">
                  <c:v>88.15</c:v>
                </c:pt>
                <c:pt idx="5">
                  <c:v>88.15</c:v>
                </c:pt>
                <c:pt idx="6">
                  <c:v>88.81</c:v>
                </c:pt>
              </c:numCache>
            </c:numRef>
          </c:yVal>
        </c:ser>
        <c:ser>
          <c:idx val="1"/>
          <c:order val="1"/>
          <c:tx>
            <c:strRef>
              <c:f>'fc (4)'!$A$418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(4)'!$C$417:$I$417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(4)'!$C$418:$I$418</c:f>
              <c:numCache>
                <c:formatCode>0.000</c:formatCode>
                <c:ptCount val="7"/>
                <c:pt idx="0">
                  <c:v>88.64</c:v>
                </c:pt>
                <c:pt idx="1">
                  <c:v>88.477000000000004</c:v>
                </c:pt>
                <c:pt idx="2">
                  <c:v>88.45</c:v>
                </c:pt>
                <c:pt idx="3">
                  <c:v>88.45</c:v>
                </c:pt>
                <c:pt idx="4">
                  <c:v>88.45</c:v>
                </c:pt>
                <c:pt idx="5">
                  <c:v>88.495000000000005</c:v>
                </c:pt>
                <c:pt idx="6">
                  <c:v>88.81</c:v>
                </c:pt>
              </c:numCache>
            </c:numRef>
          </c:yVal>
        </c:ser>
        <c:axId val="62753024"/>
        <c:axId val="62767104"/>
      </c:scatterChart>
      <c:valAx>
        <c:axId val="62753024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2767104"/>
        <c:crossesAt val="-2"/>
        <c:crossBetween val="midCat"/>
        <c:majorUnit val="1"/>
        <c:minorUnit val="0.5"/>
      </c:valAx>
      <c:valAx>
        <c:axId val="62767104"/>
        <c:scaling>
          <c:orientation val="minMax"/>
          <c:max val="92"/>
          <c:min val="8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2753024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66" r="0.75000000000001166" t="1" header="0.5" footer="0.5"/>
    <c:pageSetup paperSize="9" orientation="landscape" horizontalDpi="360" verticalDpi="36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(3)'!$A$5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(3)'!$C$4:$I$4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(3)'!$C$5:$I$5</c:f>
              <c:numCache>
                <c:formatCode>0.000</c:formatCode>
                <c:ptCount val="7"/>
                <c:pt idx="0">
                  <c:v>97.06</c:v>
                </c:pt>
                <c:pt idx="1">
                  <c:v>95.97</c:v>
                </c:pt>
                <c:pt idx="2">
                  <c:v>95.97</c:v>
                </c:pt>
                <c:pt idx="3">
                  <c:v>95.97</c:v>
                </c:pt>
                <c:pt idx="4">
                  <c:v>95.97</c:v>
                </c:pt>
                <c:pt idx="5">
                  <c:v>95.97</c:v>
                </c:pt>
                <c:pt idx="6">
                  <c:v>97.23</c:v>
                </c:pt>
              </c:numCache>
            </c:numRef>
          </c:yVal>
        </c:ser>
        <c:ser>
          <c:idx val="1"/>
          <c:order val="1"/>
          <c:tx>
            <c:strRef>
              <c:f>'fc (3)'!$A$7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(3)'!$C$6:$I$6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(3)'!$C$7:$I$7</c:f>
              <c:numCache>
                <c:formatCode>0.000</c:formatCode>
                <c:ptCount val="7"/>
                <c:pt idx="0">
                  <c:v>97.06</c:v>
                </c:pt>
                <c:pt idx="1">
                  <c:v>96.510999999999996</c:v>
                </c:pt>
                <c:pt idx="2">
                  <c:v>96.42</c:v>
                </c:pt>
                <c:pt idx="3">
                  <c:v>96.42</c:v>
                </c:pt>
                <c:pt idx="4">
                  <c:v>96.42</c:v>
                </c:pt>
                <c:pt idx="5">
                  <c:v>96.521000000000001</c:v>
                </c:pt>
                <c:pt idx="6">
                  <c:v>97.23</c:v>
                </c:pt>
              </c:numCache>
            </c:numRef>
          </c:yVal>
        </c:ser>
        <c:axId val="69034368"/>
        <c:axId val="69035904"/>
      </c:scatterChart>
      <c:valAx>
        <c:axId val="69034368"/>
        <c:scaling>
          <c:orientation val="minMax"/>
          <c:max val="8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9035904"/>
        <c:crossesAt val="-2"/>
        <c:crossBetween val="midCat"/>
        <c:majorUnit val="1"/>
        <c:minorUnit val="0.5"/>
      </c:valAx>
      <c:valAx>
        <c:axId val="69035904"/>
        <c:scaling>
          <c:orientation val="minMax"/>
          <c:max val="100"/>
          <c:min val="94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9034368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55" r="0.75000000000001055" t="1" header="0.5" footer="0.5"/>
    <c:pageSetup paperSize="9" orientation="landscape" horizontalDpi="360" verticalDpi="36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(3)'!$A$40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(3)'!$C$39:$I$39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(3)'!$C$40:$I$40</c:f>
              <c:numCache>
                <c:formatCode>0.000</c:formatCode>
                <c:ptCount val="7"/>
                <c:pt idx="0">
                  <c:v>97.72</c:v>
                </c:pt>
                <c:pt idx="1">
                  <c:v>95.92</c:v>
                </c:pt>
                <c:pt idx="2">
                  <c:v>95.92</c:v>
                </c:pt>
                <c:pt idx="3">
                  <c:v>95.92</c:v>
                </c:pt>
                <c:pt idx="4">
                  <c:v>95.92</c:v>
                </c:pt>
                <c:pt idx="5">
                  <c:v>95.92</c:v>
                </c:pt>
                <c:pt idx="6">
                  <c:v>97.92</c:v>
                </c:pt>
              </c:numCache>
            </c:numRef>
          </c:yVal>
        </c:ser>
        <c:ser>
          <c:idx val="1"/>
          <c:order val="1"/>
          <c:tx>
            <c:strRef>
              <c:f>'fc (3)'!$A$42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(3)'!$C$41:$I$41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(3)'!$C$42:$I$42</c:f>
              <c:numCache>
                <c:formatCode>0.000</c:formatCode>
                <c:ptCount val="7"/>
                <c:pt idx="0">
                  <c:v>97.72</c:v>
                </c:pt>
                <c:pt idx="1">
                  <c:v>96.588999999999999</c:v>
                </c:pt>
                <c:pt idx="2">
                  <c:v>96.4</c:v>
                </c:pt>
                <c:pt idx="3">
                  <c:v>96.4</c:v>
                </c:pt>
                <c:pt idx="4">
                  <c:v>96.4</c:v>
                </c:pt>
                <c:pt idx="5">
                  <c:v>96.569000000000003</c:v>
                </c:pt>
                <c:pt idx="6">
                  <c:v>97.92</c:v>
                </c:pt>
              </c:numCache>
            </c:numRef>
          </c:yVal>
        </c:ser>
        <c:axId val="69060096"/>
        <c:axId val="69061632"/>
      </c:scatterChart>
      <c:valAx>
        <c:axId val="69060096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9061632"/>
        <c:crossesAt val="-2"/>
        <c:crossBetween val="midCat"/>
        <c:majorUnit val="1"/>
        <c:minorUnit val="0.5"/>
      </c:valAx>
      <c:valAx>
        <c:axId val="69061632"/>
        <c:scaling>
          <c:orientation val="minMax"/>
          <c:max val="101"/>
          <c:min val="94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906009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77" r="0.75000000000001077" t="1" header="0.5" footer="0.5"/>
    <c:pageSetup paperSize="9" orientation="landscape" horizontalDpi="360" verticalDpi="36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(3)'!$A$84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(3)'!$C$83:$I$83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(3)'!$C$84:$I$84</c:f>
              <c:numCache>
                <c:formatCode>0.000</c:formatCode>
                <c:ptCount val="7"/>
                <c:pt idx="0">
                  <c:v>97.37</c:v>
                </c:pt>
                <c:pt idx="1">
                  <c:v>95.92</c:v>
                </c:pt>
                <c:pt idx="2">
                  <c:v>95.92</c:v>
                </c:pt>
                <c:pt idx="3">
                  <c:v>95.92</c:v>
                </c:pt>
                <c:pt idx="4">
                  <c:v>95.92</c:v>
                </c:pt>
                <c:pt idx="5">
                  <c:v>95.92</c:v>
                </c:pt>
                <c:pt idx="6">
                  <c:v>97.52</c:v>
                </c:pt>
              </c:numCache>
            </c:numRef>
          </c:yVal>
        </c:ser>
        <c:ser>
          <c:idx val="1"/>
          <c:order val="1"/>
          <c:tx>
            <c:strRef>
              <c:f>'fc (3)'!$A$86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(3)'!$C$85:$I$85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(3)'!$C$86:$I$86</c:f>
              <c:numCache>
                <c:formatCode>0.000</c:formatCode>
                <c:ptCount val="7"/>
                <c:pt idx="0">
                  <c:v>97.37</c:v>
                </c:pt>
                <c:pt idx="1">
                  <c:v>96.543000000000006</c:v>
                </c:pt>
                <c:pt idx="2">
                  <c:v>96.4</c:v>
                </c:pt>
                <c:pt idx="3">
                  <c:v>96.4</c:v>
                </c:pt>
                <c:pt idx="4">
                  <c:v>96.4</c:v>
                </c:pt>
                <c:pt idx="5">
                  <c:v>96.54</c:v>
                </c:pt>
                <c:pt idx="6">
                  <c:v>97.52</c:v>
                </c:pt>
              </c:numCache>
            </c:numRef>
          </c:yVal>
        </c:ser>
        <c:axId val="68950656"/>
        <c:axId val="68964736"/>
      </c:scatterChart>
      <c:valAx>
        <c:axId val="68950656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8964736"/>
        <c:crossesAt val="-2"/>
        <c:crossBetween val="midCat"/>
        <c:majorUnit val="1"/>
        <c:minorUnit val="0.5"/>
      </c:valAx>
      <c:valAx>
        <c:axId val="68964736"/>
        <c:scaling>
          <c:orientation val="minMax"/>
          <c:max val="100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895065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99" r="0.75000000000001099" t="1" header="0.5" footer="0.5"/>
    <c:pageSetup paperSize="9" orientation="landscape" horizontalDpi="360" verticalDpi="36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Bund!$A$112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Bund!$C$111:$N$111</c:f>
              <c:numCache>
                <c:formatCode>0.000</c:formatCode>
                <c:ptCount val="12"/>
                <c:pt idx="0">
                  <c:v>0</c:v>
                </c:pt>
                <c:pt idx="1">
                  <c:v>7.1</c:v>
                </c:pt>
                <c:pt idx="2">
                  <c:v>8.1</c:v>
                </c:pt>
                <c:pt idx="3">
                  <c:v>8.4</c:v>
                </c:pt>
                <c:pt idx="4">
                  <c:v>9.5</c:v>
                </c:pt>
                <c:pt idx="5">
                  <c:v>9.6</c:v>
                </c:pt>
                <c:pt idx="6">
                  <c:v>10</c:v>
                </c:pt>
                <c:pt idx="7">
                  <c:v>11.1</c:v>
                </c:pt>
                <c:pt idx="8">
                  <c:v>14</c:v>
                </c:pt>
                <c:pt idx="9">
                  <c:v>14.6</c:v>
                </c:pt>
                <c:pt idx="10">
                  <c:v>16.5</c:v>
                </c:pt>
              </c:numCache>
            </c:numRef>
          </c:xVal>
          <c:yVal>
            <c:numRef>
              <c:f>Bund!$C$112:$N$112</c:f>
              <c:numCache>
                <c:formatCode>0.000</c:formatCode>
                <c:ptCount val="12"/>
                <c:pt idx="0">
                  <c:v>96.08</c:v>
                </c:pt>
                <c:pt idx="1">
                  <c:v>100.83</c:v>
                </c:pt>
                <c:pt idx="2">
                  <c:v>101.5</c:v>
                </c:pt>
                <c:pt idx="3">
                  <c:v>101.5</c:v>
                </c:pt>
                <c:pt idx="4">
                  <c:v>101.5</c:v>
                </c:pt>
                <c:pt idx="5">
                  <c:v>101.5</c:v>
                </c:pt>
                <c:pt idx="6">
                  <c:v>101.5</c:v>
                </c:pt>
                <c:pt idx="7">
                  <c:v>101.5</c:v>
                </c:pt>
                <c:pt idx="8">
                  <c:v>100.04</c:v>
                </c:pt>
                <c:pt idx="9">
                  <c:v>99.738</c:v>
                </c:pt>
                <c:pt idx="10">
                  <c:v>98.78</c:v>
                </c:pt>
              </c:numCache>
            </c:numRef>
          </c:yVal>
        </c:ser>
        <c:ser>
          <c:idx val="1"/>
          <c:order val="1"/>
          <c:tx>
            <c:strRef>
              <c:f>Bund!$A$114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Bund!$C$113:$N$113</c:f>
              <c:numCache>
                <c:formatCode>0.000</c:formatCode>
                <c:ptCount val="12"/>
                <c:pt idx="0">
                  <c:v>0</c:v>
                </c:pt>
                <c:pt idx="1">
                  <c:v>7.1</c:v>
                </c:pt>
                <c:pt idx="2">
                  <c:v>8.1</c:v>
                </c:pt>
                <c:pt idx="3">
                  <c:v>8.4</c:v>
                </c:pt>
                <c:pt idx="4">
                  <c:v>9.5</c:v>
                </c:pt>
                <c:pt idx="5">
                  <c:v>9.6</c:v>
                </c:pt>
                <c:pt idx="6">
                  <c:v>10</c:v>
                </c:pt>
                <c:pt idx="7">
                  <c:v>11.1</c:v>
                </c:pt>
                <c:pt idx="8">
                  <c:v>14</c:v>
                </c:pt>
                <c:pt idx="9">
                  <c:v>14.6</c:v>
                </c:pt>
                <c:pt idx="10">
                  <c:v>16.5</c:v>
                </c:pt>
              </c:numCache>
            </c:numRef>
          </c:xVal>
          <c:yVal>
            <c:numRef>
              <c:f>Bund!$C$114:$N$114</c:f>
              <c:numCache>
                <c:formatCode>0.000</c:formatCode>
                <c:ptCount val="12"/>
                <c:pt idx="0">
                  <c:v>96.08</c:v>
                </c:pt>
                <c:pt idx="1">
                  <c:v>100.83</c:v>
                </c:pt>
                <c:pt idx="2">
                  <c:v>100.998</c:v>
                </c:pt>
                <c:pt idx="3">
                  <c:v>101.05</c:v>
                </c:pt>
                <c:pt idx="4">
                  <c:v>101.05</c:v>
                </c:pt>
                <c:pt idx="5">
                  <c:v>101.05</c:v>
                </c:pt>
                <c:pt idx="6">
                  <c:v>101.05</c:v>
                </c:pt>
                <c:pt idx="7">
                  <c:v>100.51</c:v>
                </c:pt>
                <c:pt idx="8">
                  <c:v>99.084999999999994</c:v>
                </c:pt>
                <c:pt idx="9">
                  <c:v>98.79</c:v>
                </c:pt>
                <c:pt idx="10">
                  <c:v>98.78</c:v>
                </c:pt>
              </c:numCache>
            </c:numRef>
          </c:yVal>
        </c:ser>
        <c:axId val="57074816"/>
        <c:axId val="57076352"/>
      </c:scatterChart>
      <c:valAx>
        <c:axId val="57074816"/>
        <c:scaling>
          <c:orientation val="minMax"/>
          <c:max val="17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57076352"/>
        <c:crossesAt val="-2"/>
        <c:crossBetween val="midCat"/>
        <c:majorUnit val="1"/>
        <c:minorUnit val="0.5"/>
      </c:valAx>
      <c:valAx>
        <c:axId val="57076352"/>
        <c:scaling>
          <c:orientation val="minMax"/>
          <c:max val="102"/>
          <c:min val="96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57074816"/>
        <c:crosses val="max"/>
        <c:crossBetween val="midCat"/>
        <c:majorUnit val="1"/>
      </c:valAx>
    </c:plotArea>
    <c:dispBlanksAs val="gap"/>
  </c:chart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(3)'!$A$122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(3)'!$C$121:$I$121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(3)'!$C$122:$I$122</c:f>
              <c:numCache>
                <c:formatCode>0.000</c:formatCode>
                <c:ptCount val="7"/>
                <c:pt idx="0">
                  <c:v>97.37</c:v>
                </c:pt>
                <c:pt idx="1">
                  <c:v>95.92</c:v>
                </c:pt>
                <c:pt idx="2">
                  <c:v>95.92</c:v>
                </c:pt>
                <c:pt idx="3">
                  <c:v>95.92</c:v>
                </c:pt>
                <c:pt idx="4">
                  <c:v>95.92</c:v>
                </c:pt>
                <c:pt idx="5">
                  <c:v>95.92</c:v>
                </c:pt>
                <c:pt idx="6">
                  <c:v>97.55</c:v>
                </c:pt>
              </c:numCache>
            </c:numRef>
          </c:yVal>
        </c:ser>
        <c:ser>
          <c:idx val="1"/>
          <c:order val="1"/>
          <c:tx>
            <c:strRef>
              <c:f>'fc (3)'!$A$124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(3)'!$C$123:$I$123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(3)'!$C$124:$I$124</c:f>
              <c:numCache>
                <c:formatCode>0.000</c:formatCode>
                <c:ptCount val="7"/>
                <c:pt idx="0">
                  <c:v>97.37</c:v>
                </c:pt>
                <c:pt idx="1">
                  <c:v>96.555999999999997</c:v>
                </c:pt>
                <c:pt idx="2">
                  <c:v>96.42</c:v>
                </c:pt>
                <c:pt idx="3">
                  <c:v>96.42</c:v>
                </c:pt>
                <c:pt idx="4">
                  <c:v>96.42</c:v>
                </c:pt>
                <c:pt idx="5">
                  <c:v>96.546000000000006</c:v>
                </c:pt>
                <c:pt idx="6">
                  <c:v>97.55</c:v>
                </c:pt>
              </c:numCache>
            </c:numRef>
          </c:yVal>
        </c:ser>
        <c:axId val="68988928"/>
        <c:axId val="68990464"/>
      </c:scatterChart>
      <c:valAx>
        <c:axId val="68988928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8990464"/>
        <c:crossesAt val="-2"/>
        <c:crossBetween val="midCat"/>
        <c:majorUnit val="1"/>
        <c:minorUnit val="0.5"/>
      </c:valAx>
      <c:valAx>
        <c:axId val="68990464"/>
        <c:scaling>
          <c:orientation val="minMax"/>
          <c:max val="100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8988928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21" r="0.75000000000001121" t="1" header="0.5" footer="0.5"/>
    <c:pageSetup paperSize="9" orientation="landscape" horizontalDpi="360" verticalDpi="36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6.8348544307528639E-2"/>
          <c:y val="8.8445595524525467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(3)'!$A$167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(3)'!$C$166:$I$166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(3)'!$C$167:$I$167</c:f>
              <c:numCache>
                <c:formatCode>0.000</c:formatCode>
                <c:ptCount val="7"/>
                <c:pt idx="0">
                  <c:v>97.27</c:v>
                </c:pt>
                <c:pt idx="1">
                  <c:v>95.915000000000006</c:v>
                </c:pt>
                <c:pt idx="2">
                  <c:v>95.915000000000006</c:v>
                </c:pt>
                <c:pt idx="3">
                  <c:v>95.915000000000006</c:v>
                </c:pt>
                <c:pt idx="4">
                  <c:v>95.915000000000006</c:v>
                </c:pt>
                <c:pt idx="5">
                  <c:v>95.915000000000006</c:v>
                </c:pt>
                <c:pt idx="6">
                  <c:v>97.44</c:v>
                </c:pt>
              </c:numCache>
            </c:numRef>
          </c:yVal>
        </c:ser>
        <c:ser>
          <c:idx val="1"/>
          <c:order val="1"/>
          <c:tx>
            <c:strRef>
              <c:f>'fc (3)'!$A$169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(3)'!$C$166:$I$166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(3)'!$C$169:$I$169</c:f>
              <c:numCache>
                <c:formatCode>0.000</c:formatCode>
                <c:ptCount val="7"/>
                <c:pt idx="0">
                  <c:v>97.27</c:v>
                </c:pt>
                <c:pt idx="1">
                  <c:v>96.524000000000001</c:v>
                </c:pt>
                <c:pt idx="2">
                  <c:v>96.4</c:v>
                </c:pt>
                <c:pt idx="3">
                  <c:v>96.4</c:v>
                </c:pt>
                <c:pt idx="4">
                  <c:v>96.4</c:v>
                </c:pt>
                <c:pt idx="5">
                  <c:v>96.53</c:v>
                </c:pt>
                <c:pt idx="6">
                  <c:v>97.44</c:v>
                </c:pt>
              </c:numCache>
            </c:numRef>
          </c:yVal>
        </c:ser>
        <c:axId val="69354624"/>
        <c:axId val="69356160"/>
      </c:scatterChart>
      <c:valAx>
        <c:axId val="69354624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9356160"/>
        <c:crossesAt val="-2"/>
        <c:crossBetween val="midCat"/>
        <c:majorUnit val="1"/>
        <c:minorUnit val="0.5"/>
      </c:valAx>
      <c:valAx>
        <c:axId val="69356160"/>
        <c:scaling>
          <c:orientation val="minMax"/>
          <c:max val="100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9354624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44" r="0.75000000000001144" t="1" header="0.5" footer="0.5"/>
    <c:pageSetup paperSize="9" orientation="landscape" horizontalDpi="360" verticalDpi="36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(3)'!$A$207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(3)'!$C$206:$I$206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(3)'!$C$207:$I$207</c:f>
              <c:numCache>
                <c:formatCode>0.000</c:formatCode>
                <c:ptCount val="7"/>
                <c:pt idx="0">
                  <c:v>97.3</c:v>
                </c:pt>
                <c:pt idx="1">
                  <c:v>95.915000000000006</c:v>
                </c:pt>
                <c:pt idx="2">
                  <c:v>95.915000000000006</c:v>
                </c:pt>
                <c:pt idx="3">
                  <c:v>95.915000000000006</c:v>
                </c:pt>
                <c:pt idx="4">
                  <c:v>95.915000000000006</c:v>
                </c:pt>
                <c:pt idx="5">
                  <c:v>95.915000000000006</c:v>
                </c:pt>
                <c:pt idx="6">
                  <c:v>97.5</c:v>
                </c:pt>
              </c:numCache>
            </c:numRef>
          </c:yVal>
        </c:ser>
        <c:ser>
          <c:idx val="1"/>
          <c:order val="1"/>
          <c:tx>
            <c:strRef>
              <c:f>'fc (3)'!$A$209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(3)'!$C$208:$I$208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(3)'!$C$209:$I$209</c:f>
              <c:numCache>
                <c:formatCode>0.000</c:formatCode>
                <c:ptCount val="7"/>
                <c:pt idx="0">
                  <c:v>97.3</c:v>
                </c:pt>
                <c:pt idx="1">
                  <c:v>96.49</c:v>
                </c:pt>
                <c:pt idx="2">
                  <c:v>96.355000000000004</c:v>
                </c:pt>
                <c:pt idx="3">
                  <c:v>96.355000000000004</c:v>
                </c:pt>
                <c:pt idx="4">
                  <c:v>96.355000000000004</c:v>
                </c:pt>
                <c:pt idx="5">
                  <c:v>96.481999999999999</c:v>
                </c:pt>
                <c:pt idx="6">
                  <c:v>97.5</c:v>
                </c:pt>
              </c:numCache>
            </c:numRef>
          </c:yVal>
        </c:ser>
        <c:axId val="69384448"/>
        <c:axId val="69386240"/>
      </c:scatterChart>
      <c:valAx>
        <c:axId val="69384448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9386240"/>
        <c:crossesAt val="-2"/>
        <c:crossBetween val="midCat"/>
        <c:majorUnit val="1"/>
        <c:minorUnit val="0.5"/>
      </c:valAx>
      <c:valAx>
        <c:axId val="69386240"/>
        <c:scaling>
          <c:orientation val="minMax"/>
          <c:max val="100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9384448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66" r="0.75000000000001166" t="1" header="0.5" footer="0.5"/>
    <c:pageSetup paperSize="9" orientation="landscape" horizontalDpi="360" verticalDpi="36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(3)'!$A$250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(3)'!$C$249:$I$249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(3)'!$C$250:$I$250</c:f>
              <c:numCache>
                <c:formatCode>0.000</c:formatCode>
                <c:ptCount val="7"/>
                <c:pt idx="0">
                  <c:v>97.3</c:v>
                </c:pt>
                <c:pt idx="1">
                  <c:v>95.915000000000006</c:v>
                </c:pt>
                <c:pt idx="2">
                  <c:v>95.915000000000006</c:v>
                </c:pt>
                <c:pt idx="3">
                  <c:v>95.915000000000006</c:v>
                </c:pt>
                <c:pt idx="4">
                  <c:v>95.915000000000006</c:v>
                </c:pt>
                <c:pt idx="5">
                  <c:v>95.915000000000006</c:v>
                </c:pt>
                <c:pt idx="6">
                  <c:v>97.5</c:v>
                </c:pt>
              </c:numCache>
            </c:numRef>
          </c:yVal>
        </c:ser>
        <c:ser>
          <c:idx val="1"/>
          <c:order val="1"/>
          <c:tx>
            <c:strRef>
              <c:f>'fc (3)'!$A$252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(3)'!$C$251:$I$251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(3)'!$C$252:$I$252</c:f>
              <c:numCache>
                <c:formatCode>0.000</c:formatCode>
                <c:ptCount val="7"/>
                <c:pt idx="0">
                  <c:v>97.3</c:v>
                </c:pt>
                <c:pt idx="1">
                  <c:v>96.49</c:v>
                </c:pt>
                <c:pt idx="2">
                  <c:v>96.41</c:v>
                </c:pt>
                <c:pt idx="3">
                  <c:v>96.41</c:v>
                </c:pt>
                <c:pt idx="4">
                  <c:v>96.41</c:v>
                </c:pt>
                <c:pt idx="5">
                  <c:v>96.481999999999999</c:v>
                </c:pt>
                <c:pt idx="6">
                  <c:v>97.5</c:v>
                </c:pt>
              </c:numCache>
            </c:numRef>
          </c:yVal>
        </c:ser>
        <c:axId val="69414272"/>
        <c:axId val="69424256"/>
      </c:scatterChart>
      <c:valAx>
        <c:axId val="69414272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9424256"/>
        <c:crossesAt val="-2"/>
        <c:crossBetween val="midCat"/>
        <c:majorUnit val="1"/>
        <c:minorUnit val="0.5"/>
      </c:valAx>
      <c:valAx>
        <c:axId val="69424256"/>
        <c:scaling>
          <c:orientation val="minMax"/>
          <c:max val="100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9414272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88" r="0.75000000000001188" t="1" header="0.5" footer="0.5"/>
    <c:pageSetup paperSize="9" orientation="landscape" horizontalDpi="360" verticalDpi="36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(3)'!$A$285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(3)'!$C$284:$I$284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(3)'!$C$285:$I$285</c:f>
              <c:numCache>
                <c:formatCode>0.000</c:formatCode>
                <c:ptCount val="7"/>
                <c:pt idx="0">
                  <c:v>97.16</c:v>
                </c:pt>
                <c:pt idx="1">
                  <c:v>95.91</c:v>
                </c:pt>
                <c:pt idx="2">
                  <c:v>95.91</c:v>
                </c:pt>
                <c:pt idx="3">
                  <c:v>95.91</c:v>
                </c:pt>
                <c:pt idx="4">
                  <c:v>95.91</c:v>
                </c:pt>
                <c:pt idx="5">
                  <c:v>95.91</c:v>
                </c:pt>
                <c:pt idx="6">
                  <c:v>97.34</c:v>
                </c:pt>
              </c:numCache>
            </c:numRef>
          </c:yVal>
        </c:ser>
        <c:ser>
          <c:idx val="1"/>
          <c:order val="1"/>
          <c:tx>
            <c:strRef>
              <c:f>'fc (3)'!$A$287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(3)'!$C$286:$I$286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(3)'!$C$287:$I$287</c:f>
              <c:numCache>
                <c:formatCode>0.000</c:formatCode>
                <c:ptCount val="7"/>
                <c:pt idx="0">
                  <c:v>97.16</c:v>
                </c:pt>
                <c:pt idx="1">
                  <c:v>96.448999999999998</c:v>
                </c:pt>
                <c:pt idx="2">
                  <c:v>96.33</c:v>
                </c:pt>
                <c:pt idx="3">
                  <c:v>96.33</c:v>
                </c:pt>
                <c:pt idx="4">
                  <c:v>96.33</c:v>
                </c:pt>
                <c:pt idx="5">
                  <c:v>96.444999999999993</c:v>
                </c:pt>
                <c:pt idx="6">
                  <c:v>97.34</c:v>
                </c:pt>
              </c:numCache>
            </c:numRef>
          </c:yVal>
        </c:ser>
        <c:axId val="69444352"/>
        <c:axId val="69445888"/>
      </c:scatterChart>
      <c:valAx>
        <c:axId val="69444352"/>
        <c:scaling>
          <c:orientation val="minMax"/>
          <c:max val="8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9445888"/>
        <c:crossesAt val="-2"/>
        <c:crossBetween val="midCat"/>
        <c:majorUnit val="1"/>
        <c:minorUnit val="0.5"/>
      </c:valAx>
      <c:valAx>
        <c:axId val="69445888"/>
        <c:scaling>
          <c:orientation val="minMax"/>
          <c:max val="100"/>
          <c:min val="94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9444352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77" r="0.75000000000001077" t="1" header="0.5" footer="0.5"/>
    <c:pageSetup paperSize="9" orientation="landscape" horizontalDpi="360" verticalDpi="36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(3)'!$A$333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(3)'!$C$332:$I$332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(3)'!$C$333:$I$333</c:f>
              <c:numCache>
                <c:formatCode>0.000</c:formatCode>
                <c:ptCount val="7"/>
                <c:pt idx="0">
                  <c:v>98.36</c:v>
                </c:pt>
                <c:pt idx="1">
                  <c:v>95.91</c:v>
                </c:pt>
                <c:pt idx="2">
                  <c:v>95.91</c:v>
                </c:pt>
                <c:pt idx="3">
                  <c:v>95.91</c:v>
                </c:pt>
                <c:pt idx="4">
                  <c:v>95.91</c:v>
                </c:pt>
                <c:pt idx="5">
                  <c:v>95.91</c:v>
                </c:pt>
                <c:pt idx="6">
                  <c:v>98.53</c:v>
                </c:pt>
              </c:numCache>
            </c:numRef>
          </c:yVal>
        </c:ser>
        <c:ser>
          <c:idx val="1"/>
          <c:order val="1"/>
          <c:tx>
            <c:strRef>
              <c:f>'fc (3)'!$A$335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(3)'!$C$334:$I$334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(3)'!$C$335:$I$335</c:f>
              <c:numCache>
                <c:formatCode>0.000</c:formatCode>
                <c:ptCount val="7"/>
                <c:pt idx="0">
                  <c:v>98.36</c:v>
                </c:pt>
                <c:pt idx="1">
                  <c:v>96.722999999999999</c:v>
                </c:pt>
                <c:pt idx="2">
                  <c:v>96.45</c:v>
                </c:pt>
                <c:pt idx="3">
                  <c:v>96.45</c:v>
                </c:pt>
                <c:pt idx="4">
                  <c:v>96.45</c:v>
                </c:pt>
                <c:pt idx="5">
                  <c:v>96.71</c:v>
                </c:pt>
                <c:pt idx="6">
                  <c:v>98.53</c:v>
                </c:pt>
              </c:numCache>
            </c:numRef>
          </c:yVal>
        </c:ser>
        <c:axId val="69470080"/>
        <c:axId val="69471616"/>
      </c:scatterChart>
      <c:valAx>
        <c:axId val="69470080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9471616"/>
        <c:crossesAt val="-2"/>
        <c:crossBetween val="midCat"/>
        <c:majorUnit val="1"/>
        <c:minorUnit val="0.5"/>
      </c:valAx>
      <c:valAx>
        <c:axId val="69471616"/>
        <c:scaling>
          <c:orientation val="minMax"/>
          <c:max val="100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9470080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99" r="0.75000000000001099" t="1" header="0.5" footer="0.5"/>
    <c:pageSetup paperSize="9" orientation="landscape" horizontalDpi="360" verticalDpi="36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(3)'!$A$369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(3)'!$C$368:$I$368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(3)'!$C$369:$I$369</c:f>
              <c:numCache>
                <c:formatCode>0.000</c:formatCode>
                <c:ptCount val="7"/>
                <c:pt idx="0">
                  <c:v>98.55</c:v>
                </c:pt>
                <c:pt idx="1">
                  <c:v>95.905000000000001</c:v>
                </c:pt>
                <c:pt idx="2">
                  <c:v>95.905000000000001</c:v>
                </c:pt>
                <c:pt idx="3">
                  <c:v>95.905000000000001</c:v>
                </c:pt>
                <c:pt idx="4">
                  <c:v>95.905000000000001</c:v>
                </c:pt>
                <c:pt idx="5">
                  <c:v>95.905000000000001</c:v>
                </c:pt>
                <c:pt idx="6">
                  <c:v>98.7</c:v>
                </c:pt>
              </c:numCache>
            </c:numRef>
          </c:yVal>
        </c:ser>
        <c:ser>
          <c:idx val="1"/>
          <c:order val="1"/>
          <c:tx>
            <c:strRef>
              <c:f>'fc (3)'!$A$371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(3)'!$C$370:$I$370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(3)'!$C$371:$I$371</c:f>
              <c:numCache>
                <c:formatCode>0.000</c:formatCode>
                <c:ptCount val="7"/>
                <c:pt idx="0">
                  <c:v>98.55</c:v>
                </c:pt>
                <c:pt idx="1">
                  <c:v>96.94</c:v>
                </c:pt>
                <c:pt idx="2">
                  <c:v>96.42</c:v>
                </c:pt>
                <c:pt idx="3">
                  <c:v>96.42</c:v>
                </c:pt>
                <c:pt idx="4">
                  <c:v>96.42</c:v>
                </c:pt>
                <c:pt idx="5">
                  <c:v>96.73</c:v>
                </c:pt>
                <c:pt idx="6">
                  <c:v>98.7</c:v>
                </c:pt>
              </c:numCache>
            </c:numRef>
          </c:yVal>
        </c:ser>
        <c:axId val="69504000"/>
        <c:axId val="69518080"/>
      </c:scatterChart>
      <c:valAx>
        <c:axId val="69504000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9518080"/>
        <c:crossesAt val="-2"/>
        <c:crossBetween val="midCat"/>
        <c:majorUnit val="1"/>
        <c:minorUnit val="0.5"/>
      </c:valAx>
      <c:valAx>
        <c:axId val="69518080"/>
        <c:scaling>
          <c:orientation val="minMax"/>
          <c:max val="100"/>
          <c:min val="94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9504000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21" r="0.75000000000001121" t="1" header="0.5" footer="0.5"/>
    <c:pageSetup paperSize="9" orientation="landscape" horizontalDpi="360" verticalDpi="36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(3)'!$A$416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(3)'!$C$415:$I$415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(3)'!$C$416:$I$416</c:f>
              <c:numCache>
                <c:formatCode>0.000</c:formatCode>
                <c:ptCount val="7"/>
                <c:pt idx="0">
                  <c:v>99.21</c:v>
                </c:pt>
                <c:pt idx="1">
                  <c:v>95.9</c:v>
                </c:pt>
                <c:pt idx="2">
                  <c:v>95.9</c:v>
                </c:pt>
                <c:pt idx="3">
                  <c:v>95.9</c:v>
                </c:pt>
                <c:pt idx="4">
                  <c:v>95.9</c:v>
                </c:pt>
                <c:pt idx="5">
                  <c:v>95.9</c:v>
                </c:pt>
                <c:pt idx="6">
                  <c:v>99.36</c:v>
                </c:pt>
              </c:numCache>
            </c:numRef>
          </c:yVal>
        </c:ser>
        <c:ser>
          <c:idx val="1"/>
          <c:order val="1"/>
          <c:tx>
            <c:strRef>
              <c:f>'fc (3)'!$A$418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(3)'!$C$417:$I$417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(3)'!$C$418:$I$418</c:f>
              <c:numCache>
                <c:formatCode>0.000</c:formatCode>
                <c:ptCount val="7"/>
                <c:pt idx="0">
                  <c:v>99.21</c:v>
                </c:pt>
                <c:pt idx="1">
                  <c:v>97.11</c:v>
                </c:pt>
                <c:pt idx="2">
                  <c:v>96.41</c:v>
                </c:pt>
                <c:pt idx="3">
                  <c:v>96.41</c:v>
                </c:pt>
                <c:pt idx="4">
                  <c:v>96.41</c:v>
                </c:pt>
                <c:pt idx="5">
                  <c:v>96.866</c:v>
                </c:pt>
                <c:pt idx="6">
                  <c:v>99.36</c:v>
                </c:pt>
              </c:numCache>
            </c:numRef>
          </c:yVal>
        </c:ser>
        <c:axId val="69538176"/>
        <c:axId val="69539712"/>
      </c:scatterChart>
      <c:valAx>
        <c:axId val="69538176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9539712"/>
        <c:crossesAt val="-2"/>
        <c:crossBetween val="midCat"/>
        <c:majorUnit val="1"/>
        <c:minorUnit val="0.5"/>
      </c:valAx>
      <c:valAx>
        <c:axId val="69539712"/>
        <c:scaling>
          <c:orientation val="minMax"/>
          <c:max val="100"/>
          <c:min val="94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953817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44" r="0.75000000000001144" t="1" header="0.5" footer="0.5"/>
    <c:pageSetup paperSize="9" orientation="landscape" horizontalDpi="360" verticalDpi="36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(3)'!$A$465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(3)'!$C$464:$I$464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(3)'!$C$465:$I$465</c:f>
              <c:numCache>
                <c:formatCode>0.000</c:formatCode>
                <c:ptCount val="7"/>
                <c:pt idx="0">
                  <c:v>98.34</c:v>
                </c:pt>
                <c:pt idx="1">
                  <c:v>95.9</c:v>
                </c:pt>
                <c:pt idx="2">
                  <c:v>95.9</c:v>
                </c:pt>
                <c:pt idx="3">
                  <c:v>95.9</c:v>
                </c:pt>
                <c:pt idx="4">
                  <c:v>95.9</c:v>
                </c:pt>
                <c:pt idx="5">
                  <c:v>95.9</c:v>
                </c:pt>
                <c:pt idx="6">
                  <c:v>98.52</c:v>
                </c:pt>
              </c:numCache>
            </c:numRef>
          </c:yVal>
        </c:ser>
        <c:ser>
          <c:idx val="1"/>
          <c:order val="1"/>
          <c:tx>
            <c:strRef>
              <c:f>'fc (3)'!$A$467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(3)'!$C$466:$I$466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(3)'!$C$467:$I$467</c:f>
              <c:numCache>
                <c:formatCode>0.000</c:formatCode>
                <c:ptCount val="7"/>
                <c:pt idx="0">
                  <c:v>98.34</c:v>
                </c:pt>
                <c:pt idx="1">
                  <c:v>96.626000000000005</c:v>
                </c:pt>
                <c:pt idx="2">
                  <c:v>96.34</c:v>
                </c:pt>
                <c:pt idx="3">
                  <c:v>96.34</c:v>
                </c:pt>
                <c:pt idx="4">
                  <c:v>96.34</c:v>
                </c:pt>
                <c:pt idx="5">
                  <c:v>96.581999999999994</c:v>
                </c:pt>
                <c:pt idx="6">
                  <c:v>98.52</c:v>
                </c:pt>
              </c:numCache>
            </c:numRef>
          </c:yVal>
        </c:ser>
        <c:axId val="69580288"/>
        <c:axId val="69581824"/>
      </c:scatterChart>
      <c:valAx>
        <c:axId val="69580288"/>
        <c:scaling>
          <c:orientation val="minMax"/>
          <c:max val="8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9581824"/>
        <c:crossesAt val="-2"/>
        <c:crossBetween val="midCat"/>
        <c:majorUnit val="1"/>
        <c:minorUnit val="0.5"/>
      </c:valAx>
      <c:valAx>
        <c:axId val="69581824"/>
        <c:scaling>
          <c:orientation val="minMax"/>
          <c:max val="100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9580288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77" r="0.75000000000001077" t="1" header="0.5" footer="0.5"/>
    <c:pageSetup paperSize="9" orientation="landscape" horizontalDpi="360" verticalDpi="36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(3)'!$A$500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(3)'!$C$499:$I$499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(3)'!$C$500:$I$500</c:f>
              <c:numCache>
                <c:formatCode>0.000</c:formatCode>
                <c:ptCount val="7"/>
                <c:pt idx="0">
                  <c:v>98.89</c:v>
                </c:pt>
                <c:pt idx="1">
                  <c:v>95.9</c:v>
                </c:pt>
                <c:pt idx="2">
                  <c:v>95.9</c:v>
                </c:pt>
                <c:pt idx="3">
                  <c:v>95.9</c:v>
                </c:pt>
                <c:pt idx="4">
                  <c:v>95.9</c:v>
                </c:pt>
                <c:pt idx="5">
                  <c:v>95.9</c:v>
                </c:pt>
                <c:pt idx="6">
                  <c:v>99.06</c:v>
                </c:pt>
              </c:numCache>
            </c:numRef>
          </c:yVal>
        </c:ser>
        <c:ser>
          <c:idx val="1"/>
          <c:order val="1"/>
          <c:tx>
            <c:strRef>
              <c:f>'fc (3)'!$A$502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(3)'!$C$501:$I$501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(3)'!$C$502:$I$502</c:f>
              <c:numCache>
                <c:formatCode>0.000</c:formatCode>
                <c:ptCount val="7"/>
                <c:pt idx="0">
                  <c:v>98.89</c:v>
                </c:pt>
                <c:pt idx="1">
                  <c:v>97.34</c:v>
                </c:pt>
                <c:pt idx="2">
                  <c:v>96.35</c:v>
                </c:pt>
                <c:pt idx="3">
                  <c:v>96.35</c:v>
                </c:pt>
                <c:pt idx="4">
                  <c:v>96.35</c:v>
                </c:pt>
                <c:pt idx="5">
                  <c:v>96.951999999999998</c:v>
                </c:pt>
                <c:pt idx="6">
                  <c:v>99.06</c:v>
                </c:pt>
              </c:numCache>
            </c:numRef>
          </c:yVal>
        </c:ser>
        <c:axId val="70990464"/>
        <c:axId val="70996352"/>
      </c:scatterChart>
      <c:valAx>
        <c:axId val="70990464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0996352"/>
        <c:crossesAt val="-2"/>
        <c:crossBetween val="midCat"/>
        <c:majorUnit val="1"/>
        <c:minorUnit val="0.5"/>
      </c:valAx>
      <c:valAx>
        <c:axId val="70996352"/>
        <c:scaling>
          <c:orientation val="minMax"/>
          <c:max val="100"/>
          <c:min val="93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0990464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99" r="0.75000000000001099" t="1" header="0.5" footer="0.5"/>
    <c:pageSetup paperSize="9" orientation="landscape" horizontalDpi="360" verticalDpi="36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Bund!$A$52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Bund!$C$51:$M$51</c:f>
              <c:numCache>
                <c:formatCode>0.000</c:formatCode>
                <c:ptCount val="11"/>
                <c:pt idx="0">
                  <c:v>0</c:v>
                </c:pt>
                <c:pt idx="1">
                  <c:v>4.0999999999999996</c:v>
                </c:pt>
                <c:pt idx="2">
                  <c:v>5.3</c:v>
                </c:pt>
                <c:pt idx="3">
                  <c:v>5.6</c:v>
                </c:pt>
                <c:pt idx="4">
                  <c:v>6.7</c:v>
                </c:pt>
                <c:pt idx="5">
                  <c:v>6.8</c:v>
                </c:pt>
                <c:pt idx="6">
                  <c:v>7.5</c:v>
                </c:pt>
                <c:pt idx="7">
                  <c:v>8.3000000000000007</c:v>
                </c:pt>
                <c:pt idx="8">
                  <c:v>12</c:v>
                </c:pt>
                <c:pt idx="9">
                  <c:v>13</c:v>
                </c:pt>
                <c:pt idx="10">
                  <c:v>15.2</c:v>
                </c:pt>
              </c:numCache>
            </c:numRef>
          </c:xVal>
          <c:yVal>
            <c:numRef>
              <c:f>Bund!$C$52:$M$52</c:f>
              <c:numCache>
                <c:formatCode>0.000</c:formatCode>
                <c:ptCount val="11"/>
                <c:pt idx="0">
                  <c:v>97.97</c:v>
                </c:pt>
                <c:pt idx="1">
                  <c:v>100.7</c:v>
                </c:pt>
                <c:pt idx="2">
                  <c:v>101.5</c:v>
                </c:pt>
                <c:pt idx="3">
                  <c:v>101.5</c:v>
                </c:pt>
                <c:pt idx="4">
                  <c:v>101.5</c:v>
                </c:pt>
                <c:pt idx="5">
                  <c:v>101.5</c:v>
                </c:pt>
                <c:pt idx="6">
                  <c:v>101.5</c:v>
                </c:pt>
                <c:pt idx="7">
                  <c:v>101.5</c:v>
                </c:pt>
                <c:pt idx="8">
                  <c:v>99.65</c:v>
                </c:pt>
                <c:pt idx="9">
                  <c:v>99.15</c:v>
                </c:pt>
                <c:pt idx="10">
                  <c:v>98.05</c:v>
                </c:pt>
              </c:numCache>
            </c:numRef>
          </c:yVal>
        </c:ser>
        <c:ser>
          <c:idx val="2"/>
          <c:order val="1"/>
          <c:tx>
            <c:strRef>
              <c:f>Bund!$A$54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Bund!$C$53:$M$53</c:f>
              <c:numCache>
                <c:formatCode>0.000</c:formatCode>
                <c:ptCount val="11"/>
                <c:pt idx="0">
                  <c:v>0</c:v>
                </c:pt>
                <c:pt idx="1">
                  <c:v>4.0999999999999996</c:v>
                </c:pt>
                <c:pt idx="2">
                  <c:v>5.3</c:v>
                </c:pt>
                <c:pt idx="3">
                  <c:v>5.6</c:v>
                </c:pt>
                <c:pt idx="4">
                  <c:v>6.7</c:v>
                </c:pt>
                <c:pt idx="5">
                  <c:v>6.8</c:v>
                </c:pt>
                <c:pt idx="6">
                  <c:v>7.5</c:v>
                </c:pt>
                <c:pt idx="7">
                  <c:v>8.3000000000000007</c:v>
                </c:pt>
                <c:pt idx="8">
                  <c:v>12</c:v>
                </c:pt>
                <c:pt idx="9">
                  <c:v>13</c:v>
                </c:pt>
                <c:pt idx="10">
                  <c:v>15.2</c:v>
                </c:pt>
              </c:numCache>
            </c:numRef>
          </c:xVal>
          <c:yVal>
            <c:numRef>
              <c:f>Bund!$C$54:$M$54</c:f>
              <c:numCache>
                <c:formatCode>0.000</c:formatCode>
                <c:ptCount val="11"/>
                <c:pt idx="0">
                  <c:v>97.97</c:v>
                </c:pt>
                <c:pt idx="1">
                  <c:v>100.7</c:v>
                </c:pt>
                <c:pt idx="2">
                  <c:v>100.932</c:v>
                </c:pt>
                <c:pt idx="3">
                  <c:v>100.99</c:v>
                </c:pt>
                <c:pt idx="4">
                  <c:v>100.99</c:v>
                </c:pt>
                <c:pt idx="5">
                  <c:v>100.99</c:v>
                </c:pt>
                <c:pt idx="6">
                  <c:v>100.99</c:v>
                </c:pt>
                <c:pt idx="7">
                  <c:v>100.56399999999999</c:v>
                </c:pt>
                <c:pt idx="8">
                  <c:v>98.592749999999995</c:v>
                </c:pt>
                <c:pt idx="9">
                  <c:v>98.06</c:v>
                </c:pt>
                <c:pt idx="10">
                  <c:v>98.05</c:v>
                </c:pt>
              </c:numCache>
            </c:numRef>
          </c:yVal>
        </c:ser>
        <c:ser>
          <c:idx val="1"/>
          <c:order val="2"/>
          <c:tx>
            <c:strRef>
              <c:f>'Bund-1'!#REF!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'Bund-1'!#REF!</c:f>
            </c:numRef>
          </c:xVal>
          <c:yVal>
            <c:numRef>
              <c:f>'Bund-1'!#REF!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60821504"/>
        <c:axId val="60823040"/>
      </c:scatterChart>
      <c:valAx>
        <c:axId val="60821504"/>
        <c:scaling>
          <c:orientation val="minMax"/>
          <c:max val="17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60823040"/>
        <c:crossesAt val="-2"/>
        <c:crossBetween val="midCat"/>
        <c:majorUnit val="1"/>
        <c:minorUnit val="1"/>
      </c:valAx>
      <c:valAx>
        <c:axId val="60823040"/>
        <c:scaling>
          <c:orientation val="minMax"/>
          <c:max val="102"/>
          <c:min val="97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60821504"/>
        <c:crosses val="max"/>
        <c:crossBetween val="midCat"/>
        <c:majorUnit val="1"/>
      </c:valAx>
    </c:plotArea>
    <c:dispBlanksAs val="gap"/>
  </c:chart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(3)'!$A$544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(3)'!$C$543:$I$543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(3)'!$C$544:$I$544</c:f>
              <c:numCache>
                <c:formatCode>0.000</c:formatCode>
                <c:ptCount val="7"/>
                <c:pt idx="0">
                  <c:v>96.6</c:v>
                </c:pt>
                <c:pt idx="1">
                  <c:v>95.66</c:v>
                </c:pt>
                <c:pt idx="2">
                  <c:v>95.66</c:v>
                </c:pt>
                <c:pt idx="3">
                  <c:v>95.66</c:v>
                </c:pt>
                <c:pt idx="4">
                  <c:v>95.66</c:v>
                </c:pt>
                <c:pt idx="5">
                  <c:v>95.66</c:v>
                </c:pt>
                <c:pt idx="6">
                  <c:v>96.8</c:v>
                </c:pt>
              </c:numCache>
            </c:numRef>
          </c:yVal>
        </c:ser>
        <c:ser>
          <c:idx val="1"/>
          <c:order val="1"/>
          <c:tx>
            <c:strRef>
              <c:f>'fc (3)'!$A$546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(3)'!$C$545:$I$545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(3)'!$C$546:$I$546</c:f>
              <c:numCache>
                <c:formatCode>0.000</c:formatCode>
                <c:ptCount val="7"/>
                <c:pt idx="0">
                  <c:v>96.6</c:v>
                </c:pt>
                <c:pt idx="1">
                  <c:v>96.153999999999996</c:v>
                </c:pt>
                <c:pt idx="2">
                  <c:v>96.08</c:v>
                </c:pt>
                <c:pt idx="3">
                  <c:v>96.08</c:v>
                </c:pt>
                <c:pt idx="4">
                  <c:v>96.08</c:v>
                </c:pt>
                <c:pt idx="5">
                  <c:v>96.16</c:v>
                </c:pt>
                <c:pt idx="6">
                  <c:v>96.8</c:v>
                </c:pt>
              </c:numCache>
            </c:numRef>
          </c:yVal>
        </c:ser>
        <c:axId val="71020928"/>
        <c:axId val="71022464"/>
      </c:scatterChart>
      <c:valAx>
        <c:axId val="71020928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1022464"/>
        <c:crossesAt val="-2"/>
        <c:crossBetween val="midCat"/>
        <c:majorUnit val="1"/>
        <c:minorUnit val="0.5"/>
      </c:valAx>
      <c:valAx>
        <c:axId val="71022464"/>
        <c:scaling>
          <c:orientation val="minMax"/>
          <c:max val="100"/>
          <c:min val="94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1020928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21" r="0.75000000000001121" t="1" header="0.5" footer="0.5"/>
    <c:pageSetup paperSize="9" orientation="landscape" horizontalDpi="360" verticalDpi="36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(3)'!$A$583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(3)'!$C$582:$I$582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(3)'!$C$583:$I$583</c:f>
              <c:numCache>
                <c:formatCode>0.000</c:formatCode>
                <c:ptCount val="7"/>
                <c:pt idx="0">
                  <c:v>96.84</c:v>
                </c:pt>
                <c:pt idx="1">
                  <c:v>95.52</c:v>
                </c:pt>
                <c:pt idx="2">
                  <c:v>95.52</c:v>
                </c:pt>
                <c:pt idx="3">
                  <c:v>95.52</c:v>
                </c:pt>
                <c:pt idx="4">
                  <c:v>95.52</c:v>
                </c:pt>
                <c:pt idx="5">
                  <c:v>95.52</c:v>
                </c:pt>
                <c:pt idx="6">
                  <c:v>96.99</c:v>
                </c:pt>
              </c:numCache>
            </c:numRef>
          </c:yVal>
        </c:ser>
        <c:ser>
          <c:idx val="1"/>
          <c:order val="1"/>
          <c:tx>
            <c:strRef>
              <c:f>'fc (3)'!$A$585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(3)'!$C$584:$I$584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(3)'!$C$585:$I$585</c:f>
              <c:numCache>
                <c:formatCode>0.000</c:formatCode>
                <c:ptCount val="7"/>
                <c:pt idx="0">
                  <c:v>96.84</c:v>
                </c:pt>
                <c:pt idx="1">
                  <c:v>96.085999999999999</c:v>
                </c:pt>
                <c:pt idx="2">
                  <c:v>95.96</c:v>
                </c:pt>
                <c:pt idx="3">
                  <c:v>95.96</c:v>
                </c:pt>
                <c:pt idx="4">
                  <c:v>95.96</c:v>
                </c:pt>
                <c:pt idx="5">
                  <c:v>96.087000000000003</c:v>
                </c:pt>
                <c:pt idx="6">
                  <c:v>96.99</c:v>
                </c:pt>
              </c:numCache>
            </c:numRef>
          </c:yVal>
        </c:ser>
        <c:axId val="71059328"/>
        <c:axId val="71060864"/>
      </c:scatterChart>
      <c:valAx>
        <c:axId val="71059328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1060864"/>
        <c:crossesAt val="-2"/>
        <c:crossBetween val="midCat"/>
        <c:majorUnit val="1"/>
        <c:minorUnit val="0.5"/>
      </c:valAx>
      <c:valAx>
        <c:axId val="71060864"/>
        <c:scaling>
          <c:orientation val="minMax"/>
          <c:max val="100"/>
          <c:min val="94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1059328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44" r="0.75000000000001144" t="1" header="0.5" footer="0.5"/>
    <c:pageSetup paperSize="9" orientation="landscape" horizontalDpi="360" verticalDpi="36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(3)'!$A$628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(3)'!$C$627:$I$627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(3)'!$C$628:$I$628</c:f>
              <c:numCache>
                <c:formatCode>0.000</c:formatCode>
                <c:ptCount val="7"/>
                <c:pt idx="0">
                  <c:v>96.21</c:v>
                </c:pt>
                <c:pt idx="1">
                  <c:v>95.51</c:v>
                </c:pt>
                <c:pt idx="2">
                  <c:v>95.51</c:v>
                </c:pt>
                <c:pt idx="3">
                  <c:v>95.51</c:v>
                </c:pt>
                <c:pt idx="4">
                  <c:v>95.51</c:v>
                </c:pt>
                <c:pt idx="5">
                  <c:v>95.51</c:v>
                </c:pt>
                <c:pt idx="6">
                  <c:v>96.39</c:v>
                </c:pt>
              </c:numCache>
            </c:numRef>
          </c:yVal>
        </c:ser>
        <c:ser>
          <c:idx val="1"/>
          <c:order val="1"/>
          <c:tx>
            <c:strRef>
              <c:f>'fc (3)'!$A$630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(3)'!$C$629:$I$629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(3)'!$C$630:$I$630</c:f>
              <c:numCache>
                <c:formatCode>0.000</c:formatCode>
                <c:ptCount val="7"/>
                <c:pt idx="0">
                  <c:v>96.21</c:v>
                </c:pt>
                <c:pt idx="1">
                  <c:v>95.953000000000003</c:v>
                </c:pt>
                <c:pt idx="2">
                  <c:v>95.91</c:v>
                </c:pt>
                <c:pt idx="3">
                  <c:v>95.91</c:v>
                </c:pt>
                <c:pt idx="4">
                  <c:v>95.91</c:v>
                </c:pt>
                <c:pt idx="5">
                  <c:v>95.962999999999994</c:v>
                </c:pt>
                <c:pt idx="6">
                  <c:v>96.39</c:v>
                </c:pt>
              </c:numCache>
            </c:numRef>
          </c:yVal>
        </c:ser>
        <c:axId val="71097344"/>
        <c:axId val="71099136"/>
      </c:scatterChart>
      <c:valAx>
        <c:axId val="71097344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1099136"/>
        <c:crossesAt val="-2"/>
        <c:crossBetween val="midCat"/>
        <c:majorUnit val="1"/>
        <c:minorUnit val="0.5"/>
      </c:valAx>
      <c:valAx>
        <c:axId val="71099136"/>
        <c:scaling>
          <c:orientation val="minMax"/>
          <c:max val="100"/>
          <c:min val="94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1097344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66" r="0.75000000000001166" t="1" header="0.5" footer="0.5"/>
    <c:pageSetup paperSize="9" orientation="landscape" horizontalDpi="360" verticalDpi="36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(3)'!$A$667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(3)'!$C$666:$I$666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(3)'!$C$667:$I$667</c:f>
              <c:numCache>
                <c:formatCode>0.000</c:formatCode>
                <c:ptCount val="7"/>
                <c:pt idx="0">
                  <c:v>96.18</c:v>
                </c:pt>
                <c:pt idx="1">
                  <c:v>95.5</c:v>
                </c:pt>
                <c:pt idx="2">
                  <c:v>95.5</c:v>
                </c:pt>
                <c:pt idx="3">
                  <c:v>95.5</c:v>
                </c:pt>
                <c:pt idx="4">
                  <c:v>95.5</c:v>
                </c:pt>
                <c:pt idx="5">
                  <c:v>95.5</c:v>
                </c:pt>
                <c:pt idx="6">
                  <c:v>96.35</c:v>
                </c:pt>
              </c:numCache>
            </c:numRef>
          </c:yVal>
        </c:ser>
        <c:ser>
          <c:idx val="1"/>
          <c:order val="1"/>
          <c:tx>
            <c:strRef>
              <c:f>'fc (3)'!$A$669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(3)'!$C$668:$I$668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(3)'!$C$669:$I$669</c:f>
              <c:numCache>
                <c:formatCode>0.000</c:formatCode>
                <c:ptCount val="7"/>
                <c:pt idx="0">
                  <c:v>96.18</c:v>
                </c:pt>
                <c:pt idx="1">
                  <c:v>95.956999999999994</c:v>
                </c:pt>
                <c:pt idx="2">
                  <c:v>95.92</c:v>
                </c:pt>
                <c:pt idx="3">
                  <c:v>95.92</c:v>
                </c:pt>
                <c:pt idx="4">
                  <c:v>95.92</c:v>
                </c:pt>
                <c:pt idx="5">
                  <c:v>95.974000000000004</c:v>
                </c:pt>
                <c:pt idx="6">
                  <c:v>96.35</c:v>
                </c:pt>
              </c:numCache>
            </c:numRef>
          </c:yVal>
        </c:ser>
        <c:axId val="69615616"/>
        <c:axId val="69617152"/>
      </c:scatterChart>
      <c:valAx>
        <c:axId val="69615616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9617152"/>
        <c:crossesAt val="-2"/>
        <c:crossBetween val="midCat"/>
        <c:majorUnit val="1"/>
        <c:minorUnit val="0.5"/>
      </c:valAx>
      <c:valAx>
        <c:axId val="69617152"/>
        <c:scaling>
          <c:orientation val="minMax"/>
          <c:max val="98"/>
          <c:min val="93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961561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88" r="0.75000000000001188" t="1" header="0.5" footer="0.5"/>
    <c:pageSetup paperSize="9" orientation="landscape" horizontalDpi="360" verticalDpi="36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(3)'!$A$710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(3)'!$C$709:$I$709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(3)'!$C$710:$I$710</c:f>
              <c:numCache>
                <c:formatCode>0.000</c:formatCode>
                <c:ptCount val="7"/>
                <c:pt idx="0">
                  <c:v>96</c:v>
                </c:pt>
                <c:pt idx="1">
                  <c:v>95.35</c:v>
                </c:pt>
                <c:pt idx="2">
                  <c:v>95.35</c:v>
                </c:pt>
                <c:pt idx="3">
                  <c:v>95.35</c:v>
                </c:pt>
                <c:pt idx="4">
                  <c:v>95.35</c:v>
                </c:pt>
                <c:pt idx="5">
                  <c:v>95.35</c:v>
                </c:pt>
                <c:pt idx="6">
                  <c:v>96.2</c:v>
                </c:pt>
              </c:numCache>
            </c:numRef>
          </c:yVal>
        </c:ser>
        <c:ser>
          <c:idx val="1"/>
          <c:order val="1"/>
          <c:tx>
            <c:strRef>
              <c:f>'fc (3)'!$A$712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(3)'!$C$711:$I$711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(3)'!$C$712:$I$712</c:f>
              <c:numCache>
                <c:formatCode>0.000</c:formatCode>
                <c:ptCount val="7"/>
                <c:pt idx="0">
                  <c:v>96</c:v>
                </c:pt>
                <c:pt idx="1">
                  <c:v>95.82</c:v>
                </c:pt>
                <c:pt idx="2">
                  <c:v>95.79</c:v>
                </c:pt>
                <c:pt idx="3">
                  <c:v>95.79</c:v>
                </c:pt>
                <c:pt idx="4">
                  <c:v>95.79</c:v>
                </c:pt>
                <c:pt idx="5">
                  <c:v>95.835999999999999</c:v>
                </c:pt>
                <c:pt idx="6">
                  <c:v>96.2</c:v>
                </c:pt>
              </c:numCache>
            </c:numRef>
          </c:yVal>
        </c:ser>
        <c:axId val="69661056"/>
        <c:axId val="69662592"/>
      </c:scatterChart>
      <c:valAx>
        <c:axId val="69661056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9662592"/>
        <c:crossesAt val="-2"/>
        <c:crossBetween val="midCat"/>
        <c:majorUnit val="1"/>
        <c:minorUnit val="0.5"/>
      </c:valAx>
      <c:valAx>
        <c:axId val="69662592"/>
        <c:scaling>
          <c:orientation val="minMax"/>
          <c:max val="100"/>
          <c:min val="94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966105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21" r="0.7500000000000121" t="1" header="0.5" footer="0.5"/>
    <c:pageSetup paperSize="9" orientation="landscape" horizontalDpi="360" verticalDpi="36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(3)'!$A$751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(3)'!$C$750:$I$750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(3)'!$C$751:$I$751</c:f>
              <c:numCache>
                <c:formatCode>0.000</c:formatCode>
                <c:ptCount val="7"/>
                <c:pt idx="0">
                  <c:v>96.43</c:v>
                </c:pt>
                <c:pt idx="1">
                  <c:v>95.25</c:v>
                </c:pt>
                <c:pt idx="2">
                  <c:v>95.25</c:v>
                </c:pt>
                <c:pt idx="3">
                  <c:v>95.25</c:v>
                </c:pt>
                <c:pt idx="4">
                  <c:v>95.25</c:v>
                </c:pt>
                <c:pt idx="5">
                  <c:v>95.25</c:v>
                </c:pt>
                <c:pt idx="6">
                  <c:v>96.58</c:v>
                </c:pt>
              </c:numCache>
            </c:numRef>
          </c:yVal>
        </c:ser>
        <c:ser>
          <c:idx val="1"/>
          <c:order val="1"/>
          <c:tx>
            <c:strRef>
              <c:f>'fc (3)'!$A$753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(3)'!$C$752:$I$752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(3)'!$C$753:$I$753</c:f>
              <c:numCache>
                <c:formatCode>0.000</c:formatCode>
                <c:ptCount val="7"/>
                <c:pt idx="0">
                  <c:v>96.43</c:v>
                </c:pt>
                <c:pt idx="1">
                  <c:v>95.763000000000005</c:v>
                </c:pt>
                <c:pt idx="2">
                  <c:v>95.65</c:v>
                </c:pt>
                <c:pt idx="3">
                  <c:v>95.65</c:v>
                </c:pt>
                <c:pt idx="4">
                  <c:v>95.65</c:v>
                </c:pt>
                <c:pt idx="5">
                  <c:v>95.766000000000005</c:v>
                </c:pt>
                <c:pt idx="6">
                  <c:v>96.58</c:v>
                </c:pt>
              </c:numCache>
            </c:numRef>
          </c:yVal>
        </c:ser>
        <c:axId val="71140864"/>
        <c:axId val="71142400"/>
      </c:scatterChart>
      <c:valAx>
        <c:axId val="71140864"/>
        <c:scaling>
          <c:orientation val="minMax"/>
          <c:max val="8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1142400"/>
        <c:crossesAt val="-2"/>
        <c:crossBetween val="midCat"/>
        <c:majorUnit val="1"/>
        <c:minorUnit val="0.5"/>
      </c:valAx>
      <c:valAx>
        <c:axId val="71142400"/>
        <c:scaling>
          <c:orientation val="minMax"/>
          <c:max val="100"/>
          <c:min val="94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1140864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99" r="0.75000000000001099" t="1" header="0.5" footer="0.5"/>
    <c:pageSetup paperSize="9" orientation="landscape" horizontalDpi="360" verticalDpi="36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(3)'!$A$799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(3)'!$C$798:$I$798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(3)'!$C$799:$I$799</c:f>
              <c:numCache>
                <c:formatCode>0.000</c:formatCode>
                <c:ptCount val="7"/>
                <c:pt idx="0">
                  <c:v>96.13</c:v>
                </c:pt>
                <c:pt idx="1">
                  <c:v>95.15</c:v>
                </c:pt>
                <c:pt idx="2">
                  <c:v>95.15</c:v>
                </c:pt>
                <c:pt idx="3">
                  <c:v>95.15</c:v>
                </c:pt>
                <c:pt idx="4">
                  <c:v>95.15</c:v>
                </c:pt>
                <c:pt idx="5">
                  <c:v>95.15</c:v>
                </c:pt>
                <c:pt idx="6">
                  <c:v>96.31</c:v>
                </c:pt>
              </c:numCache>
            </c:numRef>
          </c:yVal>
        </c:ser>
        <c:ser>
          <c:idx val="1"/>
          <c:order val="1"/>
          <c:tx>
            <c:strRef>
              <c:f>'fc (3)'!$A$801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(3)'!$C$800:$I$800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(3)'!$C$801:$I$801</c:f>
              <c:numCache>
                <c:formatCode>0.000</c:formatCode>
                <c:ptCount val="7"/>
                <c:pt idx="0">
                  <c:v>96.13</c:v>
                </c:pt>
                <c:pt idx="1">
                  <c:v>95.65</c:v>
                </c:pt>
                <c:pt idx="2">
                  <c:v>95.57</c:v>
                </c:pt>
                <c:pt idx="3">
                  <c:v>95.57</c:v>
                </c:pt>
                <c:pt idx="4">
                  <c:v>95.57</c:v>
                </c:pt>
                <c:pt idx="5">
                  <c:v>95.652000000000001</c:v>
                </c:pt>
                <c:pt idx="6">
                  <c:v>96.31</c:v>
                </c:pt>
              </c:numCache>
            </c:numRef>
          </c:yVal>
        </c:ser>
        <c:axId val="71158784"/>
        <c:axId val="71176960"/>
      </c:scatterChart>
      <c:valAx>
        <c:axId val="71158784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1176960"/>
        <c:crossesAt val="-2"/>
        <c:crossBetween val="midCat"/>
        <c:majorUnit val="1"/>
        <c:minorUnit val="0.5"/>
      </c:valAx>
      <c:valAx>
        <c:axId val="71176960"/>
        <c:scaling>
          <c:orientation val="minMax"/>
          <c:max val="98"/>
          <c:min val="94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1158784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21" r="0.75000000000001121" t="1" header="0.5" footer="0.5"/>
    <c:pageSetup paperSize="9" orientation="landscape" horizontalDpi="360" verticalDpi="36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(3)'!$A$834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(3)'!$C$833:$I$833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(3)'!$C$834:$I$834</c:f>
              <c:numCache>
                <c:formatCode>0.000</c:formatCode>
                <c:ptCount val="7"/>
                <c:pt idx="0">
                  <c:v>96.35</c:v>
                </c:pt>
                <c:pt idx="1">
                  <c:v>95.15</c:v>
                </c:pt>
                <c:pt idx="2">
                  <c:v>95.15</c:v>
                </c:pt>
                <c:pt idx="3">
                  <c:v>95.15</c:v>
                </c:pt>
                <c:pt idx="4">
                  <c:v>95.15</c:v>
                </c:pt>
                <c:pt idx="5">
                  <c:v>95.15</c:v>
                </c:pt>
                <c:pt idx="6">
                  <c:v>96.52</c:v>
                </c:pt>
              </c:numCache>
            </c:numRef>
          </c:yVal>
        </c:ser>
        <c:ser>
          <c:idx val="1"/>
          <c:order val="1"/>
          <c:tx>
            <c:strRef>
              <c:f>'fc (3)'!$A$836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(3)'!$C$835:$I$835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(3)'!$C$836:$I$836</c:f>
              <c:numCache>
                <c:formatCode>0.000</c:formatCode>
                <c:ptCount val="7"/>
                <c:pt idx="0">
                  <c:v>96.35</c:v>
                </c:pt>
                <c:pt idx="1">
                  <c:v>95.698999999999998</c:v>
                </c:pt>
                <c:pt idx="2">
                  <c:v>95.59</c:v>
                </c:pt>
                <c:pt idx="3">
                  <c:v>95.59</c:v>
                </c:pt>
                <c:pt idx="4">
                  <c:v>95.59</c:v>
                </c:pt>
                <c:pt idx="5">
                  <c:v>95.706000000000003</c:v>
                </c:pt>
                <c:pt idx="6">
                  <c:v>96.52</c:v>
                </c:pt>
              </c:numCache>
            </c:numRef>
          </c:yVal>
        </c:ser>
        <c:axId val="71196672"/>
        <c:axId val="71198208"/>
      </c:scatterChart>
      <c:valAx>
        <c:axId val="71196672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1198208"/>
        <c:crossesAt val="-2"/>
        <c:crossBetween val="midCat"/>
        <c:majorUnit val="1"/>
        <c:minorUnit val="0.5"/>
      </c:valAx>
      <c:valAx>
        <c:axId val="71198208"/>
        <c:scaling>
          <c:orientation val="minMax"/>
          <c:max val="100"/>
          <c:min val="93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1196672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44" r="0.75000000000001144" t="1" header="0.5" footer="0.5"/>
    <c:pageSetup paperSize="9" orientation="landscape" horizontalDpi="360" verticalDpi="36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(3)'!$A$881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(3)'!$C$880:$I$880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(3)'!$C$881:$I$881</c:f>
              <c:numCache>
                <c:formatCode>0.000</c:formatCode>
                <c:ptCount val="7"/>
                <c:pt idx="0">
                  <c:v>96.08</c:v>
                </c:pt>
                <c:pt idx="1">
                  <c:v>95.11</c:v>
                </c:pt>
                <c:pt idx="2">
                  <c:v>95.11</c:v>
                </c:pt>
                <c:pt idx="3">
                  <c:v>95.11</c:v>
                </c:pt>
                <c:pt idx="4">
                  <c:v>95.11</c:v>
                </c:pt>
                <c:pt idx="5">
                  <c:v>95.11</c:v>
                </c:pt>
                <c:pt idx="6">
                  <c:v>96.28</c:v>
                </c:pt>
              </c:numCache>
            </c:numRef>
          </c:yVal>
        </c:ser>
        <c:ser>
          <c:idx val="1"/>
          <c:order val="1"/>
          <c:tx>
            <c:strRef>
              <c:f>'fc (3)'!$A$883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(3)'!$C$882:$I$882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(3)'!$C$883:$I$883</c:f>
              <c:numCache>
                <c:formatCode>0.000</c:formatCode>
                <c:ptCount val="7"/>
                <c:pt idx="0">
                  <c:v>96.08</c:v>
                </c:pt>
                <c:pt idx="1">
                  <c:v>95.59</c:v>
                </c:pt>
                <c:pt idx="2">
                  <c:v>95.51</c:v>
                </c:pt>
                <c:pt idx="3">
                  <c:v>95.51</c:v>
                </c:pt>
                <c:pt idx="4">
                  <c:v>95.51</c:v>
                </c:pt>
                <c:pt idx="5">
                  <c:v>95.594999999999999</c:v>
                </c:pt>
                <c:pt idx="6">
                  <c:v>96.28</c:v>
                </c:pt>
              </c:numCache>
            </c:numRef>
          </c:yVal>
        </c:ser>
        <c:axId val="71222016"/>
        <c:axId val="71223552"/>
      </c:scatterChart>
      <c:valAx>
        <c:axId val="71222016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1223552"/>
        <c:crossesAt val="-2"/>
        <c:crossBetween val="midCat"/>
        <c:majorUnit val="1"/>
        <c:minorUnit val="0.5"/>
      </c:valAx>
      <c:valAx>
        <c:axId val="71223552"/>
        <c:scaling>
          <c:orientation val="minMax"/>
          <c:max val="100"/>
          <c:min val="94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122201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66" r="0.75000000000001166" t="1" header="0.5" footer="0.5"/>
    <c:pageSetup paperSize="9" orientation="landscape" horizontalDpi="360" verticalDpi="36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(3)'!$A$918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(3)'!$C$917:$I$917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(3)'!$C$918:$I$918</c:f>
              <c:numCache>
                <c:formatCode>0.000</c:formatCode>
                <c:ptCount val="7"/>
                <c:pt idx="0">
                  <c:v>96.17</c:v>
                </c:pt>
                <c:pt idx="1">
                  <c:v>95.1</c:v>
                </c:pt>
                <c:pt idx="2">
                  <c:v>95.1</c:v>
                </c:pt>
                <c:pt idx="3">
                  <c:v>95.1</c:v>
                </c:pt>
                <c:pt idx="4">
                  <c:v>95.1</c:v>
                </c:pt>
                <c:pt idx="5">
                  <c:v>95.1</c:v>
                </c:pt>
                <c:pt idx="6">
                  <c:v>96.32</c:v>
                </c:pt>
              </c:numCache>
            </c:numRef>
          </c:yVal>
        </c:ser>
        <c:ser>
          <c:idx val="1"/>
          <c:order val="1"/>
          <c:tx>
            <c:strRef>
              <c:f>'fc (3)'!$A$920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(3)'!$C$917:$I$917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(3)'!$C$920:$I$920</c:f>
              <c:numCache>
                <c:formatCode>0.000</c:formatCode>
                <c:ptCount val="7"/>
                <c:pt idx="0">
                  <c:v>96.17</c:v>
                </c:pt>
                <c:pt idx="1">
                  <c:v>95.613</c:v>
                </c:pt>
                <c:pt idx="2">
                  <c:v>95.52</c:v>
                </c:pt>
                <c:pt idx="3">
                  <c:v>95.52</c:v>
                </c:pt>
                <c:pt idx="4">
                  <c:v>95.52</c:v>
                </c:pt>
                <c:pt idx="5">
                  <c:v>95.62</c:v>
                </c:pt>
                <c:pt idx="6">
                  <c:v>96.32</c:v>
                </c:pt>
              </c:numCache>
            </c:numRef>
          </c:yVal>
        </c:ser>
        <c:axId val="71247744"/>
        <c:axId val="71249280"/>
      </c:scatterChart>
      <c:valAx>
        <c:axId val="71247744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1249280"/>
        <c:crossesAt val="-2"/>
        <c:crossBetween val="midCat"/>
        <c:majorUnit val="1"/>
        <c:minorUnit val="0.5"/>
      </c:valAx>
      <c:valAx>
        <c:axId val="71249280"/>
        <c:scaling>
          <c:orientation val="minMax"/>
          <c:max val="98"/>
          <c:min val="94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1247744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21" r="0.75000000000001121" t="1" header="0.5" footer="0.5"/>
    <c:pageSetup paperSize="9" orientation="landscape" horizontalDpi="360" verticalDpi="36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Bund!$A$137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Bund!$C$136:$N$136</c:f>
              <c:numCache>
                <c:formatCode>0.000</c:formatCode>
                <c:ptCount val="12"/>
                <c:pt idx="0">
                  <c:v>0</c:v>
                </c:pt>
                <c:pt idx="1">
                  <c:v>5.0999999999999996</c:v>
                </c:pt>
                <c:pt idx="2">
                  <c:v>6.8</c:v>
                </c:pt>
                <c:pt idx="3">
                  <c:v>7.1</c:v>
                </c:pt>
                <c:pt idx="4">
                  <c:v>8.3000000000000007</c:v>
                </c:pt>
                <c:pt idx="5">
                  <c:v>8.4</c:v>
                </c:pt>
                <c:pt idx="6">
                  <c:v>9.1</c:v>
                </c:pt>
                <c:pt idx="7">
                  <c:v>9.8000000000000007</c:v>
                </c:pt>
                <c:pt idx="8">
                  <c:v>13.8</c:v>
                </c:pt>
                <c:pt idx="9">
                  <c:v>14</c:v>
                </c:pt>
                <c:pt idx="10">
                  <c:v>16.100000000000001</c:v>
                </c:pt>
              </c:numCache>
            </c:numRef>
          </c:xVal>
          <c:yVal>
            <c:numRef>
              <c:f>Bund!$C$137:$N$137</c:f>
              <c:numCache>
                <c:formatCode>0.000</c:formatCode>
                <c:ptCount val="12"/>
                <c:pt idx="0">
                  <c:v>96.95</c:v>
                </c:pt>
                <c:pt idx="1">
                  <c:v>100.36</c:v>
                </c:pt>
                <c:pt idx="2">
                  <c:v>101.5</c:v>
                </c:pt>
                <c:pt idx="3">
                  <c:v>101.5</c:v>
                </c:pt>
                <c:pt idx="4">
                  <c:v>101.5</c:v>
                </c:pt>
                <c:pt idx="5">
                  <c:v>101.5</c:v>
                </c:pt>
                <c:pt idx="6">
                  <c:v>101.5</c:v>
                </c:pt>
                <c:pt idx="7">
                  <c:v>101.5</c:v>
                </c:pt>
                <c:pt idx="8">
                  <c:v>99.5</c:v>
                </c:pt>
                <c:pt idx="9">
                  <c:v>99.4</c:v>
                </c:pt>
                <c:pt idx="10">
                  <c:v>98.35</c:v>
                </c:pt>
              </c:numCache>
            </c:numRef>
          </c:yVal>
        </c:ser>
        <c:ser>
          <c:idx val="1"/>
          <c:order val="1"/>
          <c:tx>
            <c:strRef>
              <c:f>Bund!$A$139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Bund!$C$138:$N$138</c:f>
              <c:numCache>
                <c:formatCode>0.000</c:formatCode>
                <c:ptCount val="12"/>
                <c:pt idx="0">
                  <c:v>0</c:v>
                </c:pt>
                <c:pt idx="1">
                  <c:v>5.0999999999999996</c:v>
                </c:pt>
                <c:pt idx="2">
                  <c:v>6.8</c:v>
                </c:pt>
                <c:pt idx="3">
                  <c:v>7.1</c:v>
                </c:pt>
                <c:pt idx="4">
                  <c:v>8.3000000000000007</c:v>
                </c:pt>
                <c:pt idx="5">
                  <c:v>8.4</c:v>
                </c:pt>
                <c:pt idx="6">
                  <c:v>9.1</c:v>
                </c:pt>
                <c:pt idx="7">
                  <c:v>9.8000000000000007</c:v>
                </c:pt>
                <c:pt idx="8">
                  <c:v>13.8</c:v>
                </c:pt>
                <c:pt idx="9">
                  <c:v>14</c:v>
                </c:pt>
                <c:pt idx="10">
                  <c:v>16.100000000000001</c:v>
                </c:pt>
              </c:numCache>
            </c:numRef>
          </c:xVal>
          <c:yVal>
            <c:numRef>
              <c:f>Bund!$C$139:$N$139</c:f>
              <c:numCache>
                <c:formatCode>0.000</c:formatCode>
                <c:ptCount val="12"/>
                <c:pt idx="0">
                  <c:v>96.95</c:v>
                </c:pt>
                <c:pt idx="1">
                  <c:v>100.36</c:v>
                </c:pt>
                <c:pt idx="2">
                  <c:v>100.904</c:v>
                </c:pt>
                <c:pt idx="3">
                  <c:v>101</c:v>
                </c:pt>
                <c:pt idx="4">
                  <c:v>101</c:v>
                </c:pt>
                <c:pt idx="5">
                  <c:v>101</c:v>
                </c:pt>
                <c:pt idx="6">
                  <c:v>101</c:v>
                </c:pt>
                <c:pt idx="7">
                  <c:v>100.605</c:v>
                </c:pt>
                <c:pt idx="8">
                  <c:v>98.35</c:v>
                </c:pt>
                <c:pt idx="9">
                  <c:v>98.35</c:v>
                </c:pt>
                <c:pt idx="10">
                  <c:v>98.35</c:v>
                </c:pt>
              </c:numCache>
            </c:numRef>
          </c:yVal>
        </c:ser>
        <c:axId val="60856576"/>
        <c:axId val="60862464"/>
      </c:scatterChart>
      <c:valAx>
        <c:axId val="60856576"/>
        <c:scaling>
          <c:orientation val="minMax"/>
          <c:max val="17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60862464"/>
        <c:crossesAt val="-2"/>
        <c:crossBetween val="midCat"/>
        <c:majorUnit val="1"/>
        <c:minorUnit val="0.5"/>
      </c:valAx>
      <c:valAx>
        <c:axId val="60862464"/>
        <c:scaling>
          <c:orientation val="minMax"/>
          <c:max val="102"/>
          <c:min val="96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60856576"/>
        <c:crosses val="max"/>
        <c:crossBetween val="midCat"/>
        <c:majorUnit val="1"/>
      </c:valAx>
    </c:plotArea>
    <c:dispBlanksAs val="gap"/>
  </c:chart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(3)'!$A$962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(3)'!$C$961:$I$961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(3)'!$C$962:$I$962</c:f>
              <c:numCache>
                <c:formatCode>0.000</c:formatCode>
                <c:ptCount val="7"/>
                <c:pt idx="0">
                  <c:v>96.04</c:v>
                </c:pt>
                <c:pt idx="1">
                  <c:v>94.92</c:v>
                </c:pt>
                <c:pt idx="2">
                  <c:v>94.92</c:v>
                </c:pt>
                <c:pt idx="3">
                  <c:v>94.92</c:v>
                </c:pt>
                <c:pt idx="4">
                  <c:v>94.92</c:v>
                </c:pt>
                <c:pt idx="5">
                  <c:v>94.92</c:v>
                </c:pt>
                <c:pt idx="6">
                  <c:v>96.22</c:v>
                </c:pt>
              </c:numCache>
            </c:numRef>
          </c:yVal>
        </c:ser>
        <c:ser>
          <c:idx val="1"/>
          <c:order val="1"/>
          <c:tx>
            <c:strRef>
              <c:f>'fc (3)'!$A$964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(3)'!$C$963:$I$963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(3)'!$C$964:$I$964</c:f>
              <c:numCache>
                <c:formatCode>0.000</c:formatCode>
                <c:ptCount val="7"/>
                <c:pt idx="0">
                  <c:v>96.04</c:v>
                </c:pt>
                <c:pt idx="1">
                  <c:v>95.456999999999994</c:v>
                </c:pt>
                <c:pt idx="2">
                  <c:v>95.36</c:v>
                </c:pt>
                <c:pt idx="3">
                  <c:v>95.36</c:v>
                </c:pt>
                <c:pt idx="4">
                  <c:v>95.36</c:v>
                </c:pt>
                <c:pt idx="5">
                  <c:v>95.456000000000003</c:v>
                </c:pt>
                <c:pt idx="6">
                  <c:v>96.22</c:v>
                </c:pt>
              </c:numCache>
            </c:numRef>
          </c:yVal>
        </c:ser>
        <c:axId val="71285376"/>
        <c:axId val="71287168"/>
      </c:scatterChart>
      <c:valAx>
        <c:axId val="71285376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1287168"/>
        <c:crossesAt val="-2"/>
        <c:crossBetween val="midCat"/>
        <c:majorUnit val="1"/>
        <c:minorUnit val="0.5"/>
      </c:valAx>
      <c:valAx>
        <c:axId val="71287168"/>
        <c:scaling>
          <c:orientation val="minMax"/>
          <c:max val="100"/>
          <c:min val="94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128537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44" r="0.75000000000001144" t="1" header="0.5" footer="0.5"/>
    <c:pageSetup paperSize="9" orientation="landscape" horizontalDpi="360" verticalDpi="36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(3)'!$A$1001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(3)'!$C$1000:$I$1000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(3)'!$C$1001:$I$1001</c:f>
              <c:numCache>
                <c:formatCode>0.000</c:formatCode>
                <c:ptCount val="7"/>
                <c:pt idx="0">
                  <c:v>96.16</c:v>
                </c:pt>
                <c:pt idx="1">
                  <c:v>94.83</c:v>
                </c:pt>
                <c:pt idx="2">
                  <c:v>94.83</c:v>
                </c:pt>
                <c:pt idx="3">
                  <c:v>94.83</c:v>
                </c:pt>
                <c:pt idx="4">
                  <c:v>94.83</c:v>
                </c:pt>
                <c:pt idx="5">
                  <c:v>94.83</c:v>
                </c:pt>
                <c:pt idx="6">
                  <c:v>96.3</c:v>
                </c:pt>
              </c:numCache>
            </c:numRef>
          </c:yVal>
        </c:ser>
        <c:ser>
          <c:idx val="1"/>
          <c:order val="1"/>
          <c:tx>
            <c:strRef>
              <c:f>'fc (3)'!$A$1003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(3)'!$C$1002:$I$1002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(3)'!$C$1003:$I$1003</c:f>
              <c:numCache>
                <c:formatCode>0.000</c:formatCode>
                <c:ptCount val="7"/>
                <c:pt idx="0">
                  <c:v>96.16</c:v>
                </c:pt>
                <c:pt idx="1">
                  <c:v>95.363</c:v>
                </c:pt>
                <c:pt idx="2">
                  <c:v>95.23</c:v>
                </c:pt>
                <c:pt idx="3">
                  <c:v>95.23</c:v>
                </c:pt>
                <c:pt idx="4">
                  <c:v>95.23</c:v>
                </c:pt>
                <c:pt idx="5">
                  <c:v>95.367999999999995</c:v>
                </c:pt>
                <c:pt idx="6">
                  <c:v>96.3</c:v>
                </c:pt>
              </c:numCache>
            </c:numRef>
          </c:yVal>
        </c:ser>
        <c:axId val="71639040"/>
        <c:axId val="71640576"/>
      </c:scatterChart>
      <c:valAx>
        <c:axId val="71639040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1640576"/>
        <c:crossesAt val="-2"/>
        <c:crossBetween val="midCat"/>
        <c:majorUnit val="1"/>
        <c:minorUnit val="0.5"/>
      </c:valAx>
      <c:valAx>
        <c:axId val="71640576"/>
        <c:scaling>
          <c:orientation val="minMax"/>
          <c:max val="100"/>
          <c:min val="94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1639040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66" r="0.75000000000001166" t="1" header="0.5" footer="0.5"/>
    <c:pageSetup paperSize="9" orientation="landscape" horizontalDpi="360" verticalDpi="360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(3)'!$A$1046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(3)'!$C$1045:$I$1045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(3)'!$C$1046:$I$1046</c:f>
              <c:numCache>
                <c:formatCode>0.000</c:formatCode>
                <c:ptCount val="7"/>
                <c:pt idx="0">
                  <c:v>95.97</c:v>
                </c:pt>
                <c:pt idx="1">
                  <c:v>94.74</c:v>
                </c:pt>
                <c:pt idx="2">
                  <c:v>94.74</c:v>
                </c:pt>
                <c:pt idx="3">
                  <c:v>94.74</c:v>
                </c:pt>
                <c:pt idx="4">
                  <c:v>94.74</c:v>
                </c:pt>
                <c:pt idx="5">
                  <c:v>94.74</c:v>
                </c:pt>
                <c:pt idx="6">
                  <c:v>96.17</c:v>
                </c:pt>
              </c:numCache>
            </c:numRef>
          </c:yVal>
        </c:ser>
        <c:ser>
          <c:idx val="1"/>
          <c:order val="1"/>
          <c:tx>
            <c:strRef>
              <c:f>'fc (3)'!$A$1048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(3)'!$C$1047:$I$1047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(3)'!$C$1048:$I$1048</c:f>
              <c:numCache>
                <c:formatCode>0.000</c:formatCode>
                <c:ptCount val="7"/>
                <c:pt idx="0">
                  <c:v>95.97</c:v>
                </c:pt>
                <c:pt idx="1">
                  <c:v>95.325000000000003</c:v>
                </c:pt>
                <c:pt idx="2">
                  <c:v>95.22</c:v>
                </c:pt>
                <c:pt idx="3">
                  <c:v>95.22</c:v>
                </c:pt>
                <c:pt idx="4">
                  <c:v>95.22</c:v>
                </c:pt>
                <c:pt idx="5">
                  <c:v>95.325999999999993</c:v>
                </c:pt>
                <c:pt idx="6">
                  <c:v>96.17</c:v>
                </c:pt>
              </c:numCache>
            </c:numRef>
          </c:yVal>
        </c:ser>
        <c:axId val="71682304"/>
        <c:axId val="71684096"/>
      </c:scatterChart>
      <c:valAx>
        <c:axId val="71682304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1684096"/>
        <c:crossesAt val="-2"/>
        <c:crossBetween val="midCat"/>
        <c:majorUnit val="1"/>
        <c:minorUnit val="0.5"/>
      </c:valAx>
      <c:valAx>
        <c:axId val="71684096"/>
        <c:scaling>
          <c:orientation val="minMax"/>
          <c:max val="99"/>
          <c:min val="93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1682304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88" r="0.75000000000001188" t="1" header="0.5" footer="0.5"/>
    <c:pageSetup paperSize="9" orientation="landscape" horizontalDpi="360" verticalDpi="36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(3)'!$A$1085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(3)'!$C$1084:$I$1084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(3)'!$C$1085:$I$1085</c:f>
              <c:numCache>
                <c:formatCode>0.000</c:formatCode>
                <c:ptCount val="7"/>
                <c:pt idx="0">
                  <c:v>95.92</c:v>
                </c:pt>
                <c:pt idx="1">
                  <c:v>94.56</c:v>
                </c:pt>
                <c:pt idx="2">
                  <c:v>94.56</c:v>
                </c:pt>
                <c:pt idx="3">
                  <c:v>94.56</c:v>
                </c:pt>
                <c:pt idx="4">
                  <c:v>94.56</c:v>
                </c:pt>
                <c:pt idx="5">
                  <c:v>94.56</c:v>
                </c:pt>
                <c:pt idx="6">
                  <c:v>96.07</c:v>
                </c:pt>
              </c:numCache>
            </c:numRef>
          </c:yVal>
        </c:ser>
        <c:ser>
          <c:idx val="1"/>
          <c:order val="1"/>
          <c:tx>
            <c:strRef>
              <c:f>'fc (3)'!$A$1087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(3)'!$C$1086:$I$1086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(3)'!$C$1087:$I$1087</c:f>
              <c:numCache>
                <c:formatCode>0.000</c:formatCode>
                <c:ptCount val="7"/>
                <c:pt idx="0">
                  <c:v>95.92</c:v>
                </c:pt>
                <c:pt idx="1">
                  <c:v>95.131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95.135000000000005</c:v>
                </c:pt>
                <c:pt idx="6">
                  <c:v>96.07</c:v>
                </c:pt>
              </c:numCache>
            </c:numRef>
          </c:yVal>
        </c:ser>
        <c:axId val="71773568"/>
        <c:axId val="71779456"/>
      </c:scatterChart>
      <c:valAx>
        <c:axId val="71773568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1779456"/>
        <c:crossesAt val="-2"/>
        <c:crossBetween val="midCat"/>
        <c:majorUnit val="1"/>
        <c:minorUnit val="0.5"/>
      </c:valAx>
      <c:valAx>
        <c:axId val="71779456"/>
        <c:scaling>
          <c:orientation val="minMax"/>
          <c:max val="99"/>
          <c:min val="93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1773568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21" r="0.7500000000000121" t="1" header="0.5" footer="0.5"/>
    <c:pageSetup paperSize="9" orientation="landscape" horizontalDpi="360" verticalDpi="36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(3)'!$A$1128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(3)'!$C$1127:$I$1127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(3)'!$C$1128:$I$1128</c:f>
              <c:numCache>
                <c:formatCode>0.000</c:formatCode>
                <c:ptCount val="7"/>
                <c:pt idx="0">
                  <c:v>95.89</c:v>
                </c:pt>
                <c:pt idx="1">
                  <c:v>94.57</c:v>
                </c:pt>
                <c:pt idx="2">
                  <c:v>94.57</c:v>
                </c:pt>
                <c:pt idx="3">
                  <c:v>94.57</c:v>
                </c:pt>
                <c:pt idx="4">
                  <c:v>94.57</c:v>
                </c:pt>
                <c:pt idx="5">
                  <c:v>94.57</c:v>
                </c:pt>
                <c:pt idx="6">
                  <c:v>96.07</c:v>
                </c:pt>
              </c:numCache>
            </c:numRef>
          </c:yVal>
        </c:ser>
        <c:ser>
          <c:idx val="1"/>
          <c:order val="1"/>
          <c:tx>
            <c:strRef>
              <c:f>'fc (3)'!$A$1130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(3)'!$C$1129:$I$1129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(3)'!$C$1130:$I$1130</c:f>
              <c:numCache>
                <c:formatCode>0.000</c:formatCode>
                <c:ptCount val="7"/>
                <c:pt idx="0">
                  <c:v>95.89</c:v>
                </c:pt>
                <c:pt idx="1">
                  <c:v>95.100999999999999</c:v>
                </c:pt>
                <c:pt idx="2">
                  <c:v>94.97</c:v>
                </c:pt>
                <c:pt idx="3">
                  <c:v>94.97</c:v>
                </c:pt>
                <c:pt idx="4">
                  <c:v>94.97</c:v>
                </c:pt>
                <c:pt idx="5">
                  <c:v>95.091999999999999</c:v>
                </c:pt>
                <c:pt idx="6">
                  <c:v>96.07</c:v>
                </c:pt>
              </c:numCache>
            </c:numRef>
          </c:yVal>
        </c:ser>
        <c:axId val="71828224"/>
        <c:axId val="71829760"/>
      </c:scatterChart>
      <c:valAx>
        <c:axId val="71828224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1829760"/>
        <c:crossesAt val="-2"/>
        <c:crossBetween val="midCat"/>
        <c:majorUnit val="1"/>
        <c:minorUnit val="0.5"/>
      </c:valAx>
      <c:valAx>
        <c:axId val="71829760"/>
        <c:scaling>
          <c:orientation val="minMax"/>
          <c:max val="99"/>
          <c:min val="93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1828224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232" r="0.75000000000001232" t="1" header="0.5" footer="0.5"/>
    <c:pageSetup paperSize="9" orientation="landscape" horizontalDpi="360" verticalDpi="36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(3)'!$A$1169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(3)'!$C$1168:$I$1168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(3)'!$C$1169:$I$1169</c:f>
              <c:numCache>
                <c:formatCode>0.000</c:formatCode>
                <c:ptCount val="7"/>
                <c:pt idx="0">
                  <c:v>95.69</c:v>
                </c:pt>
                <c:pt idx="1">
                  <c:v>94.55</c:v>
                </c:pt>
                <c:pt idx="2">
                  <c:v>94.55</c:v>
                </c:pt>
                <c:pt idx="3">
                  <c:v>94.55</c:v>
                </c:pt>
                <c:pt idx="4">
                  <c:v>94.55</c:v>
                </c:pt>
                <c:pt idx="5">
                  <c:v>94.55</c:v>
                </c:pt>
                <c:pt idx="6">
                  <c:v>95.86</c:v>
                </c:pt>
              </c:numCache>
            </c:numRef>
          </c:yVal>
        </c:ser>
        <c:ser>
          <c:idx val="1"/>
          <c:order val="1"/>
          <c:tx>
            <c:strRef>
              <c:f>'fc (3)'!$A$1171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(3)'!$C$1170:$I$1170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(3)'!$C$1171:$I$1171</c:f>
              <c:numCache>
                <c:formatCode>0.000</c:formatCode>
                <c:ptCount val="7"/>
                <c:pt idx="0">
                  <c:v>95.69</c:v>
                </c:pt>
                <c:pt idx="1">
                  <c:v>95.075000000000003</c:v>
                </c:pt>
                <c:pt idx="2">
                  <c:v>94.97</c:v>
                </c:pt>
                <c:pt idx="3">
                  <c:v>94.97</c:v>
                </c:pt>
                <c:pt idx="4">
                  <c:v>94.97</c:v>
                </c:pt>
                <c:pt idx="5">
                  <c:v>95.081000000000003</c:v>
                </c:pt>
                <c:pt idx="6">
                  <c:v>95.86</c:v>
                </c:pt>
              </c:numCache>
            </c:numRef>
          </c:yVal>
        </c:ser>
        <c:axId val="71849856"/>
        <c:axId val="71851392"/>
      </c:scatterChart>
      <c:valAx>
        <c:axId val="71849856"/>
        <c:scaling>
          <c:orientation val="minMax"/>
          <c:max val="8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1851392"/>
        <c:crossesAt val="-2"/>
        <c:crossBetween val="midCat"/>
        <c:majorUnit val="1"/>
        <c:minorUnit val="0.5"/>
      </c:valAx>
      <c:valAx>
        <c:axId val="71851392"/>
        <c:scaling>
          <c:orientation val="minMax"/>
          <c:max val="99"/>
          <c:min val="93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184985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21" r="0.75000000000001121" t="1" header="0.5" footer="0.5"/>
    <c:pageSetup paperSize="9" orientation="landscape" horizontalDpi="360" verticalDpi="36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(3)'!$A$1217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(3)'!$C$1216:$I$1216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(3)'!$C$1217:$I$1217</c:f>
              <c:numCache>
                <c:formatCode>0.000</c:formatCode>
                <c:ptCount val="7"/>
                <c:pt idx="0">
                  <c:v>95.4</c:v>
                </c:pt>
                <c:pt idx="1">
                  <c:v>94.5</c:v>
                </c:pt>
                <c:pt idx="2">
                  <c:v>94.5</c:v>
                </c:pt>
                <c:pt idx="3">
                  <c:v>94.5</c:v>
                </c:pt>
                <c:pt idx="4">
                  <c:v>94.5</c:v>
                </c:pt>
                <c:pt idx="5">
                  <c:v>94.5</c:v>
                </c:pt>
                <c:pt idx="6">
                  <c:v>95.6</c:v>
                </c:pt>
              </c:numCache>
            </c:numRef>
          </c:yVal>
        </c:ser>
        <c:ser>
          <c:idx val="1"/>
          <c:order val="1"/>
          <c:tx>
            <c:strRef>
              <c:f>'fc (3)'!$A$1219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(3)'!$C$1218:$I$1218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(3)'!$C$1219:$I$1219</c:f>
              <c:numCache>
                <c:formatCode>0.000</c:formatCode>
                <c:ptCount val="7"/>
                <c:pt idx="0">
                  <c:v>95.4</c:v>
                </c:pt>
                <c:pt idx="1">
                  <c:v>95.006</c:v>
                </c:pt>
                <c:pt idx="2">
                  <c:v>94.94</c:v>
                </c:pt>
                <c:pt idx="3">
                  <c:v>94.94</c:v>
                </c:pt>
                <c:pt idx="4">
                  <c:v>94.94</c:v>
                </c:pt>
                <c:pt idx="5">
                  <c:v>95.013000000000005</c:v>
                </c:pt>
                <c:pt idx="6">
                  <c:v>95.6</c:v>
                </c:pt>
              </c:numCache>
            </c:numRef>
          </c:yVal>
        </c:ser>
        <c:axId val="71879680"/>
        <c:axId val="71881472"/>
      </c:scatterChart>
      <c:valAx>
        <c:axId val="71879680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1881472"/>
        <c:crossesAt val="-2"/>
        <c:crossBetween val="midCat"/>
        <c:majorUnit val="1"/>
        <c:minorUnit val="0.5"/>
      </c:valAx>
      <c:valAx>
        <c:axId val="71881472"/>
        <c:scaling>
          <c:orientation val="minMax"/>
          <c:max val="99"/>
          <c:min val="93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1879680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44" r="0.75000000000001144" t="1" header="0.5" footer="0.5"/>
    <c:pageSetup paperSize="9" orientation="landscape" horizontalDpi="360" verticalDpi="36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(3)'!$A$1252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(3)'!$C$1251:$I$1251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(3)'!$C$1252:$I$1252</c:f>
              <c:numCache>
                <c:formatCode>0.000</c:formatCode>
                <c:ptCount val="7"/>
                <c:pt idx="0">
                  <c:v>95.4</c:v>
                </c:pt>
                <c:pt idx="1">
                  <c:v>94.42</c:v>
                </c:pt>
                <c:pt idx="2">
                  <c:v>94.42</c:v>
                </c:pt>
                <c:pt idx="3">
                  <c:v>94.42</c:v>
                </c:pt>
                <c:pt idx="4">
                  <c:v>94.42</c:v>
                </c:pt>
                <c:pt idx="5">
                  <c:v>94.42</c:v>
                </c:pt>
                <c:pt idx="6">
                  <c:v>95.6</c:v>
                </c:pt>
              </c:numCache>
            </c:numRef>
          </c:yVal>
        </c:ser>
        <c:ser>
          <c:idx val="1"/>
          <c:order val="1"/>
          <c:tx>
            <c:strRef>
              <c:f>'fc (3)'!$A$1254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(3)'!$C$1253:$I$1253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(3)'!$C$1254:$I$1254</c:f>
              <c:numCache>
                <c:formatCode>0.000</c:formatCode>
                <c:ptCount val="7"/>
                <c:pt idx="0">
                  <c:v>95.4</c:v>
                </c:pt>
                <c:pt idx="1">
                  <c:v>94.965000000000003</c:v>
                </c:pt>
                <c:pt idx="2">
                  <c:v>94.924999999999997</c:v>
                </c:pt>
                <c:pt idx="3">
                  <c:v>94.924999999999997</c:v>
                </c:pt>
                <c:pt idx="4">
                  <c:v>94.924999999999997</c:v>
                </c:pt>
                <c:pt idx="5">
                  <c:v>95.013000000000005</c:v>
                </c:pt>
                <c:pt idx="6">
                  <c:v>95.6</c:v>
                </c:pt>
              </c:numCache>
            </c:numRef>
          </c:yVal>
        </c:ser>
        <c:axId val="62804352"/>
        <c:axId val="62805888"/>
      </c:scatterChart>
      <c:valAx>
        <c:axId val="62804352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2805888"/>
        <c:crossesAt val="-2"/>
        <c:crossBetween val="midCat"/>
        <c:majorUnit val="1"/>
        <c:minorUnit val="0.5"/>
      </c:valAx>
      <c:valAx>
        <c:axId val="62805888"/>
        <c:scaling>
          <c:orientation val="minMax"/>
          <c:max val="99"/>
          <c:min val="94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2804352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66" r="0.75000000000001166" t="1" header="0.5" footer="0.5"/>
    <c:pageSetup paperSize="9" orientation="landscape" horizontalDpi="360" verticalDpi="36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(3)'!$A$1299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(3)'!$C$1298:$I$1298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(3)'!$C$1299:$I$1299</c:f>
              <c:numCache>
                <c:formatCode>0.000</c:formatCode>
                <c:ptCount val="7"/>
                <c:pt idx="0">
                  <c:v>95.64</c:v>
                </c:pt>
                <c:pt idx="1">
                  <c:v>94.34</c:v>
                </c:pt>
                <c:pt idx="2">
                  <c:v>94.34</c:v>
                </c:pt>
                <c:pt idx="3">
                  <c:v>94.34</c:v>
                </c:pt>
                <c:pt idx="4">
                  <c:v>94.34</c:v>
                </c:pt>
                <c:pt idx="5">
                  <c:v>94.34</c:v>
                </c:pt>
                <c:pt idx="6">
                  <c:v>95.82</c:v>
                </c:pt>
              </c:numCache>
            </c:numRef>
          </c:yVal>
        </c:ser>
        <c:ser>
          <c:idx val="1"/>
          <c:order val="1"/>
          <c:tx>
            <c:strRef>
              <c:f>'fc (3)'!$A$1301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(3)'!$C$1300:$I$1300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(3)'!$C$1301:$I$1301</c:f>
              <c:numCache>
                <c:formatCode>0.000</c:formatCode>
                <c:ptCount val="7"/>
                <c:pt idx="0">
                  <c:v>95.64</c:v>
                </c:pt>
                <c:pt idx="1">
                  <c:v>94.903000000000006</c:v>
                </c:pt>
                <c:pt idx="2">
                  <c:v>94.78</c:v>
                </c:pt>
                <c:pt idx="3">
                  <c:v>94.78</c:v>
                </c:pt>
                <c:pt idx="4">
                  <c:v>94.78</c:v>
                </c:pt>
                <c:pt idx="5">
                  <c:v>94.896000000000001</c:v>
                </c:pt>
                <c:pt idx="6">
                  <c:v>95.82</c:v>
                </c:pt>
              </c:numCache>
            </c:numRef>
          </c:yVal>
        </c:ser>
        <c:axId val="62834176"/>
        <c:axId val="62835712"/>
      </c:scatterChart>
      <c:valAx>
        <c:axId val="62834176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2835712"/>
        <c:crossesAt val="-2"/>
        <c:crossBetween val="midCat"/>
        <c:majorUnit val="1"/>
        <c:minorUnit val="0.5"/>
      </c:valAx>
      <c:valAx>
        <c:axId val="62835712"/>
        <c:scaling>
          <c:orientation val="minMax"/>
          <c:max val="99"/>
          <c:min val="93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6283417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88" r="0.75000000000001188" t="1" header="0.5" footer="0.5"/>
    <c:pageSetup paperSize="9" orientation="landscape" horizontalDpi="360" verticalDpi="36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(3)'!$A$1336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(3)'!$C$1335:$I$1335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(3)'!$C$1336:$I$1336</c:f>
              <c:numCache>
                <c:formatCode>0.000</c:formatCode>
                <c:ptCount val="7"/>
                <c:pt idx="0">
                  <c:v>95.61</c:v>
                </c:pt>
                <c:pt idx="1">
                  <c:v>94.18</c:v>
                </c:pt>
                <c:pt idx="2">
                  <c:v>94.18</c:v>
                </c:pt>
                <c:pt idx="3">
                  <c:v>94.18</c:v>
                </c:pt>
                <c:pt idx="4">
                  <c:v>94.18</c:v>
                </c:pt>
                <c:pt idx="5">
                  <c:v>94.18</c:v>
                </c:pt>
                <c:pt idx="6">
                  <c:v>95.78</c:v>
                </c:pt>
              </c:numCache>
            </c:numRef>
          </c:yVal>
        </c:ser>
        <c:ser>
          <c:idx val="1"/>
          <c:order val="1"/>
          <c:tx>
            <c:strRef>
              <c:f>'fc (3)'!$A$1338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(3)'!$C$1337:$I$1337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(3)'!$C$1338:$I$1338</c:f>
              <c:numCache>
                <c:formatCode>0.000</c:formatCode>
                <c:ptCount val="7"/>
                <c:pt idx="0">
                  <c:v>95.61</c:v>
                </c:pt>
                <c:pt idx="1">
                  <c:v>94.820999999999998</c:v>
                </c:pt>
                <c:pt idx="2">
                  <c:v>94.69</c:v>
                </c:pt>
                <c:pt idx="3">
                  <c:v>94.69</c:v>
                </c:pt>
                <c:pt idx="4">
                  <c:v>94.69</c:v>
                </c:pt>
                <c:pt idx="5">
                  <c:v>94.825999999999993</c:v>
                </c:pt>
                <c:pt idx="6">
                  <c:v>95.78</c:v>
                </c:pt>
              </c:numCache>
            </c:numRef>
          </c:yVal>
        </c:ser>
        <c:axId val="71899776"/>
        <c:axId val="71917952"/>
      </c:scatterChart>
      <c:valAx>
        <c:axId val="71899776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1917952"/>
        <c:crossesAt val="-2"/>
        <c:crossBetween val="midCat"/>
        <c:majorUnit val="1"/>
        <c:minorUnit val="0.5"/>
      </c:valAx>
      <c:valAx>
        <c:axId val="71917952"/>
        <c:scaling>
          <c:orientation val="minMax"/>
          <c:max val="99"/>
          <c:min val="93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189977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232" r="0.75000000000001232" t="1" header="0.5" footer="0.5"/>
    <c:pageSetup paperSize="9" orientation="landscape" horizontalDpi="360" verticalDpi="36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2063402093064244E-2"/>
          <c:y val="0.17300487339446771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Bund!$A$29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Bund!$C$28:$M$28</c:f>
              <c:numCache>
                <c:formatCode>0.000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4.2</c:v>
                </c:pt>
                <c:pt idx="3">
                  <c:v>4.5</c:v>
                </c:pt>
                <c:pt idx="4">
                  <c:v>5.7</c:v>
                </c:pt>
                <c:pt idx="5">
                  <c:v>5.8</c:v>
                </c:pt>
                <c:pt idx="6">
                  <c:v>6.8</c:v>
                </c:pt>
                <c:pt idx="7">
                  <c:v>7.2</c:v>
                </c:pt>
                <c:pt idx="8">
                  <c:v>10.7</c:v>
                </c:pt>
                <c:pt idx="9">
                  <c:v>11</c:v>
                </c:pt>
                <c:pt idx="10">
                  <c:v>12.7</c:v>
                </c:pt>
              </c:numCache>
            </c:numRef>
          </c:xVal>
          <c:yVal>
            <c:numRef>
              <c:f>Bund!$C$29:$M$29</c:f>
              <c:numCache>
                <c:formatCode>0.000</c:formatCode>
                <c:ptCount val="11"/>
                <c:pt idx="0">
                  <c:v>98.68</c:v>
                </c:pt>
                <c:pt idx="1">
                  <c:v>100.69</c:v>
                </c:pt>
                <c:pt idx="2">
                  <c:v>101.5</c:v>
                </c:pt>
                <c:pt idx="3">
                  <c:v>101.5</c:v>
                </c:pt>
                <c:pt idx="4">
                  <c:v>101.5</c:v>
                </c:pt>
                <c:pt idx="5">
                  <c:v>101.5</c:v>
                </c:pt>
                <c:pt idx="6">
                  <c:v>101.5</c:v>
                </c:pt>
                <c:pt idx="7">
                  <c:v>101.5</c:v>
                </c:pt>
                <c:pt idx="8">
                  <c:v>99.75</c:v>
                </c:pt>
                <c:pt idx="9">
                  <c:v>99.6</c:v>
                </c:pt>
                <c:pt idx="10">
                  <c:v>98.75</c:v>
                </c:pt>
              </c:numCache>
            </c:numRef>
          </c:yVal>
        </c:ser>
        <c:ser>
          <c:idx val="1"/>
          <c:order val="1"/>
          <c:tx>
            <c:strRef>
              <c:f>Bund!$A$31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Bund!$C$30:$M$30</c:f>
              <c:numCache>
                <c:formatCode>0.000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4.2</c:v>
                </c:pt>
                <c:pt idx="3">
                  <c:v>4.5</c:v>
                </c:pt>
                <c:pt idx="4">
                  <c:v>5.7</c:v>
                </c:pt>
                <c:pt idx="5">
                  <c:v>5.8</c:v>
                </c:pt>
                <c:pt idx="6">
                  <c:v>6.8</c:v>
                </c:pt>
                <c:pt idx="7">
                  <c:v>7.2</c:v>
                </c:pt>
                <c:pt idx="8">
                  <c:v>10.7</c:v>
                </c:pt>
                <c:pt idx="9">
                  <c:v>11</c:v>
                </c:pt>
                <c:pt idx="10">
                  <c:v>12.7</c:v>
                </c:pt>
              </c:numCache>
            </c:numRef>
          </c:xVal>
          <c:yVal>
            <c:numRef>
              <c:f>Bund!$C$31:$M$31</c:f>
              <c:numCache>
                <c:formatCode>0.000</c:formatCode>
                <c:ptCount val="11"/>
                <c:pt idx="0">
                  <c:v>98.68</c:v>
                </c:pt>
                <c:pt idx="1">
                  <c:v>100.69</c:v>
                </c:pt>
                <c:pt idx="2">
                  <c:v>100.938</c:v>
                </c:pt>
                <c:pt idx="3">
                  <c:v>101</c:v>
                </c:pt>
                <c:pt idx="4">
                  <c:v>101</c:v>
                </c:pt>
                <c:pt idx="5">
                  <c:v>101</c:v>
                </c:pt>
                <c:pt idx="6">
                  <c:v>101</c:v>
                </c:pt>
                <c:pt idx="7">
                  <c:v>100.774</c:v>
                </c:pt>
                <c:pt idx="8">
                  <c:v>98.8</c:v>
                </c:pt>
                <c:pt idx="9">
                  <c:v>98.793000000000006</c:v>
                </c:pt>
                <c:pt idx="10">
                  <c:v>98.75</c:v>
                </c:pt>
              </c:numCache>
            </c:numRef>
          </c:yVal>
        </c:ser>
        <c:axId val="60910976"/>
        <c:axId val="60916864"/>
      </c:scatterChart>
      <c:valAx>
        <c:axId val="60910976"/>
        <c:scaling>
          <c:orientation val="minMax"/>
          <c:max val="14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60916864"/>
        <c:crossesAt val="-2"/>
        <c:crossBetween val="midCat"/>
        <c:majorUnit val="1"/>
        <c:minorUnit val="1"/>
      </c:valAx>
      <c:valAx>
        <c:axId val="60916864"/>
        <c:scaling>
          <c:orientation val="minMax"/>
          <c:max val="102"/>
          <c:min val="97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60910976"/>
        <c:crosses val="max"/>
        <c:crossBetween val="midCat"/>
        <c:majorUnit val="1"/>
      </c:valAx>
    </c:plotArea>
    <c:dispBlanksAs val="gap"/>
  </c:chart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(3)'!$A$1377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(3)'!$C$1376:$I$1376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(3)'!$C$1377:$I$1377</c:f>
              <c:numCache>
                <c:formatCode>0.000</c:formatCode>
                <c:ptCount val="7"/>
                <c:pt idx="0">
                  <c:v>95.55</c:v>
                </c:pt>
                <c:pt idx="1">
                  <c:v>94.12</c:v>
                </c:pt>
                <c:pt idx="2">
                  <c:v>94.12</c:v>
                </c:pt>
                <c:pt idx="3">
                  <c:v>94.12</c:v>
                </c:pt>
                <c:pt idx="4">
                  <c:v>94.12</c:v>
                </c:pt>
                <c:pt idx="5">
                  <c:v>94.12</c:v>
                </c:pt>
                <c:pt idx="6">
                  <c:v>95.75</c:v>
                </c:pt>
              </c:numCache>
            </c:numRef>
          </c:yVal>
        </c:ser>
        <c:ser>
          <c:idx val="1"/>
          <c:order val="1"/>
          <c:tx>
            <c:strRef>
              <c:f>'fc (3)'!$A$1379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(3)'!$C$1378:$I$1378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(3)'!$C$1379:$I$1379</c:f>
              <c:numCache>
                <c:formatCode>0.000</c:formatCode>
                <c:ptCount val="7"/>
                <c:pt idx="0">
                  <c:v>95.55</c:v>
                </c:pt>
                <c:pt idx="1">
                  <c:v>94.736000000000004</c:v>
                </c:pt>
                <c:pt idx="2">
                  <c:v>94.6</c:v>
                </c:pt>
                <c:pt idx="3">
                  <c:v>94.6</c:v>
                </c:pt>
                <c:pt idx="4">
                  <c:v>94.6</c:v>
                </c:pt>
                <c:pt idx="5">
                  <c:v>94.727999999999994</c:v>
                </c:pt>
                <c:pt idx="6">
                  <c:v>95.75</c:v>
                </c:pt>
              </c:numCache>
            </c:numRef>
          </c:yVal>
        </c:ser>
        <c:axId val="71950336"/>
        <c:axId val="71951872"/>
      </c:scatterChart>
      <c:valAx>
        <c:axId val="71950336"/>
        <c:scaling>
          <c:orientation val="minMax"/>
          <c:max val="8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1951872"/>
        <c:crossesAt val="-2"/>
        <c:crossBetween val="midCat"/>
        <c:majorUnit val="1"/>
        <c:minorUnit val="0.5"/>
      </c:valAx>
      <c:valAx>
        <c:axId val="71951872"/>
        <c:scaling>
          <c:orientation val="minMax"/>
          <c:max val="99"/>
          <c:min val="93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195033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21" r="0.75000000000001121" t="1" header="0.5" footer="0.5"/>
    <c:pageSetup paperSize="9" orientation="landscape" horizontalDpi="360" verticalDpi="36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(3)'!$A$1420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(3)'!$C$1419:$I$1419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(3)'!$C$1420:$I$1420</c:f>
              <c:numCache>
                <c:formatCode>0.000</c:formatCode>
                <c:ptCount val="7"/>
                <c:pt idx="0">
                  <c:v>95.39</c:v>
                </c:pt>
                <c:pt idx="1">
                  <c:v>94.11</c:v>
                </c:pt>
                <c:pt idx="2">
                  <c:v>94.11</c:v>
                </c:pt>
                <c:pt idx="3">
                  <c:v>94.11</c:v>
                </c:pt>
                <c:pt idx="4">
                  <c:v>94.11</c:v>
                </c:pt>
                <c:pt idx="5">
                  <c:v>94.11</c:v>
                </c:pt>
                <c:pt idx="6">
                  <c:v>95.54</c:v>
                </c:pt>
              </c:numCache>
            </c:numRef>
          </c:yVal>
        </c:ser>
        <c:ser>
          <c:idx val="1"/>
          <c:order val="1"/>
          <c:tx>
            <c:strRef>
              <c:f>'fc (3)'!$A$1422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(3)'!$C$1421:$I$1421</c:f>
              <c:numCache>
                <c:formatCode>0.000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(3)'!$C$1422:$I$1422</c:f>
              <c:numCache>
                <c:formatCode>0.000</c:formatCode>
                <c:ptCount val="7"/>
                <c:pt idx="0">
                  <c:v>95.39</c:v>
                </c:pt>
                <c:pt idx="1">
                  <c:v>94.653000000000006</c:v>
                </c:pt>
                <c:pt idx="2">
                  <c:v>94.53</c:v>
                </c:pt>
                <c:pt idx="3">
                  <c:v>94.53</c:v>
                </c:pt>
                <c:pt idx="4">
                  <c:v>94.53</c:v>
                </c:pt>
                <c:pt idx="5">
                  <c:v>94.656000000000006</c:v>
                </c:pt>
                <c:pt idx="6">
                  <c:v>95.54</c:v>
                </c:pt>
              </c:numCache>
            </c:numRef>
          </c:yVal>
        </c:ser>
        <c:axId val="72033408"/>
        <c:axId val="72034944"/>
      </c:scatterChart>
      <c:valAx>
        <c:axId val="72033408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2034944"/>
        <c:crossesAt val="-2"/>
        <c:crossBetween val="midCat"/>
        <c:majorUnit val="1"/>
        <c:minorUnit val="0.5"/>
      </c:valAx>
      <c:valAx>
        <c:axId val="72034944"/>
        <c:scaling>
          <c:orientation val="minMax"/>
          <c:max val="98"/>
          <c:min val="93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2033408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44" r="0.75000000000001144" t="1" header="0.5" footer="0.5"/>
    <c:pageSetup paperSize="9" orientation="landscape" horizontalDpi="360" verticalDpi="360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1"/>
          <c:order val="0"/>
          <c:tx>
            <c:strRef>
              <c:f>LS!$A$7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LS!$B$6:$Y$6</c:f>
              <c:numCache>
                <c:formatCode>0.00</c:formatCode>
                <c:ptCount val="24"/>
                <c:pt idx="0" formatCode="0.00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 formatCode="0.000">
                  <c:v>780</c:v>
                </c:pt>
                <c:pt idx="14" formatCode="0.000">
                  <c:v>840</c:v>
                </c:pt>
                <c:pt idx="15" formatCode="0.000">
                  <c:v>900</c:v>
                </c:pt>
                <c:pt idx="16" formatCode="0.000">
                  <c:v>960</c:v>
                </c:pt>
                <c:pt idx="17" formatCode="0.000">
                  <c:v>1020</c:v>
                </c:pt>
                <c:pt idx="18" formatCode="0.000">
                  <c:v>1080</c:v>
                </c:pt>
                <c:pt idx="19" formatCode="0.000">
                  <c:v>1140</c:v>
                </c:pt>
                <c:pt idx="20" formatCode="0.000">
                  <c:v>1200</c:v>
                </c:pt>
                <c:pt idx="21" formatCode="0.000">
                  <c:v>1260</c:v>
                </c:pt>
                <c:pt idx="22" formatCode="0.000">
                  <c:v>1320</c:v>
                </c:pt>
                <c:pt idx="23" formatCode="0.000">
                  <c:v>1380</c:v>
                </c:pt>
              </c:numCache>
            </c:numRef>
          </c:xVal>
          <c:yVal>
            <c:numRef>
              <c:f>LS!$B$7:$Y$7</c:f>
              <c:numCache>
                <c:formatCode>0.000</c:formatCode>
                <c:ptCount val="24"/>
                <c:pt idx="0">
                  <c:v>99.87</c:v>
                </c:pt>
                <c:pt idx="1">
                  <c:v>99.57</c:v>
                </c:pt>
                <c:pt idx="2">
                  <c:v>99.65</c:v>
                </c:pt>
                <c:pt idx="3">
                  <c:v>99.55</c:v>
                </c:pt>
                <c:pt idx="4">
                  <c:v>99.5</c:v>
                </c:pt>
                <c:pt idx="5">
                  <c:v>99.58</c:v>
                </c:pt>
                <c:pt idx="6">
                  <c:v>99.15</c:v>
                </c:pt>
                <c:pt idx="7">
                  <c:v>99.08</c:v>
                </c:pt>
                <c:pt idx="8">
                  <c:v>98.95</c:v>
                </c:pt>
                <c:pt idx="9">
                  <c:v>98.75</c:v>
                </c:pt>
                <c:pt idx="10">
                  <c:v>98.65</c:v>
                </c:pt>
                <c:pt idx="11">
                  <c:v>98.68</c:v>
                </c:pt>
                <c:pt idx="12">
                  <c:v>98.48</c:v>
                </c:pt>
                <c:pt idx="13">
                  <c:v>98.45</c:v>
                </c:pt>
                <c:pt idx="14">
                  <c:v>98.35</c:v>
                </c:pt>
                <c:pt idx="15">
                  <c:v>98.22</c:v>
                </c:pt>
                <c:pt idx="16">
                  <c:v>98.174999999999997</c:v>
                </c:pt>
                <c:pt idx="17">
                  <c:v>98.12</c:v>
                </c:pt>
                <c:pt idx="18">
                  <c:v>98.24</c:v>
                </c:pt>
                <c:pt idx="19">
                  <c:v>98.22</c:v>
                </c:pt>
                <c:pt idx="20">
                  <c:v>98.135000000000005</c:v>
                </c:pt>
                <c:pt idx="21">
                  <c:v>98.155000000000001</c:v>
                </c:pt>
                <c:pt idx="22">
                  <c:v>98.094999999999999</c:v>
                </c:pt>
                <c:pt idx="23">
                  <c:v>98.02</c:v>
                </c:pt>
              </c:numCache>
            </c:numRef>
          </c:yVal>
        </c:ser>
        <c:ser>
          <c:idx val="0"/>
          <c:order val="1"/>
          <c:tx>
            <c:strRef>
              <c:f>LS!$A$5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LS!$B$4:$Z$4</c:f>
              <c:numCache>
                <c:formatCode>0.00</c:formatCode>
                <c:ptCount val="25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 formatCode="0.000">
                  <c:v>840</c:v>
                </c:pt>
                <c:pt idx="15" formatCode="0.000">
                  <c:v>900</c:v>
                </c:pt>
                <c:pt idx="16" formatCode="0.000">
                  <c:v>960</c:v>
                </c:pt>
                <c:pt idx="17" formatCode="0.000">
                  <c:v>1020</c:v>
                </c:pt>
                <c:pt idx="18" formatCode="0.000">
                  <c:v>1080</c:v>
                </c:pt>
                <c:pt idx="19" formatCode="0.000">
                  <c:v>1140</c:v>
                </c:pt>
                <c:pt idx="20" formatCode="0.000">
                  <c:v>1200</c:v>
                </c:pt>
                <c:pt idx="21" formatCode="0.000">
                  <c:v>1260</c:v>
                </c:pt>
                <c:pt idx="22" formatCode="0.000">
                  <c:v>1320</c:v>
                </c:pt>
                <c:pt idx="23" formatCode="0.000">
                  <c:v>1380</c:v>
                </c:pt>
              </c:numCache>
            </c:numRef>
          </c:xVal>
          <c:yVal>
            <c:numRef>
              <c:f>LS!$B$5:$Z$5</c:f>
              <c:numCache>
                <c:formatCode>0.000</c:formatCode>
                <c:ptCount val="25"/>
                <c:pt idx="0">
                  <c:v>99.8</c:v>
                </c:pt>
                <c:pt idx="1">
                  <c:v>99.48</c:v>
                </c:pt>
                <c:pt idx="2">
                  <c:v>99.43</c:v>
                </c:pt>
                <c:pt idx="3">
                  <c:v>99.32</c:v>
                </c:pt>
                <c:pt idx="4">
                  <c:v>99.32</c:v>
                </c:pt>
                <c:pt idx="5">
                  <c:v>99.25</c:v>
                </c:pt>
                <c:pt idx="6">
                  <c:v>98.89</c:v>
                </c:pt>
                <c:pt idx="7">
                  <c:v>98.88</c:v>
                </c:pt>
                <c:pt idx="8">
                  <c:v>98.65</c:v>
                </c:pt>
                <c:pt idx="9">
                  <c:v>98.41</c:v>
                </c:pt>
                <c:pt idx="10">
                  <c:v>98.31</c:v>
                </c:pt>
                <c:pt idx="11">
                  <c:v>98.29</c:v>
                </c:pt>
                <c:pt idx="12">
                  <c:v>98.29</c:v>
                </c:pt>
                <c:pt idx="13">
                  <c:v>98.25</c:v>
                </c:pt>
                <c:pt idx="14">
                  <c:v>98.15</c:v>
                </c:pt>
                <c:pt idx="15">
                  <c:v>98.05</c:v>
                </c:pt>
                <c:pt idx="16">
                  <c:v>98.01</c:v>
                </c:pt>
                <c:pt idx="17">
                  <c:v>97.91</c:v>
                </c:pt>
                <c:pt idx="18">
                  <c:v>97.91</c:v>
                </c:pt>
                <c:pt idx="19">
                  <c:v>97.9</c:v>
                </c:pt>
                <c:pt idx="20">
                  <c:v>97.83</c:v>
                </c:pt>
                <c:pt idx="21">
                  <c:v>97.83</c:v>
                </c:pt>
                <c:pt idx="22">
                  <c:v>97.55</c:v>
                </c:pt>
                <c:pt idx="23">
                  <c:v>97.77</c:v>
                </c:pt>
              </c:numCache>
            </c:numRef>
          </c:yVal>
        </c:ser>
        <c:axId val="72282880"/>
        <c:axId val="72284416"/>
      </c:scatterChart>
      <c:valAx>
        <c:axId val="72282880"/>
        <c:scaling>
          <c:orientation val="minMax"/>
          <c:max val="1400"/>
          <c:min val="0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2284416"/>
        <c:crossesAt val="-2"/>
        <c:crossBetween val="midCat"/>
        <c:majorUnit val="60"/>
        <c:minorUnit val="0.5"/>
      </c:valAx>
      <c:valAx>
        <c:axId val="72284416"/>
        <c:scaling>
          <c:orientation val="minMax"/>
          <c:max val="102"/>
          <c:min val="96"/>
        </c:scaling>
        <c:axPos val="l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2282880"/>
        <c:crossesAt val="0"/>
        <c:crossBetween val="midCat"/>
        <c:majorUnit val="1"/>
      </c:valAx>
    </c:plotArea>
    <c:dispBlanksAs val="span"/>
  </c:chart>
  <c:printSettings>
    <c:headerFooter alignWithMargins="0"/>
    <c:pageMargins b="1" l="0.75000000000001033" r="0.75000000000001033" t="1" header="0.5" footer="0.5"/>
    <c:pageSetup paperSize="9" orientation="landscape" horizontalDpi="360" verticalDpi="360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LS!$A$37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LS!$B$36:$Y$36</c:f>
              <c:numCache>
                <c:formatCode>0.00</c:formatCode>
                <c:ptCount val="24"/>
                <c:pt idx="0">
                  <c:v>1440</c:v>
                </c:pt>
                <c:pt idx="1">
                  <c:v>1500</c:v>
                </c:pt>
                <c:pt idx="2">
                  <c:v>1560</c:v>
                </c:pt>
                <c:pt idx="3">
                  <c:v>1620</c:v>
                </c:pt>
                <c:pt idx="4">
                  <c:v>1680</c:v>
                </c:pt>
                <c:pt idx="5">
                  <c:v>1740</c:v>
                </c:pt>
                <c:pt idx="6">
                  <c:v>1800</c:v>
                </c:pt>
                <c:pt idx="7">
                  <c:v>1860</c:v>
                </c:pt>
                <c:pt idx="8">
                  <c:v>1920</c:v>
                </c:pt>
                <c:pt idx="9">
                  <c:v>1980</c:v>
                </c:pt>
                <c:pt idx="10">
                  <c:v>2040</c:v>
                </c:pt>
                <c:pt idx="11">
                  <c:v>2100</c:v>
                </c:pt>
                <c:pt idx="12">
                  <c:v>2160</c:v>
                </c:pt>
                <c:pt idx="13">
                  <c:v>2220</c:v>
                </c:pt>
                <c:pt idx="14">
                  <c:v>2280</c:v>
                </c:pt>
                <c:pt idx="15">
                  <c:v>2340</c:v>
                </c:pt>
                <c:pt idx="16">
                  <c:v>2400</c:v>
                </c:pt>
                <c:pt idx="17">
                  <c:v>2460</c:v>
                </c:pt>
                <c:pt idx="18">
                  <c:v>2520</c:v>
                </c:pt>
                <c:pt idx="19">
                  <c:v>2580</c:v>
                </c:pt>
                <c:pt idx="20">
                  <c:v>2640</c:v>
                </c:pt>
                <c:pt idx="21">
                  <c:v>2700</c:v>
                </c:pt>
                <c:pt idx="22">
                  <c:v>2760</c:v>
                </c:pt>
                <c:pt idx="23">
                  <c:v>2820</c:v>
                </c:pt>
              </c:numCache>
            </c:numRef>
          </c:xVal>
          <c:yVal>
            <c:numRef>
              <c:f>LS!$B$37:$Y$37</c:f>
              <c:numCache>
                <c:formatCode>0.000</c:formatCode>
                <c:ptCount val="24"/>
                <c:pt idx="0">
                  <c:v>97.72</c:v>
                </c:pt>
                <c:pt idx="1">
                  <c:v>97.65</c:v>
                </c:pt>
                <c:pt idx="2">
                  <c:v>97.61</c:v>
                </c:pt>
                <c:pt idx="3">
                  <c:v>97.57</c:v>
                </c:pt>
                <c:pt idx="4">
                  <c:v>97.56</c:v>
                </c:pt>
                <c:pt idx="5">
                  <c:v>97.55</c:v>
                </c:pt>
                <c:pt idx="6">
                  <c:v>97.54</c:v>
                </c:pt>
                <c:pt idx="7">
                  <c:v>97.53</c:v>
                </c:pt>
                <c:pt idx="8">
                  <c:v>97.41</c:v>
                </c:pt>
                <c:pt idx="9">
                  <c:v>97.31</c:v>
                </c:pt>
                <c:pt idx="10">
                  <c:v>97.28</c:v>
                </c:pt>
                <c:pt idx="11">
                  <c:v>97.26</c:v>
                </c:pt>
                <c:pt idx="12">
                  <c:v>97.24</c:v>
                </c:pt>
                <c:pt idx="13">
                  <c:v>97.24</c:v>
                </c:pt>
                <c:pt idx="14">
                  <c:v>97.23</c:v>
                </c:pt>
                <c:pt idx="15">
                  <c:v>97.22</c:v>
                </c:pt>
                <c:pt idx="16">
                  <c:v>97.18</c:v>
                </c:pt>
                <c:pt idx="17">
                  <c:v>97.16</c:v>
                </c:pt>
                <c:pt idx="18">
                  <c:v>97.11</c:v>
                </c:pt>
                <c:pt idx="19">
                  <c:v>97.07</c:v>
                </c:pt>
                <c:pt idx="20">
                  <c:v>96.98</c:v>
                </c:pt>
                <c:pt idx="21">
                  <c:v>96.89</c:v>
                </c:pt>
                <c:pt idx="22">
                  <c:v>96.88</c:v>
                </c:pt>
                <c:pt idx="23">
                  <c:v>96.87</c:v>
                </c:pt>
              </c:numCache>
            </c:numRef>
          </c:yVal>
        </c:ser>
        <c:ser>
          <c:idx val="1"/>
          <c:order val="1"/>
          <c:tx>
            <c:strRef>
              <c:f>LS!$A$39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LS!$B$38:$Y$38</c:f>
              <c:numCache>
                <c:formatCode>0.00</c:formatCode>
                <c:ptCount val="24"/>
                <c:pt idx="0">
                  <c:v>1440</c:v>
                </c:pt>
                <c:pt idx="1">
                  <c:v>1500</c:v>
                </c:pt>
                <c:pt idx="2">
                  <c:v>1560</c:v>
                </c:pt>
                <c:pt idx="3">
                  <c:v>1620</c:v>
                </c:pt>
                <c:pt idx="4">
                  <c:v>1680</c:v>
                </c:pt>
                <c:pt idx="5">
                  <c:v>1740</c:v>
                </c:pt>
                <c:pt idx="6">
                  <c:v>1800</c:v>
                </c:pt>
                <c:pt idx="7">
                  <c:v>1860</c:v>
                </c:pt>
                <c:pt idx="8">
                  <c:v>1920</c:v>
                </c:pt>
                <c:pt idx="9">
                  <c:v>1980</c:v>
                </c:pt>
                <c:pt idx="10">
                  <c:v>2040</c:v>
                </c:pt>
                <c:pt idx="11">
                  <c:v>2100</c:v>
                </c:pt>
                <c:pt idx="12">
                  <c:v>2160</c:v>
                </c:pt>
                <c:pt idx="13">
                  <c:v>2220</c:v>
                </c:pt>
                <c:pt idx="14">
                  <c:v>2280</c:v>
                </c:pt>
                <c:pt idx="15">
                  <c:v>2340</c:v>
                </c:pt>
                <c:pt idx="16">
                  <c:v>2400</c:v>
                </c:pt>
                <c:pt idx="17">
                  <c:v>2460</c:v>
                </c:pt>
                <c:pt idx="18">
                  <c:v>2520</c:v>
                </c:pt>
                <c:pt idx="19">
                  <c:v>2580</c:v>
                </c:pt>
                <c:pt idx="20">
                  <c:v>2640</c:v>
                </c:pt>
                <c:pt idx="21">
                  <c:v>2700</c:v>
                </c:pt>
                <c:pt idx="22">
                  <c:v>2760</c:v>
                </c:pt>
                <c:pt idx="23">
                  <c:v>2820</c:v>
                </c:pt>
              </c:numCache>
            </c:numRef>
          </c:xVal>
          <c:yVal>
            <c:numRef>
              <c:f>LS!$B$39:$Y$39</c:f>
              <c:numCache>
                <c:formatCode>0.000</c:formatCode>
                <c:ptCount val="24"/>
                <c:pt idx="0">
                  <c:v>98</c:v>
                </c:pt>
                <c:pt idx="1">
                  <c:v>97.935000000000002</c:v>
                </c:pt>
                <c:pt idx="2">
                  <c:v>97.83</c:v>
                </c:pt>
                <c:pt idx="3">
                  <c:v>97.83</c:v>
                </c:pt>
                <c:pt idx="4">
                  <c:v>97.805000000000007</c:v>
                </c:pt>
                <c:pt idx="5">
                  <c:v>97.78</c:v>
                </c:pt>
                <c:pt idx="6">
                  <c:v>97.9</c:v>
                </c:pt>
                <c:pt idx="7">
                  <c:v>97.93</c:v>
                </c:pt>
                <c:pt idx="8">
                  <c:v>97.83</c:v>
                </c:pt>
                <c:pt idx="9">
                  <c:v>97.75</c:v>
                </c:pt>
                <c:pt idx="10">
                  <c:v>97.7</c:v>
                </c:pt>
                <c:pt idx="11">
                  <c:v>97.63</c:v>
                </c:pt>
                <c:pt idx="12">
                  <c:v>97.8</c:v>
                </c:pt>
                <c:pt idx="13">
                  <c:v>97.64</c:v>
                </c:pt>
                <c:pt idx="14">
                  <c:v>97.75</c:v>
                </c:pt>
                <c:pt idx="15">
                  <c:v>97.7</c:v>
                </c:pt>
                <c:pt idx="16">
                  <c:v>97.5</c:v>
                </c:pt>
                <c:pt idx="17">
                  <c:v>97.58</c:v>
                </c:pt>
                <c:pt idx="18">
                  <c:v>97.45</c:v>
                </c:pt>
                <c:pt idx="19">
                  <c:v>97.47</c:v>
                </c:pt>
                <c:pt idx="20">
                  <c:v>97.4</c:v>
                </c:pt>
                <c:pt idx="21">
                  <c:v>97.32</c:v>
                </c:pt>
                <c:pt idx="22">
                  <c:v>96.88</c:v>
                </c:pt>
                <c:pt idx="23">
                  <c:v>97.29</c:v>
                </c:pt>
              </c:numCache>
            </c:numRef>
          </c:yVal>
        </c:ser>
        <c:axId val="72170112"/>
        <c:axId val="72176000"/>
      </c:scatterChart>
      <c:valAx>
        <c:axId val="72170112"/>
        <c:scaling>
          <c:orientation val="minMax"/>
          <c:max val="2820"/>
          <c:min val="1440"/>
        </c:scaling>
        <c:axPos val="b"/>
        <c:majorGridlines/>
        <c:minorGridlines/>
        <c:numFmt formatCode="0.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2176000"/>
        <c:crossesAt val="-2"/>
        <c:crossBetween val="midCat"/>
        <c:majorUnit val="60"/>
        <c:minorUnit val="0.5"/>
      </c:valAx>
      <c:valAx>
        <c:axId val="72176000"/>
        <c:scaling>
          <c:orientation val="minMax"/>
          <c:max val="100"/>
          <c:min val="94"/>
        </c:scaling>
        <c:axPos val="l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2170112"/>
        <c:crossesAt val="0"/>
        <c:crossBetween val="midCat"/>
        <c:majorUnit val="1"/>
      </c:valAx>
    </c:plotArea>
    <c:dispBlanksAs val="span"/>
  </c:chart>
  <c:printSettings>
    <c:headerFooter alignWithMargins="0"/>
    <c:pageMargins b="1" l="0.75000000000001055" r="0.75000000000001055" t="1" header="0.5" footer="0.5"/>
    <c:pageSetup paperSize="9" orientation="landscape" horizontalDpi="360" verticalDpi="360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LS!$A$74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LS!$B$73:$Y$73</c:f>
              <c:numCache>
                <c:formatCode>0.00</c:formatCode>
                <c:ptCount val="24"/>
                <c:pt idx="0">
                  <c:v>2880</c:v>
                </c:pt>
                <c:pt idx="1">
                  <c:v>2940</c:v>
                </c:pt>
                <c:pt idx="2">
                  <c:v>3000</c:v>
                </c:pt>
                <c:pt idx="3">
                  <c:v>3060</c:v>
                </c:pt>
                <c:pt idx="4">
                  <c:v>3120</c:v>
                </c:pt>
                <c:pt idx="5">
                  <c:v>3180</c:v>
                </c:pt>
                <c:pt idx="6">
                  <c:v>3240</c:v>
                </c:pt>
                <c:pt idx="7">
                  <c:v>3300</c:v>
                </c:pt>
                <c:pt idx="8">
                  <c:v>3360</c:v>
                </c:pt>
                <c:pt idx="9">
                  <c:v>3420</c:v>
                </c:pt>
                <c:pt idx="10">
                  <c:v>3480</c:v>
                </c:pt>
                <c:pt idx="11">
                  <c:v>3540</c:v>
                </c:pt>
                <c:pt idx="12">
                  <c:v>3600</c:v>
                </c:pt>
                <c:pt idx="13">
                  <c:v>3660</c:v>
                </c:pt>
                <c:pt idx="14">
                  <c:v>3720</c:v>
                </c:pt>
                <c:pt idx="15">
                  <c:v>3780</c:v>
                </c:pt>
                <c:pt idx="16">
                  <c:v>3840</c:v>
                </c:pt>
                <c:pt idx="17">
                  <c:v>3900</c:v>
                </c:pt>
                <c:pt idx="18">
                  <c:v>3960</c:v>
                </c:pt>
                <c:pt idx="19">
                  <c:v>4020</c:v>
                </c:pt>
                <c:pt idx="20">
                  <c:v>4080</c:v>
                </c:pt>
                <c:pt idx="21">
                  <c:v>4140</c:v>
                </c:pt>
                <c:pt idx="22">
                  <c:v>4200</c:v>
                </c:pt>
                <c:pt idx="23">
                  <c:v>4260</c:v>
                </c:pt>
              </c:numCache>
            </c:numRef>
          </c:xVal>
          <c:yVal>
            <c:numRef>
              <c:f>LS!$B$74:$Z$74</c:f>
              <c:numCache>
                <c:formatCode>0.000</c:formatCode>
                <c:ptCount val="25"/>
                <c:pt idx="0">
                  <c:v>96.87</c:v>
                </c:pt>
                <c:pt idx="1">
                  <c:v>96.87</c:v>
                </c:pt>
                <c:pt idx="2">
                  <c:v>96.86</c:v>
                </c:pt>
                <c:pt idx="3">
                  <c:v>96.78</c:v>
                </c:pt>
                <c:pt idx="4">
                  <c:v>96.77</c:v>
                </c:pt>
                <c:pt idx="5">
                  <c:v>96.54</c:v>
                </c:pt>
                <c:pt idx="6">
                  <c:v>96.54</c:v>
                </c:pt>
                <c:pt idx="7">
                  <c:v>96.54</c:v>
                </c:pt>
                <c:pt idx="8">
                  <c:v>96.53</c:v>
                </c:pt>
                <c:pt idx="9">
                  <c:v>96.42</c:v>
                </c:pt>
                <c:pt idx="10">
                  <c:v>96.41</c:v>
                </c:pt>
                <c:pt idx="11">
                  <c:v>96.4</c:v>
                </c:pt>
                <c:pt idx="12">
                  <c:v>96.3</c:v>
                </c:pt>
                <c:pt idx="13">
                  <c:v>96.28</c:v>
                </c:pt>
                <c:pt idx="14">
                  <c:v>96.28</c:v>
                </c:pt>
                <c:pt idx="15">
                  <c:v>96.27</c:v>
                </c:pt>
                <c:pt idx="16">
                  <c:v>96.27</c:v>
                </c:pt>
                <c:pt idx="17">
                  <c:v>96.26</c:v>
                </c:pt>
                <c:pt idx="18">
                  <c:v>96.04</c:v>
                </c:pt>
                <c:pt idx="19">
                  <c:v>95.99</c:v>
                </c:pt>
                <c:pt idx="20">
                  <c:v>95.98</c:v>
                </c:pt>
                <c:pt idx="21">
                  <c:v>95.98</c:v>
                </c:pt>
                <c:pt idx="22">
                  <c:v>95.97</c:v>
                </c:pt>
                <c:pt idx="23">
                  <c:v>95.92</c:v>
                </c:pt>
              </c:numCache>
            </c:numRef>
          </c:yVal>
        </c:ser>
        <c:ser>
          <c:idx val="1"/>
          <c:order val="1"/>
          <c:tx>
            <c:strRef>
              <c:f>LS!$A$76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LS!$B$75:$Y$75</c:f>
              <c:numCache>
                <c:formatCode>0.00</c:formatCode>
                <c:ptCount val="24"/>
                <c:pt idx="0">
                  <c:v>2880</c:v>
                </c:pt>
                <c:pt idx="1">
                  <c:v>2940</c:v>
                </c:pt>
                <c:pt idx="2">
                  <c:v>3000</c:v>
                </c:pt>
                <c:pt idx="3">
                  <c:v>3060</c:v>
                </c:pt>
                <c:pt idx="4">
                  <c:v>3120</c:v>
                </c:pt>
                <c:pt idx="5">
                  <c:v>3180</c:v>
                </c:pt>
                <c:pt idx="6">
                  <c:v>3240</c:v>
                </c:pt>
                <c:pt idx="7">
                  <c:v>3300</c:v>
                </c:pt>
                <c:pt idx="8">
                  <c:v>3360</c:v>
                </c:pt>
                <c:pt idx="9">
                  <c:v>3420</c:v>
                </c:pt>
                <c:pt idx="10">
                  <c:v>3480</c:v>
                </c:pt>
                <c:pt idx="11">
                  <c:v>3540</c:v>
                </c:pt>
                <c:pt idx="12">
                  <c:v>3600</c:v>
                </c:pt>
                <c:pt idx="13">
                  <c:v>3660</c:v>
                </c:pt>
                <c:pt idx="14">
                  <c:v>3720</c:v>
                </c:pt>
                <c:pt idx="15">
                  <c:v>3780</c:v>
                </c:pt>
                <c:pt idx="16">
                  <c:v>3840</c:v>
                </c:pt>
                <c:pt idx="17">
                  <c:v>3900</c:v>
                </c:pt>
                <c:pt idx="18">
                  <c:v>3960</c:v>
                </c:pt>
                <c:pt idx="19">
                  <c:v>4020</c:v>
                </c:pt>
                <c:pt idx="20">
                  <c:v>4080</c:v>
                </c:pt>
                <c:pt idx="21">
                  <c:v>4140</c:v>
                </c:pt>
                <c:pt idx="22">
                  <c:v>4200</c:v>
                </c:pt>
                <c:pt idx="23">
                  <c:v>4260</c:v>
                </c:pt>
              </c:numCache>
            </c:numRef>
          </c:xVal>
          <c:yVal>
            <c:numRef>
              <c:f>LS!$B$76:$Y$76</c:f>
              <c:numCache>
                <c:formatCode>0.000</c:formatCode>
                <c:ptCount val="24"/>
                <c:pt idx="0">
                  <c:v>97.31</c:v>
                </c:pt>
                <c:pt idx="1">
                  <c:v>97.27</c:v>
                </c:pt>
                <c:pt idx="2">
                  <c:v>97.31</c:v>
                </c:pt>
                <c:pt idx="3">
                  <c:v>97.22</c:v>
                </c:pt>
                <c:pt idx="4">
                  <c:v>97.21</c:v>
                </c:pt>
                <c:pt idx="5">
                  <c:v>96.9</c:v>
                </c:pt>
                <c:pt idx="6">
                  <c:v>96.98</c:v>
                </c:pt>
                <c:pt idx="7">
                  <c:v>96.94</c:v>
                </c:pt>
                <c:pt idx="8">
                  <c:v>96.95</c:v>
                </c:pt>
                <c:pt idx="9">
                  <c:v>96.86</c:v>
                </c:pt>
                <c:pt idx="10">
                  <c:v>96.805000000000007</c:v>
                </c:pt>
                <c:pt idx="11">
                  <c:v>96.89</c:v>
                </c:pt>
                <c:pt idx="12">
                  <c:v>96.74</c:v>
                </c:pt>
                <c:pt idx="13">
                  <c:v>96.75</c:v>
                </c:pt>
                <c:pt idx="14">
                  <c:v>96.72</c:v>
                </c:pt>
                <c:pt idx="15">
                  <c:v>96.71</c:v>
                </c:pt>
                <c:pt idx="16">
                  <c:v>96.67</c:v>
                </c:pt>
                <c:pt idx="17">
                  <c:v>96.68</c:v>
                </c:pt>
                <c:pt idx="18">
                  <c:v>96.48</c:v>
                </c:pt>
                <c:pt idx="19">
                  <c:v>96.39</c:v>
                </c:pt>
                <c:pt idx="20">
                  <c:v>96.4</c:v>
                </c:pt>
                <c:pt idx="21">
                  <c:v>96.42</c:v>
                </c:pt>
                <c:pt idx="22">
                  <c:v>96.42</c:v>
                </c:pt>
                <c:pt idx="23">
                  <c:v>96.4</c:v>
                </c:pt>
              </c:numCache>
            </c:numRef>
          </c:yVal>
        </c:ser>
        <c:axId val="72211840"/>
        <c:axId val="72295552"/>
      </c:scatterChart>
      <c:valAx>
        <c:axId val="72211840"/>
        <c:scaling>
          <c:orientation val="minMax"/>
          <c:max val="4260"/>
          <c:min val="2880"/>
        </c:scaling>
        <c:axPos val="b"/>
        <c:majorGridlines/>
        <c:minorGridlines/>
        <c:numFmt formatCode="0.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2295552"/>
        <c:crossesAt val="-2"/>
        <c:crossBetween val="midCat"/>
        <c:majorUnit val="60"/>
        <c:minorUnit val="0.5"/>
      </c:valAx>
      <c:valAx>
        <c:axId val="72295552"/>
        <c:scaling>
          <c:orientation val="minMax"/>
          <c:max val="100"/>
          <c:min val="94"/>
        </c:scaling>
        <c:axPos val="l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2211840"/>
        <c:crossesAt val="0"/>
        <c:crossBetween val="midCat"/>
        <c:majorUnit val="1"/>
      </c:valAx>
    </c:plotArea>
    <c:dispBlanksAs val="span"/>
  </c:chart>
  <c:printSettings>
    <c:headerFooter alignWithMargins="0"/>
    <c:pageMargins b="1" l="0.75000000000001077" r="0.75000000000001077" t="1" header="0.5" footer="0.5"/>
    <c:pageSetup paperSize="9" orientation="landscape" horizontalDpi="360" verticalDpi="360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LS!$A$108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LS!$B$107:$Y$107</c:f>
              <c:numCache>
                <c:formatCode>0.00</c:formatCode>
                <c:ptCount val="24"/>
                <c:pt idx="0">
                  <c:v>4320</c:v>
                </c:pt>
                <c:pt idx="1">
                  <c:v>4380</c:v>
                </c:pt>
                <c:pt idx="2">
                  <c:v>4440</c:v>
                </c:pt>
                <c:pt idx="3">
                  <c:v>4500</c:v>
                </c:pt>
                <c:pt idx="4">
                  <c:v>4560</c:v>
                </c:pt>
                <c:pt idx="5">
                  <c:v>4620</c:v>
                </c:pt>
                <c:pt idx="6">
                  <c:v>4680</c:v>
                </c:pt>
                <c:pt idx="7">
                  <c:v>4740</c:v>
                </c:pt>
                <c:pt idx="8">
                  <c:v>4800</c:v>
                </c:pt>
                <c:pt idx="9">
                  <c:v>4860</c:v>
                </c:pt>
                <c:pt idx="10">
                  <c:v>4920</c:v>
                </c:pt>
                <c:pt idx="11">
                  <c:v>4980</c:v>
                </c:pt>
                <c:pt idx="12">
                  <c:v>5040</c:v>
                </c:pt>
                <c:pt idx="13">
                  <c:v>5100</c:v>
                </c:pt>
                <c:pt idx="14">
                  <c:v>5160</c:v>
                </c:pt>
                <c:pt idx="15">
                  <c:v>5220</c:v>
                </c:pt>
                <c:pt idx="16">
                  <c:v>5280</c:v>
                </c:pt>
                <c:pt idx="17">
                  <c:v>5340</c:v>
                </c:pt>
                <c:pt idx="18">
                  <c:v>5400</c:v>
                </c:pt>
                <c:pt idx="19">
                  <c:v>5460</c:v>
                </c:pt>
                <c:pt idx="20">
                  <c:v>5520</c:v>
                </c:pt>
                <c:pt idx="21">
                  <c:v>5580</c:v>
                </c:pt>
                <c:pt idx="22">
                  <c:v>5640</c:v>
                </c:pt>
                <c:pt idx="23">
                  <c:v>5700</c:v>
                </c:pt>
              </c:numCache>
            </c:numRef>
          </c:xVal>
          <c:yVal>
            <c:numRef>
              <c:f>LS!$B$108:$Y$108</c:f>
              <c:numCache>
                <c:formatCode>0.000</c:formatCode>
                <c:ptCount val="24"/>
                <c:pt idx="0">
                  <c:v>95.92</c:v>
                </c:pt>
                <c:pt idx="1">
                  <c:v>95.92</c:v>
                </c:pt>
                <c:pt idx="2">
                  <c:v>95.915000000000006</c:v>
                </c:pt>
                <c:pt idx="3">
                  <c:v>95.915000000000006</c:v>
                </c:pt>
                <c:pt idx="4">
                  <c:v>95.915000000000006</c:v>
                </c:pt>
                <c:pt idx="5">
                  <c:v>95.91</c:v>
                </c:pt>
                <c:pt idx="6">
                  <c:v>95.91</c:v>
                </c:pt>
                <c:pt idx="7">
                  <c:v>95.905000000000001</c:v>
                </c:pt>
                <c:pt idx="8">
                  <c:v>95.9</c:v>
                </c:pt>
                <c:pt idx="9">
                  <c:v>95.9</c:v>
                </c:pt>
                <c:pt idx="10">
                  <c:v>95.9</c:v>
                </c:pt>
                <c:pt idx="11">
                  <c:v>95.66</c:v>
                </c:pt>
                <c:pt idx="12">
                  <c:v>95.52</c:v>
                </c:pt>
                <c:pt idx="13">
                  <c:v>95.51</c:v>
                </c:pt>
                <c:pt idx="14">
                  <c:v>95.5</c:v>
                </c:pt>
                <c:pt idx="15">
                  <c:v>95.35</c:v>
                </c:pt>
                <c:pt idx="16">
                  <c:v>95.25</c:v>
                </c:pt>
                <c:pt idx="17">
                  <c:v>95.15</c:v>
                </c:pt>
                <c:pt idx="18">
                  <c:v>95.15</c:v>
                </c:pt>
                <c:pt idx="19">
                  <c:v>95.11</c:v>
                </c:pt>
                <c:pt idx="20">
                  <c:v>95.1</c:v>
                </c:pt>
                <c:pt idx="21">
                  <c:v>94.92</c:v>
                </c:pt>
                <c:pt idx="22">
                  <c:v>94.83</c:v>
                </c:pt>
                <c:pt idx="23">
                  <c:v>94.74</c:v>
                </c:pt>
              </c:numCache>
            </c:numRef>
          </c:yVal>
        </c:ser>
        <c:ser>
          <c:idx val="1"/>
          <c:order val="1"/>
          <c:tx>
            <c:strRef>
              <c:f>LS!$A$110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LS!$B$109:$Y$109</c:f>
              <c:numCache>
                <c:formatCode>0.00</c:formatCode>
                <c:ptCount val="24"/>
                <c:pt idx="0">
                  <c:v>4320</c:v>
                </c:pt>
                <c:pt idx="1">
                  <c:v>4380</c:v>
                </c:pt>
                <c:pt idx="2">
                  <c:v>4440</c:v>
                </c:pt>
                <c:pt idx="3">
                  <c:v>4500</c:v>
                </c:pt>
                <c:pt idx="4">
                  <c:v>4560</c:v>
                </c:pt>
                <c:pt idx="5">
                  <c:v>4620</c:v>
                </c:pt>
                <c:pt idx="6">
                  <c:v>4680</c:v>
                </c:pt>
                <c:pt idx="7">
                  <c:v>4740</c:v>
                </c:pt>
                <c:pt idx="8">
                  <c:v>4800</c:v>
                </c:pt>
                <c:pt idx="9">
                  <c:v>4860</c:v>
                </c:pt>
                <c:pt idx="10">
                  <c:v>4920</c:v>
                </c:pt>
                <c:pt idx="11">
                  <c:v>4980</c:v>
                </c:pt>
                <c:pt idx="12">
                  <c:v>5040</c:v>
                </c:pt>
                <c:pt idx="13">
                  <c:v>5100</c:v>
                </c:pt>
                <c:pt idx="14">
                  <c:v>5160</c:v>
                </c:pt>
                <c:pt idx="15">
                  <c:v>5220</c:v>
                </c:pt>
                <c:pt idx="16">
                  <c:v>5280</c:v>
                </c:pt>
                <c:pt idx="17">
                  <c:v>5340</c:v>
                </c:pt>
                <c:pt idx="18">
                  <c:v>5400</c:v>
                </c:pt>
                <c:pt idx="19">
                  <c:v>5460</c:v>
                </c:pt>
                <c:pt idx="20">
                  <c:v>5520</c:v>
                </c:pt>
                <c:pt idx="21">
                  <c:v>5580</c:v>
                </c:pt>
                <c:pt idx="22">
                  <c:v>5640</c:v>
                </c:pt>
                <c:pt idx="23">
                  <c:v>5700</c:v>
                </c:pt>
              </c:numCache>
            </c:numRef>
          </c:xVal>
          <c:yVal>
            <c:numRef>
              <c:f>LS!$B$110:$Y$110</c:f>
              <c:numCache>
                <c:formatCode>0.000</c:formatCode>
                <c:ptCount val="24"/>
                <c:pt idx="0">
                  <c:v>96.4</c:v>
                </c:pt>
                <c:pt idx="1">
                  <c:v>96.42</c:v>
                </c:pt>
                <c:pt idx="2">
                  <c:v>96.4</c:v>
                </c:pt>
                <c:pt idx="3">
                  <c:v>96.355000000000004</c:v>
                </c:pt>
                <c:pt idx="4">
                  <c:v>96.41</c:v>
                </c:pt>
                <c:pt idx="5">
                  <c:v>96.33</c:v>
                </c:pt>
                <c:pt idx="6">
                  <c:v>96.45</c:v>
                </c:pt>
                <c:pt idx="7">
                  <c:v>96.42</c:v>
                </c:pt>
                <c:pt idx="8">
                  <c:v>96.41</c:v>
                </c:pt>
                <c:pt idx="9">
                  <c:v>96.34</c:v>
                </c:pt>
                <c:pt idx="10">
                  <c:v>96.35</c:v>
                </c:pt>
                <c:pt idx="11">
                  <c:v>96.08</c:v>
                </c:pt>
                <c:pt idx="12">
                  <c:v>95.96</c:v>
                </c:pt>
                <c:pt idx="13">
                  <c:v>95.91</c:v>
                </c:pt>
                <c:pt idx="14">
                  <c:v>95.92</c:v>
                </c:pt>
                <c:pt idx="15">
                  <c:v>95.79</c:v>
                </c:pt>
                <c:pt idx="16">
                  <c:v>95.65</c:v>
                </c:pt>
                <c:pt idx="17">
                  <c:v>95.57</c:v>
                </c:pt>
                <c:pt idx="18">
                  <c:v>95.59</c:v>
                </c:pt>
                <c:pt idx="19">
                  <c:v>95.51</c:v>
                </c:pt>
                <c:pt idx="20">
                  <c:v>95.52</c:v>
                </c:pt>
                <c:pt idx="21">
                  <c:v>95.36</c:v>
                </c:pt>
                <c:pt idx="22">
                  <c:v>95.23</c:v>
                </c:pt>
                <c:pt idx="23">
                  <c:v>95.22</c:v>
                </c:pt>
              </c:numCache>
            </c:numRef>
          </c:yVal>
        </c:ser>
        <c:axId val="72316032"/>
        <c:axId val="72317568"/>
      </c:scatterChart>
      <c:valAx>
        <c:axId val="72316032"/>
        <c:scaling>
          <c:orientation val="minMax"/>
          <c:max val="5700"/>
          <c:min val="4320"/>
        </c:scaling>
        <c:axPos val="b"/>
        <c:majorGridlines/>
        <c:minorGridlines/>
        <c:numFmt formatCode="0.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2317568"/>
        <c:crossesAt val="-2"/>
        <c:crossBetween val="midCat"/>
        <c:majorUnit val="60"/>
        <c:minorUnit val="0.5"/>
      </c:valAx>
      <c:valAx>
        <c:axId val="72317568"/>
        <c:scaling>
          <c:orientation val="minMax"/>
          <c:max val="100"/>
          <c:min val="94"/>
        </c:scaling>
        <c:axPos val="l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2316032"/>
        <c:crossesAt val="0"/>
        <c:crossBetween val="midCat"/>
        <c:majorUnit val="1"/>
      </c:valAx>
    </c:plotArea>
    <c:dispBlanksAs val="span"/>
  </c:chart>
  <c:printSettings>
    <c:headerFooter alignWithMargins="0"/>
    <c:pageMargins b="1" l="0.75000000000001099" r="0.75000000000001099" t="1" header="0.5" footer="0.5"/>
    <c:pageSetup paperSize="9" orientation="landscape" horizontalDpi="360" verticalDpi="360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LS!$A$146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LS!$B$145:$U$145</c:f>
              <c:numCache>
                <c:formatCode>0.00</c:formatCode>
                <c:ptCount val="20"/>
                <c:pt idx="0">
                  <c:v>5760</c:v>
                </c:pt>
                <c:pt idx="1">
                  <c:v>5820</c:v>
                </c:pt>
                <c:pt idx="2">
                  <c:v>5880</c:v>
                </c:pt>
                <c:pt idx="3">
                  <c:v>5940</c:v>
                </c:pt>
                <c:pt idx="4">
                  <c:v>6000</c:v>
                </c:pt>
                <c:pt idx="5">
                  <c:v>6060</c:v>
                </c:pt>
                <c:pt idx="6">
                  <c:v>6120</c:v>
                </c:pt>
                <c:pt idx="7">
                  <c:v>6180</c:v>
                </c:pt>
                <c:pt idx="8">
                  <c:v>6240</c:v>
                </c:pt>
                <c:pt idx="9">
                  <c:v>6300</c:v>
                </c:pt>
                <c:pt idx="10">
                  <c:v>6360</c:v>
                </c:pt>
                <c:pt idx="11">
                  <c:v>6420</c:v>
                </c:pt>
                <c:pt idx="12">
                  <c:v>6480</c:v>
                </c:pt>
                <c:pt idx="13">
                  <c:v>6540</c:v>
                </c:pt>
                <c:pt idx="14">
                  <c:v>6600</c:v>
                </c:pt>
                <c:pt idx="15">
                  <c:v>6660</c:v>
                </c:pt>
                <c:pt idx="16">
                  <c:v>6720</c:v>
                </c:pt>
                <c:pt idx="17">
                  <c:v>6780</c:v>
                </c:pt>
                <c:pt idx="18">
                  <c:v>6840</c:v>
                </c:pt>
                <c:pt idx="19">
                  <c:v>6900</c:v>
                </c:pt>
              </c:numCache>
            </c:numRef>
          </c:xVal>
          <c:yVal>
            <c:numRef>
              <c:f>LS!$B$146:$U$146</c:f>
              <c:numCache>
                <c:formatCode>0.000</c:formatCode>
                <c:ptCount val="20"/>
                <c:pt idx="0">
                  <c:v>94.56</c:v>
                </c:pt>
                <c:pt idx="1">
                  <c:v>94.57</c:v>
                </c:pt>
                <c:pt idx="2">
                  <c:v>94.55</c:v>
                </c:pt>
                <c:pt idx="3">
                  <c:v>94.5</c:v>
                </c:pt>
                <c:pt idx="4">
                  <c:v>94.42</c:v>
                </c:pt>
                <c:pt idx="5">
                  <c:v>94.34</c:v>
                </c:pt>
                <c:pt idx="6">
                  <c:v>94.18</c:v>
                </c:pt>
                <c:pt idx="7">
                  <c:v>94.12</c:v>
                </c:pt>
                <c:pt idx="8">
                  <c:v>94.11</c:v>
                </c:pt>
                <c:pt idx="9">
                  <c:v>94.11</c:v>
                </c:pt>
                <c:pt idx="10">
                  <c:v>93.86</c:v>
                </c:pt>
                <c:pt idx="11">
                  <c:v>93.59</c:v>
                </c:pt>
                <c:pt idx="12">
                  <c:v>92.14</c:v>
                </c:pt>
                <c:pt idx="13">
                  <c:v>91.79</c:v>
                </c:pt>
                <c:pt idx="14">
                  <c:v>89.99</c:v>
                </c:pt>
                <c:pt idx="15">
                  <c:v>89.27</c:v>
                </c:pt>
                <c:pt idx="16">
                  <c:v>88.87</c:v>
                </c:pt>
                <c:pt idx="17">
                  <c:v>88.32</c:v>
                </c:pt>
                <c:pt idx="18">
                  <c:v>88.17</c:v>
                </c:pt>
                <c:pt idx="19">
                  <c:v>88.15</c:v>
                </c:pt>
              </c:numCache>
            </c:numRef>
          </c:yVal>
        </c:ser>
        <c:ser>
          <c:idx val="1"/>
          <c:order val="1"/>
          <c:tx>
            <c:strRef>
              <c:f>LS!$A$148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LS!$B$147:$U$147</c:f>
              <c:numCache>
                <c:formatCode>0.00</c:formatCode>
                <c:ptCount val="20"/>
                <c:pt idx="0">
                  <c:v>5760</c:v>
                </c:pt>
                <c:pt idx="1">
                  <c:v>5820</c:v>
                </c:pt>
                <c:pt idx="2">
                  <c:v>5880</c:v>
                </c:pt>
                <c:pt idx="3">
                  <c:v>5940</c:v>
                </c:pt>
                <c:pt idx="4">
                  <c:v>6000</c:v>
                </c:pt>
                <c:pt idx="5">
                  <c:v>6060</c:v>
                </c:pt>
                <c:pt idx="6">
                  <c:v>6120</c:v>
                </c:pt>
                <c:pt idx="7">
                  <c:v>6180</c:v>
                </c:pt>
                <c:pt idx="8">
                  <c:v>6240</c:v>
                </c:pt>
                <c:pt idx="9">
                  <c:v>6300</c:v>
                </c:pt>
                <c:pt idx="10">
                  <c:v>6360</c:v>
                </c:pt>
                <c:pt idx="11">
                  <c:v>6420</c:v>
                </c:pt>
                <c:pt idx="12">
                  <c:v>6480</c:v>
                </c:pt>
                <c:pt idx="13">
                  <c:v>6540</c:v>
                </c:pt>
                <c:pt idx="14">
                  <c:v>6600</c:v>
                </c:pt>
                <c:pt idx="15">
                  <c:v>6660</c:v>
                </c:pt>
                <c:pt idx="16">
                  <c:v>6720</c:v>
                </c:pt>
                <c:pt idx="17">
                  <c:v>6780</c:v>
                </c:pt>
                <c:pt idx="18">
                  <c:v>6840</c:v>
                </c:pt>
                <c:pt idx="19">
                  <c:v>6900</c:v>
                </c:pt>
              </c:numCache>
            </c:numRef>
          </c:xVal>
          <c:yVal>
            <c:numRef>
              <c:f>LS!$B$148:$U$148</c:f>
              <c:numCache>
                <c:formatCode>0.000</c:formatCode>
                <c:ptCount val="20"/>
                <c:pt idx="0">
                  <c:v>95</c:v>
                </c:pt>
                <c:pt idx="1">
                  <c:v>94.97</c:v>
                </c:pt>
                <c:pt idx="2">
                  <c:v>94.97</c:v>
                </c:pt>
                <c:pt idx="3">
                  <c:v>94.94</c:v>
                </c:pt>
                <c:pt idx="4">
                  <c:v>94.924999999999997</c:v>
                </c:pt>
                <c:pt idx="5">
                  <c:v>94.78</c:v>
                </c:pt>
                <c:pt idx="6">
                  <c:v>94.69</c:v>
                </c:pt>
                <c:pt idx="7">
                  <c:v>94.6</c:v>
                </c:pt>
                <c:pt idx="8">
                  <c:v>94.53</c:v>
                </c:pt>
                <c:pt idx="9">
                  <c:v>94.55</c:v>
                </c:pt>
                <c:pt idx="10">
                  <c:v>94.3</c:v>
                </c:pt>
                <c:pt idx="11">
                  <c:v>94.1</c:v>
                </c:pt>
                <c:pt idx="12">
                  <c:v>92.62</c:v>
                </c:pt>
                <c:pt idx="13">
                  <c:v>92.21</c:v>
                </c:pt>
                <c:pt idx="14">
                  <c:v>90.5</c:v>
                </c:pt>
                <c:pt idx="15">
                  <c:v>89.82</c:v>
                </c:pt>
                <c:pt idx="16">
                  <c:v>89.27</c:v>
                </c:pt>
                <c:pt idx="17">
                  <c:v>88.74</c:v>
                </c:pt>
                <c:pt idx="18">
                  <c:v>88.61</c:v>
                </c:pt>
                <c:pt idx="19">
                  <c:v>88.45</c:v>
                </c:pt>
              </c:numCache>
            </c:numRef>
          </c:yVal>
        </c:ser>
        <c:axId val="72344320"/>
        <c:axId val="72345856"/>
      </c:scatterChart>
      <c:valAx>
        <c:axId val="72344320"/>
        <c:scaling>
          <c:orientation val="minMax"/>
          <c:max val="6900"/>
          <c:min val="5760"/>
        </c:scaling>
        <c:axPos val="b"/>
        <c:majorGridlines/>
        <c:minorGridlines/>
        <c:numFmt formatCode="0.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2345856"/>
        <c:crossesAt val="-2"/>
        <c:crossBetween val="midCat"/>
        <c:majorUnit val="60"/>
        <c:minorUnit val="0.5"/>
      </c:valAx>
      <c:valAx>
        <c:axId val="72345856"/>
        <c:scaling>
          <c:orientation val="minMax"/>
          <c:max val="96"/>
          <c:min val="87"/>
        </c:scaling>
        <c:axPos val="l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2344320"/>
        <c:crossesAt val="0"/>
        <c:crossBetween val="midCat"/>
        <c:majorUnit val="1"/>
      </c:valAx>
    </c:plotArea>
    <c:dispBlanksAs val="span"/>
  </c:chart>
  <c:printSettings>
    <c:headerFooter alignWithMargins="0"/>
    <c:pageMargins b="1" l="0.75000000000001121" r="0.75000000000001121" t="1" header="0.5" footer="0.5"/>
    <c:pageSetup paperSize="9" orientation="landscape" horizontalDpi="360" verticalDpi="360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(2)'!$A$5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(2)'!$C$4:$K$4</c:f>
              <c:numCache>
                <c:formatCode>0.000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(2)'!$C$5:$K$5</c:f>
              <c:numCache>
                <c:formatCode>0.000</c:formatCode>
                <c:ptCount val="9"/>
                <c:pt idx="0">
                  <c:v>98.46</c:v>
                </c:pt>
                <c:pt idx="1">
                  <c:v>97.26</c:v>
                </c:pt>
                <c:pt idx="2">
                  <c:v>97.26</c:v>
                </c:pt>
                <c:pt idx="3">
                  <c:v>97.26</c:v>
                </c:pt>
                <c:pt idx="4">
                  <c:v>97.26</c:v>
                </c:pt>
                <c:pt idx="5">
                  <c:v>97.26</c:v>
                </c:pt>
                <c:pt idx="6">
                  <c:v>98.66</c:v>
                </c:pt>
              </c:numCache>
            </c:numRef>
          </c:yVal>
        </c:ser>
        <c:ser>
          <c:idx val="1"/>
          <c:order val="1"/>
          <c:tx>
            <c:strRef>
              <c:f>'fc (2)'!$A$7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(2)'!$C$6:$L$6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(2)'!$C$7:$L$7</c:f>
              <c:numCache>
                <c:formatCode>0.000</c:formatCode>
                <c:ptCount val="10"/>
                <c:pt idx="0">
                  <c:v>98.46</c:v>
                </c:pt>
                <c:pt idx="1">
                  <c:v>97.748999999999995</c:v>
                </c:pt>
                <c:pt idx="2">
                  <c:v>97.63</c:v>
                </c:pt>
                <c:pt idx="3">
                  <c:v>97.63</c:v>
                </c:pt>
                <c:pt idx="4">
                  <c:v>97.63</c:v>
                </c:pt>
                <c:pt idx="5">
                  <c:v>97.747</c:v>
                </c:pt>
                <c:pt idx="6">
                  <c:v>98.66</c:v>
                </c:pt>
              </c:numCache>
            </c:numRef>
          </c:yVal>
        </c:ser>
        <c:axId val="72518272"/>
        <c:axId val="72532352"/>
      </c:scatterChart>
      <c:valAx>
        <c:axId val="72518272"/>
        <c:scaling>
          <c:orientation val="minMax"/>
          <c:max val="8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2532352"/>
        <c:crossesAt val="-2"/>
        <c:crossBetween val="midCat"/>
        <c:majorUnit val="1"/>
        <c:minorUnit val="0.5"/>
      </c:valAx>
      <c:valAx>
        <c:axId val="72532352"/>
        <c:scaling>
          <c:orientation val="minMax"/>
          <c:max val="101"/>
          <c:min val="96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2518272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33" r="0.75000000000001033" t="1" header="0.5" footer="0.5"/>
    <c:pageSetup paperSize="9" orientation="landscape" horizontalDpi="360" verticalDpi="360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(2)'!$A$40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(2)'!$C$39:$K$39</c:f>
              <c:numCache>
                <c:formatCode>0.000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(2)'!$C$40:$L$40</c:f>
              <c:numCache>
                <c:formatCode>0.000</c:formatCode>
                <c:ptCount val="10"/>
                <c:pt idx="0">
                  <c:v>98.61</c:v>
                </c:pt>
                <c:pt idx="1">
                  <c:v>97.24</c:v>
                </c:pt>
                <c:pt idx="2">
                  <c:v>97.24</c:v>
                </c:pt>
                <c:pt idx="3">
                  <c:v>97.24</c:v>
                </c:pt>
                <c:pt idx="4">
                  <c:v>97.24</c:v>
                </c:pt>
                <c:pt idx="5">
                  <c:v>97.24</c:v>
                </c:pt>
                <c:pt idx="6">
                  <c:v>98.76</c:v>
                </c:pt>
              </c:numCache>
            </c:numRef>
          </c:yVal>
        </c:ser>
        <c:ser>
          <c:idx val="1"/>
          <c:order val="1"/>
          <c:tx>
            <c:strRef>
              <c:f>'fc (2)'!$A$42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(2)'!$C$41:$L$41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(2)'!$C$42:$L$42</c:f>
              <c:numCache>
                <c:formatCode>0.000</c:formatCode>
                <c:ptCount val="10"/>
                <c:pt idx="0">
                  <c:v>98.61</c:v>
                </c:pt>
                <c:pt idx="1">
                  <c:v>97.915999999999997</c:v>
                </c:pt>
                <c:pt idx="2">
                  <c:v>97.8</c:v>
                </c:pt>
                <c:pt idx="3">
                  <c:v>97.8</c:v>
                </c:pt>
                <c:pt idx="4">
                  <c:v>97.8</c:v>
                </c:pt>
                <c:pt idx="5">
                  <c:v>97.92</c:v>
                </c:pt>
                <c:pt idx="6">
                  <c:v>98.76</c:v>
                </c:pt>
              </c:numCache>
            </c:numRef>
          </c:yVal>
        </c:ser>
        <c:axId val="72556544"/>
        <c:axId val="72558080"/>
      </c:scatterChart>
      <c:valAx>
        <c:axId val="72556544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2558080"/>
        <c:crossesAt val="-2"/>
        <c:crossBetween val="midCat"/>
        <c:majorUnit val="1"/>
        <c:minorUnit val="0.5"/>
      </c:valAx>
      <c:valAx>
        <c:axId val="72558080"/>
        <c:scaling>
          <c:orientation val="minMax"/>
          <c:max val="103"/>
          <c:min val="97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2556544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55" r="0.75000000000001055" t="1" header="0.5" footer="0.5"/>
    <c:pageSetup paperSize="9" orientation="landscape" horizontalDpi="360" verticalDpi="360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(2)'!$A$84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(2)'!$C$83:$L$83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(2)'!$C$84:$L$84</c:f>
              <c:numCache>
                <c:formatCode>0.000</c:formatCode>
                <c:ptCount val="10"/>
                <c:pt idx="0">
                  <c:v>98.19</c:v>
                </c:pt>
                <c:pt idx="1">
                  <c:v>97.24</c:v>
                </c:pt>
                <c:pt idx="2">
                  <c:v>97.24</c:v>
                </c:pt>
                <c:pt idx="3">
                  <c:v>97.24</c:v>
                </c:pt>
                <c:pt idx="4">
                  <c:v>97.24</c:v>
                </c:pt>
                <c:pt idx="5">
                  <c:v>97.24</c:v>
                </c:pt>
                <c:pt idx="6">
                  <c:v>98.37</c:v>
                </c:pt>
              </c:numCache>
            </c:numRef>
          </c:yVal>
        </c:ser>
        <c:ser>
          <c:idx val="1"/>
          <c:order val="1"/>
          <c:tx>
            <c:strRef>
              <c:f>'fc (2)'!$A$86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(2)'!$C$85:$L$85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(2)'!$C$86:$L$86</c:f>
              <c:numCache>
                <c:formatCode>0.000</c:formatCode>
                <c:ptCount val="10"/>
                <c:pt idx="0">
                  <c:v>98.19</c:v>
                </c:pt>
                <c:pt idx="1">
                  <c:v>97.718999999999994</c:v>
                </c:pt>
                <c:pt idx="2">
                  <c:v>97.64</c:v>
                </c:pt>
                <c:pt idx="3">
                  <c:v>97.64</c:v>
                </c:pt>
                <c:pt idx="4">
                  <c:v>97.64</c:v>
                </c:pt>
                <c:pt idx="5">
                  <c:v>97.721000000000004</c:v>
                </c:pt>
                <c:pt idx="6">
                  <c:v>98.37</c:v>
                </c:pt>
              </c:numCache>
            </c:numRef>
          </c:yVal>
        </c:ser>
        <c:axId val="72598656"/>
        <c:axId val="72600192"/>
      </c:scatterChart>
      <c:valAx>
        <c:axId val="72598656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2600192"/>
        <c:crossesAt val="-2"/>
        <c:crossBetween val="midCat"/>
        <c:majorUnit val="1"/>
        <c:minorUnit val="0.5"/>
      </c:valAx>
      <c:valAx>
        <c:axId val="72600192"/>
        <c:scaling>
          <c:orientation val="minMax"/>
          <c:max val="101"/>
          <c:min val="96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259865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77" r="0.75000000000001077" t="1" header="0.5" footer="0.5"/>
    <c:pageSetup paperSize="9" orientation="landscape" horizontalDpi="360" verticalDpi="36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Bund!$A$173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Bund!$D$172:$N$172</c:f>
              <c:numCache>
                <c:formatCode>0.000</c:formatCode>
                <c:ptCount val="11"/>
                <c:pt idx="0">
                  <c:v>0</c:v>
                </c:pt>
                <c:pt idx="1">
                  <c:v>4.2</c:v>
                </c:pt>
                <c:pt idx="2">
                  <c:v>5.7</c:v>
                </c:pt>
                <c:pt idx="3">
                  <c:v>6</c:v>
                </c:pt>
                <c:pt idx="4">
                  <c:v>7.1</c:v>
                </c:pt>
                <c:pt idx="5">
                  <c:v>7.2</c:v>
                </c:pt>
                <c:pt idx="6">
                  <c:v>8</c:v>
                </c:pt>
                <c:pt idx="7">
                  <c:v>8.6999999999999993</c:v>
                </c:pt>
                <c:pt idx="8">
                  <c:v>13.6</c:v>
                </c:pt>
                <c:pt idx="9">
                  <c:v>14</c:v>
                </c:pt>
                <c:pt idx="10">
                  <c:v>16</c:v>
                </c:pt>
              </c:numCache>
            </c:numRef>
          </c:xVal>
          <c:yVal>
            <c:numRef>
              <c:f>Bund!$D$173:$N$173</c:f>
              <c:numCache>
                <c:formatCode>0.000</c:formatCode>
                <c:ptCount val="11"/>
                <c:pt idx="0">
                  <c:v>97.69</c:v>
                </c:pt>
                <c:pt idx="1">
                  <c:v>100.5</c:v>
                </c:pt>
                <c:pt idx="2">
                  <c:v>101.5</c:v>
                </c:pt>
                <c:pt idx="3">
                  <c:v>101.5</c:v>
                </c:pt>
                <c:pt idx="4">
                  <c:v>101.5</c:v>
                </c:pt>
                <c:pt idx="5">
                  <c:v>101.5</c:v>
                </c:pt>
                <c:pt idx="6">
                  <c:v>101.5</c:v>
                </c:pt>
                <c:pt idx="7">
                  <c:v>101.5</c:v>
                </c:pt>
                <c:pt idx="8">
                  <c:v>99.05</c:v>
                </c:pt>
                <c:pt idx="9">
                  <c:v>98.85</c:v>
                </c:pt>
                <c:pt idx="10">
                  <c:v>97.85</c:v>
                </c:pt>
              </c:numCache>
            </c:numRef>
          </c:yVal>
        </c:ser>
        <c:ser>
          <c:idx val="1"/>
          <c:order val="1"/>
          <c:tx>
            <c:strRef>
              <c:f>Bund!$A$175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Bund!$D$174:$N$174</c:f>
              <c:numCache>
                <c:formatCode>0.000</c:formatCode>
                <c:ptCount val="11"/>
                <c:pt idx="0">
                  <c:v>0</c:v>
                </c:pt>
                <c:pt idx="1">
                  <c:v>4.2</c:v>
                </c:pt>
                <c:pt idx="2">
                  <c:v>5.7</c:v>
                </c:pt>
                <c:pt idx="3">
                  <c:v>6</c:v>
                </c:pt>
                <c:pt idx="4">
                  <c:v>7.1</c:v>
                </c:pt>
                <c:pt idx="5">
                  <c:v>7.2</c:v>
                </c:pt>
                <c:pt idx="6">
                  <c:v>8</c:v>
                </c:pt>
                <c:pt idx="7">
                  <c:v>8.6999999999999993</c:v>
                </c:pt>
                <c:pt idx="8">
                  <c:v>13.6</c:v>
                </c:pt>
                <c:pt idx="9">
                  <c:v>14</c:v>
                </c:pt>
                <c:pt idx="10">
                  <c:v>16</c:v>
                </c:pt>
              </c:numCache>
            </c:numRef>
          </c:xVal>
          <c:yVal>
            <c:numRef>
              <c:f>Bund!$D$175:$N$175</c:f>
              <c:numCache>
                <c:formatCode>0.000</c:formatCode>
                <c:ptCount val="11"/>
                <c:pt idx="0">
                  <c:v>97.69</c:v>
                </c:pt>
                <c:pt idx="1">
                  <c:v>100.5</c:v>
                </c:pt>
                <c:pt idx="2">
                  <c:v>100.908</c:v>
                </c:pt>
                <c:pt idx="3">
                  <c:v>100.99</c:v>
                </c:pt>
                <c:pt idx="4">
                  <c:v>100.99</c:v>
                </c:pt>
                <c:pt idx="5">
                  <c:v>100.99</c:v>
                </c:pt>
                <c:pt idx="6">
                  <c:v>100.99</c:v>
                </c:pt>
                <c:pt idx="7">
                  <c:v>100.598</c:v>
                </c:pt>
                <c:pt idx="8">
                  <c:v>97.85</c:v>
                </c:pt>
                <c:pt idx="9">
                  <c:v>97.85</c:v>
                </c:pt>
                <c:pt idx="10">
                  <c:v>97.85</c:v>
                </c:pt>
              </c:numCache>
            </c:numRef>
          </c:yVal>
        </c:ser>
        <c:axId val="60961536"/>
        <c:axId val="60963072"/>
      </c:scatterChart>
      <c:valAx>
        <c:axId val="60961536"/>
        <c:scaling>
          <c:orientation val="minMax"/>
          <c:max val="18"/>
          <c:min val="-1.5"/>
        </c:scaling>
        <c:axPos val="b"/>
        <c:majorGridlines/>
        <c:numFmt formatCode="0.000" sourceLinked="1"/>
        <c:majorTickMark val="none"/>
        <c:tickLblPos val="nextTo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60963072"/>
        <c:crossesAt val="-2"/>
        <c:crossBetween val="midCat"/>
        <c:majorUnit val="1"/>
        <c:minorUnit val="0.1"/>
      </c:valAx>
      <c:valAx>
        <c:axId val="60963072"/>
        <c:scaling>
          <c:orientation val="minMax"/>
          <c:max val="102"/>
          <c:min val="97"/>
        </c:scaling>
        <c:axPos val="r"/>
        <c:majorGridlines/>
        <c:numFmt formatCode="0.00" sourceLinked="0"/>
        <c:majorTickMark val="none"/>
        <c:tickLblPos val="low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60961536"/>
        <c:crosses val="max"/>
        <c:crossBetween val="midCat"/>
        <c:majorUnit val="1"/>
      </c:valAx>
    </c:plotArea>
    <c:legend>
      <c:legendPos val="b"/>
    </c:legend>
    <c:dispBlanksAs val="span"/>
  </c:chart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(2)'!$A$122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(2)'!$C$121:$L$121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(2)'!$C$122:$L$122</c:f>
              <c:numCache>
                <c:formatCode>0.000</c:formatCode>
                <c:ptCount val="10"/>
                <c:pt idx="0">
                  <c:v>98.82</c:v>
                </c:pt>
                <c:pt idx="1">
                  <c:v>97.23</c:v>
                </c:pt>
                <c:pt idx="2">
                  <c:v>97.23</c:v>
                </c:pt>
                <c:pt idx="3">
                  <c:v>97.23</c:v>
                </c:pt>
                <c:pt idx="4">
                  <c:v>97.23</c:v>
                </c:pt>
                <c:pt idx="5">
                  <c:v>97.23</c:v>
                </c:pt>
                <c:pt idx="6">
                  <c:v>98.99</c:v>
                </c:pt>
              </c:numCache>
            </c:numRef>
          </c:yVal>
        </c:ser>
        <c:ser>
          <c:idx val="1"/>
          <c:order val="1"/>
          <c:tx>
            <c:strRef>
              <c:f>'fc (2)'!$A$124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(2)'!$C$123:$L$123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(2)'!$C$124:$L$124</c:f>
              <c:numCache>
                <c:formatCode>0.000</c:formatCode>
                <c:ptCount val="10"/>
                <c:pt idx="0">
                  <c:v>98.82</c:v>
                </c:pt>
                <c:pt idx="1">
                  <c:v>97.903000000000006</c:v>
                </c:pt>
                <c:pt idx="2">
                  <c:v>97.75</c:v>
                </c:pt>
                <c:pt idx="3">
                  <c:v>97.75</c:v>
                </c:pt>
                <c:pt idx="4">
                  <c:v>97.75</c:v>
                </c:pt>
                <c:pt idx="5">
                  <c:v>97.905000000000001</c:v>
                </c:pt>
                <c:pt idx="6">
                  <c:v>98.99</c:v>
                </c:pt>
              </c:numCache>
            </c:numRef>
          </c:yVal>
        </c:ser>
        <c:axId val="72620288"/>
        <c:axId val="72630272"/>
      </c:scatterChart>
      <c:valAx>
        <c:axId val="72620288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2630272"/>
        <c:crossesAt val="-2"/>
        <c:crossBetween val="midCat"/>
        <c:majorUnit val="1"/>
        <c:minorUnit val="0.5"/>
      </c:valAx>
      <c:valAx>
        <c:axId val="72630272"/>
        <c:scaling>
          <c:orientation val="minMax"/>
          <c:max val="103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2620288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99" r="0.75000000000001099" t="1" header="0.5" footer="0.5"/>
    <c:pageSetup paperSize="9" orientation="landscape" horizontalDpi="360" verticalDpi="360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(2)'!$A$167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(2)'!$C$166:$L$166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(2)'!$C$167:$L$167</c:f>
              <c:numCache>
                <c:formatCode>0.000</c:formatCode>
                <c:ptCount val="10"/>
                <c:pt idx="0">
                  <c:v>98.58</c:v>
                </c:pt>
                <c:pt idx="1">
                  <c:v>97.22</c:v>
                </c:pt>
                <c:pt idx="2">
                  <c:v>97.22</c:v>
                </c:pt>
                <c:pt idx="3">
                  <c:v>97.22</c:v>
                </c:pt>
                <c:pt idx="4">
                  <c:v>97.22</c:v>
                </c:pt>
                <c:pt idx="5">
                  <c:v>97.22</c:v>
                </c:pt>
                <c:pt idx="6">
                  <c:v>98.78</c:v>
                </c:pt>
              </c:numCache>
            </c:numRef>
          </c:yVal>
        </c:ser>
        <c:ser>
          <c:idx val="1"/>
          <c:order val="1"/>
          <c:tx>
            <c:strRef>
              <c:f>'fc (2)'!$A$169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(2)'!$C$168:$L$168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(2)'!$C$169:$L$169</c:f>
              <c:numCache>
                <c:formatCode>0.000</c:formatCode>
                <c:ptCount val="10"/>
                <c:pt idx="0">
                  <c:v>98.58</c:v>
                </c:pt>
                <c:pt idx="1">
                  <c:v>97.825999999999993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97.82</c:v>
                </c:pt>
                <c:pt idx="6">
                  <c:v>98.78</c:v>
                </c:pt>
              </c:numCache>
            </c:numRef>
          </c:yVal>
        </c:ser>
        <c:axId val="72650112"/>
        <c:axId val="72660096"/>
      </c:scatterChart>
      <c:valAx>
        <c:axId val="72650112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2660096"/>
        <c:crossesAt val="-2"/>
        <c:crossBetween val="midCat"/>
        <c:majorUnit val="1"/>
        <c:minorUnit val="0.5"/>
      </c:valAx>
      <c:valAx>
        <c:axId val="72660096"/>
        <c:scaling>
          <c:orientation val="minMax"/>
          <c:max val="101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2650112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21" r="0.75000000000001121" t="1" header="0.5" footer="0.5"/>
    <c:pageSetup paperSize="9" orientation="landscape" horizontalDpi="360" verticalDpi="360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(2)'!$A$207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(2)'!$C$206:$K$206</c:f>
              <c:numCache>
                <c:formatCode>0.000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1.7</c:v>
                </c:pt>
                <c:pt idx="3">
                  <c:v>2.8</c:v>
                </c:pt>
                <c:pt idx="4">
                  <c:v>2.8</c:v>
                </c:pt>
              </c:numCache>
            </c:numRef>
          </c:xVal>
          <c:yVal>
            <c:numRef>
              <c:f>'fc (2)'!$C$207:$K$207</c:f>
              <c:numCache>
                <c:formatCode>0.000</c:formatCode>
                <c:ptCount val="9"/>
                <c:pt idx="0">
                  <c:v>98.19</c:v>
                </c:pt>
                <c:pt idx="1">
                  <c:v>97.18</c:v>
                </c:pt>
                <c:pt idx="2">
                  <c:v>97.18</c:v>
                </c:pt>
                <c:pt idx="3">
                  <c:v>97.18</c:v>
                </c:pt>
                <c:pt idx="4">
                  <c:v>98.34</c:v>
                </c:pt>
              </c:numCache>
            </c:numRef>
          </c:yVal>
        </c:ser>
        <c:ser>
          <c:idx val="1"/>
          <c:order val="1"/>
          <c:tx>
            <c:strRef>
              <c:f>'fc (2)'!$A$209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(2)'!$C$208:$L$208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1.7</c:v>
                </c:pt>
                <c:pt idx="3">
                  <c:v>2.8</c:v>
                </c:pt>
                <c:pt idx="4">
                  <c:v>2.8</c:v>
                </c:pt>
              </c:numCache>
            </c:numRef>
          </c:xVal>
          <c:yVal>
            <c:numRef>
              <c:f>'fc (2)'!$C$209:$L$209</c:f>
              <c:numCache>
                <c:formatCode>0.000</c:formatCode>
                <c:ptCount val="10"/>
                <c:pt idx="0">
                  <c:v>98.19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98.34</c:v>
                </c:pt>
              </c:numCache>
            </c:numRef>
          </c:yVal>
        </c:ser>
        <c:axId val="72684288"/>
        <c:axId val="72685824"/>
      </c:scatterChart>
      <c:valAx>
        <c:axId val="72684288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2685824"/>
        <c:crossesAt val="-2"/>
        <c:crossBetween val="midCat"/>
        <c:majorUnit val="1"/>
        <c:minorUnit val="0.5"/>
      </c:valAx>
      <c:valAx>
        <c:axId val="72685824"/>
        <c:scaling>
          <c:orientation val="minMax"/>
          <c:max val="101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2684288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44" r="0.75000000000001144" t="1" header="0.5" footer="0.5"/>
    <c:pageSetup paperSize="9" orientation="landscape" horizontalDpi="360" verticalDpi="360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(2)'!$A$250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(2)'!$C$249:$L$249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2.8</c:v>
                </c:pt>
              </c:numCache>
            </c:numRef>
          </c:xVal>
          <c:yVal>
            <c:numRef>
              <c:f>'fc (2)'!$C$250:$L$250</c:f>
              <c:numCache>
                <c:formatCode>0.000</c:formatCode>
                <c:ptCount val="10"/>
                <c:pt idx="0">
                  <c:v>98.6</c:v>
                </c:pt>
                <c:pt idx="1">
                  <c:v>97.16</c:v>
                </c:pt>
                <c:pt idx="2">
                  <c:v>97.16</c:v>
                </c:pt>
                <c:pt idx="3">
                  <c:v>97.16</c:v>
                </c:pt>
                <c:pt idx="4">
                  <c:v>97.16</c:v>
                </c:pt>
                <c:pt idx="5">
                  <c:v>97.16</c:v>
                </c:pt>
                <c:pt idx="6">
                  <c:v>98.5</c:v>
                </c:pt>
              </c:numCache>
            </c:numRef>
          </c:yVal>
        </c:ser>
        <c:ser>
          <c:idx val="1"/>
          <c:order val="1"/>
          <c:tx>
            <c:strRef>
              <c:f>'fc (2)'!$A$252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(2)'!$C$251:$L$251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2.8</c:v>
                </c:pt>
              </c:numCache>
            </c:numRef>
          </c:xVal>
          <c:yVal>
            <c:numRef>
              <c:f>'fc (2)'!$C$252:$L$252</c:f>
              <c:numCache>
                <c:formatCode>0.000</c:formatCode>
                <c:ptCount val="10"/>
                <c:pt idx="0">
                  <c:v>98.6</c:v>
                </c:pt>
                <c:pt idx="1">
                  <c:v>97.725999999999999</c:v>
                </c:pt>
                <c:pt idx="2">
                  <c:v>97.58</c:v>
                </c:pt>
                <c:pt idx="3">
                  <c:v>97.58</c:v>
                </c:pt>
                <c:pt idx="4">
                  <c:v>97.58</c:v>
                </c:pt>
                <c:pt idx="5">
                  <c:v>97.58</c:v>
                </c:pt>
                <c:pt idx="6">
                  <c:v>98.5</c:v>
                </c:pt>
              </c:numCache>
            </c:numRef>
          </c:yVal>
        </c:ser>
        <c:axId val="72726400"/>
        <c:axId val="72727936"/>
      </c:scatterChart>
      <c:valAx>
        <c:axId val="72726400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2727936"/>
        <c:crossesAt val="-2"/>
        <c:crossBetween val="midCat"/>
        <c:majorUnit val="1"/>
        <c:minorUnit val="0.5"/>
      </c:valAx>
      <c:valAx>
        <c:axId val="72727936"/>
        <c:scaling>
          <c:orientation val="minMax"/>
          <c:max val="101"/>
          <c:min val="96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2726400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66" r="0.75000000000001166" t="1" header="0.5" footer="0.5"/>
    <c:pageSetup paperSize="9" orientation="landscape" horizontalDpi="360" verticalDpi="360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(2)'!$A$285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(2)'!$C$284:$L$284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2.8</c:v>
                </c:pt>
              </c:numCache>
            </c:numRef>
          </c:xVal>
          <c:yVal>
            <c:numRef>
              <c:f>'fc (2)'!$C$285:$L$285</c:f>
              <c:numCache>
                <c:formatCode>0.000</c:formatCode>
                <c:ptCount val="10"/>
                <c:pt idx="0">
                  <c:v>98.01</c:v>
                </c:pt>
                <c:pt idx="1">
                  <c:v>97.11</c:v>
                </c:pt>
                <c:pt idx="2">
                  <c:v>97.11</c:v>
                </c:pt>
                <c:pt idx="3">
                  <c:v>97.11</c:v>
                </c:pt>
                <c:pt idx="4">
                  <c:v>97.11</c:v>
                </c:pt>
                <c:pt idx="5">
                  <c:v>97.11</c:v>
                </c:pt>
                <c:pt idx="6">
                  <c:v>98.18</c:v>
                </c:pt>
              </c:numCache>
            </c:numRef>
          </c:yVal>
        </c:ser>
        <c:ser>
          <c:idx val="1"/>
          <c:order val="1"/>
          <c:tx>
            <c:strRef>
              <c:f>'fc (2)'!$A$287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(2)'!$C$286:$L$286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2.8</c:v>
                </c:pt>
              </c:numCache>
            </c:numRef>
          </c:xVal>
          <c:yVal>
            <c:numRef>
              <c:f>'fc (2)'!$C$287:$L$287</c:f>
              <c:numCache>
                <c:formatCode>0.000</c:formatCode>
                <c:ptCount val="10"/>
                <c:pt idx="0">
                  <c:v>98.01</c:v>
                </c:pt>
                <c:pt idx="1">
                  <c:v>97.53</c:v>
                </c:pt>
                <c:pt idx="2">
                  <c:v>97.45</c:v>
                </c:pt>
                <c:pt idx="3">
                  <c:v>97.45</c:v>
                </c:pt>
                <c:pt idx="4">
                  <c:v>97.45</c:v>
                </c:pt>
                <c:pt idx="5">
                  <c:v>97.45</c:v>
                </c:pt>
                <c:pt idx="6">
                  <c:v>98.18</c:v>
                </c:pt>
              </c:numCache>
            </c:numRef>
          </c:yVal>
        </c:ser>
        <c:axId val="72743936"/>
        <c:axId val="72770304"/>
      </c:scatterChart>
      <c:valAx>
        <c:axId val="72743936"/>
        <c:scaling>
          <c:orientation val="minMax"/>
          <c:max val="8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2770304"/>
        <c:crossesAt val="-2"/>
        <c:crossBetween val="midCat"/>
        <c:majorUnit val="1"/>
        <c:minorUnit val="0.5"/>
      </c:valAx>
      <c:valAx>
        <c:axId val="72770304"/>
        <c:scaling>
          <c:orientation val="minMax"/>
          <c:max val="100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274393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55" r="0.75000000000001055" t="1" header="0.5" footer="0.5"/>
    <c:pageSetup paperSize="9" orientation="landscape" horizontalDpi="360" verticalDpi="360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(2)'!$A$333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(2)'!$C$332:$L$332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(2)'!$C$333:$L$333</c:f>
              <c:numCache>
                <c:formatCode>0.000</c:formatCode>
                <c:ptCount val="10"/>
                <c:pt idx="0">
                  <c:v>98.11</c:v>
                </c:pt>
                <c:pt idx="1">
                  <c:v>97.07</c:v>
                </c:pt>
                <c:pt idx="2">
                  <c:v>97.07</c:v>
                </c:pt>
                <c:pt idx="3">
                  <c:v>97.07</c:v>
                </c:pt>
                <c:pt idx="4">
                  <c:v>97.07</c:v>
                </c:pt>
                <c:pt idx="5">
                  <c:v>97.07</c:v>
                </c:pt>
                <c:pt idx="6">
                  <c:v>98.31</c:v>
                </c:pt>
              </c:numCache>
            </c:numRef>
          </c:yVal>
        </c:ser>
        <c:ser>
          <c:idx val="1"/>
          <c:order val="1"/>
          <c:tx>
            <c:strRef>
              <c:f>'fc (2)'!$A$335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(2)'!$C$334:$L$334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(2)'!$C$335:$L$335</c:f>
              <c:numCache>
                <c:formatCode>0.000</c:formatCode>
                <c:ptCount val="10"/>
                <c:pt idx="0">
                  <c:v>98.11</c:v>
                </c:pt>
                <c:pt idx="1">
                  <c:v>97.561000000000007</c:v>
                </c:pt>
                <c:pt idx="2">
                  <c:v>97.47</c:v>
                </c:pt>
                <c:pt idx="3">
                  <c:v>97.47</c:v>
                </c:pt>
                <c:pt idx="4">
                  <c:v>97.47</c:v>
                </c:pt>
                <c:pt idx="5">
                  <c:v>97.563000000000002</c:v>
                </c:pt>
                <c:pt idx="6">
                  <c:v>98.31</c:v>
                </c:pt>
              </c:numCache>
            </c:numRef>
          </c:yVal>
        </c:ser>
        <c:axId val="72802688"/>
        <c:axId val="72804224"/>
      </c:scatterChart>
      <c:valAx>
        <c:axId val="72802688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2804224"/>
        <c:crossesAt val="-2"/>
        <c:crossBetween val="midCat"/>
        <c:majorUnit val="1"/>
        <c:minorUnit val="0.5"/>
      </c:valAx>
      <c:valAx>
        <c:axId val="72804224"/>
        <c:scaling>
          <c:orientation val="minMax"/>
          <c:max val="100"/>
          <c:min val="93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2802688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77" r="0.75000000000001077" t="1" header="0.5" footer="0.5"/>
    <c:pageSetup paperSize="9" orientation="landscape" horizontalDpi="360" verticalDpi="360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(2)'!$A$369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(2)'!$C$368:$L$368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(2)'!$C$369:$L$369</c:f>
              <c:numCache>
                <c:formatCode>0.000</c:formatCode>
                <c:ptCount val="10"/>
                <c:pt idx="0">
                  <c:v>97.98</c:v>
                </c:pt>
                <c:pt idx="1">
                  <c:v>96.98</c:v>
                </c:pt>
                <c:pt idx="2">
                  <c:v>96.98</c:v>
                </c:pt>
                <c:pt idx="3">
                  <c:v>96.98</c:v>
                </c:pt>
                <c:pt idx="4">
                  <c:v>96.98</c:v>
                </c:pt>
                <c:pt idx="5">
                  <c:v>96.98</c:v>
                </c:pt>
                <c:pt idx="6">
                  <c:v>98.13</c:v>
                </c:pt>
              </c:numCache>
            </c:numRef>
          </c:yVal>
        </c:ser>
        <c:ser>
          <c:idx val="1"/>
          <c:order val="1"/>
          <c:tx>
            <c:strRef>
              <c:f>'fc (2)'!$A$371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(2)'!$C$370:$L$370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(2)'!$C$371:$L$371</c:f>
              <c:numCache>
                <c:formatCode>0.000</c:formatCode>
                <c:ptCount val="10"/>
                <c:pt idx="0">
                  <c:v>97.98</c:v>
                </c:pt>
                <c:pt idx="1">
                  <c:v>97.484999999999999</c:v>
                </c:pt>
                <c:pt idx="2">
                  <c:v>97.4</c:v>
                </c:pt>
                <c:pt idx="3">
                  <c:v>97.4</c:v>
                </c:pt>
                <c:pt idx="4">
                  <c:v>97.4</c:v>
                </c:pt>
                <c:pt idx="5">
                  <c:v>97.491</c:v>
                </c:pt>
                <c:pt idx="6">
                  <c:v>98.13</c:v>
                </c:pt>
              </c:numCache>
            </c:numRef>
          </c:yVal>
        </c:ser>
        <c:axId val="72832512"/>
        <c:axId val="72834048"/>
      </c:scatterChart>
      <c:valAx>
        <c:axId val="72832512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2834048"/>
        <c:crossesAt val="-2"/>
        <c:crossBetween val="midCat"/>
        <c:majorUnit val="1"/>
        <c:minorUnit val="0.5"/>
      </c:valAx>
      <c:valAx>
        <c:axId val="72834048"/>
        <c:scaling>
          <c:orientation val="minMax"/>
          <c:max val="100"/>
          <c:min val="94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2832512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99" r="0.75000000000001099" t="1" header="0.5" footer="0.5"/>
    <c:pageSetup paperSize="9" orientation="landscape" horizontalDpi="360" verticalDpi="360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(2)'!$A$416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(2)'!$C$415:$L$415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(2)'!$C$416:$L$416</c:f>
              <c:numCache>
                <c:formatCode>0.000</c:formatCode>
                <c:ptCount val="10"/>
                <c:pt idx="0">
                  <c:v>98.07</c:v>
                </c:pt>
                <c:pt idx="1">
                  <c:v>96.89</c:v>
                </c:pt>
                <c:pt idx="2">
                  <c:v>96.89</c:v>
                </c:pt>
                <c:pt idx="3">
                  <c:v>96.89</c:v>
                </c:pt>
                <c:pt idx="4">
                  <c:v>96.89</c:v>
                </c:pt>
                <c:pt idx="5">
                  <c:v>96.89</c:v>
                </c:pt>
                <c:pt idx="6">
                  <c:v>98.25</c:v>
                </c:pt>
              </c:numCache>
            </c:numRef>
          </c:yVal>
        </c:ser>
        <c:ser>
          <c:idx val="1"/>
          <c:order val="1"/>
          <c:tx>
            <c:strRef>
              <c:f>'fc (2)'!$A$418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(2)'!$C$417:$L$417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(2)'!$C$418:$L$418</c:f>
              <c:numCache>
                <c:formatCode>0.000</c:formatCode>
                <c:ptCount val="10"/>
                <c:pt idx="0">
                  <c:v>98.07</c:v>
                </c:pt>
                <c:pt idx="1">
                  <c:v>97.424999999999997</c:v>
                </c:pt>
                <c:pt idx="2">
                  <c:v>97.32</c:v>
                </c:pt>
                <c:pt idx="3">
                  <c:v>97.32</c:v>
                </c:pt>
                <c:pt idx="4">
                  <c:v>97.32</c:v>
                </c:pt>
                <c:pt idx="5">
                  <c:v>97.423000000000002</c:v>
                </c:pt>
                <c:pt idx="6">
                  <c:v>98.25</c:v>
                </c:pt>
              </c:numCache>
            </c:numRef>
          </c:yVal>
        </c:ser>
        <c:axId val="72874624"/>
        <c:axId val="72876416"/>
      </c:scatterChart>
      <c:valAx>
        <c:axId val="72874624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2876416"/>
        <c:crossesAt val="-2"/>
        <c:crossBetween val="midCat"/>
        <c:majorUnit val="1"/>
        <c:minorUnit val="0.5"/>
      </c:valAx>
      <c:valAx>
        <c:axId val="72876416"/>
        <c:scaling>
          <c:orientation val="minMax"/>
          <c:max val="100"/>
          <c:min val="94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2874624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21" r="0.75000000000001121" t="1" header="0.5" footer="0.5"/>
    <c:pageSetup paperSize="9" orientation="landscape" horizontalDpi="360" verticalDpi="360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(2)'!$A$465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(2)'!$C$464:$L$464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(2)'!$C$465:$L$465</c:f>
              <c:numCache>
                <c:formatCode>0.000</c:formatCode>
                <c:ptCount val="10"/>
                <c:pt idx="0">
                  <c:v>98.33</c:v>
                </c:pt>
                <c:pt idx="1">
                  <c:v>96.88</c:v>
                </c:pt>
                <c:pt idx="2">
                  <c:v>96.88</c:v>
                </c:pt>
                <c:pt idx="3">
                  <c:v>96.88</c:v>
                </c:pt>
                <c:pt idx="4">
                  <c:v>96.88</c:v>
                </c:pt>
                <c:pt idx="5">
                  <c:v>96.88</c:v>
                </c:pt>
                <c:pt idx="6">
                  <c:v>98.5</c:v>
                </c:pt>
              </c:numCache>
            </c:numRef>
          </c:yVal>
        </c:ser>
        <c:ser>
          <c:idx val="1"/>
          <c:order val="1"/>
          <c:tx>
            <c:strRef>
              <c:f>'fc (2)'!$A$467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(2)'!$C$466:$L$466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(2)'!$C$467:$L$467</c:f>
              <c:numCache>
                <c:formatCode>0.000</c:formatCode>
                <c:ptCount val="10"/>
                <c:pt idx="0">
                  <c:v>98.33</c:v>
                </c:pt>
                <c:pt idx="1">
                  <c:v>97.447999999999993</c:v>
                </c:pt>
                <c:pt idx="2">
                  <c:v>97.3</c:v>
                </c:pt>
                <c:pt idx="3">
                  <c:v>97.3</c:v>
                </c:pt>
                <c:pt idx="4">
                  <c:v>97.3</c:v>
                </c:pt>
                <c:pt idx="5">
                  <c:v>97.45</c:v>
                </c:pt>
                <c:pt idx="6">
                  <c:v>98.5</c:v>
                </c:pt>
              </c:numCache>
            </c:numRef>
          </c:yVal>
        </c:ser>
        <c:axId val="72896512"/>
        <c:axId val="72898048"/>
      </c:scatterChart>
      <c:valAx>
        <c:axId val="72896512"/>
        <c:scaling>
          <c:orientation val="minMax"/>
          <c:max val="8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2898048"/>
        <c:crossesAt val="-2"/>
        <c:crossBetween val="midCat"/>
        <c:majorUnit val="1"/>
        <c:minorUnit val="0.5"/>
      </c:valAx>
      <c:valAx>
        <c:axId val="72898048"/>
        <c:scaling>
          <c:orientation val="minMax"/>
          <c:max val="100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2896512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55" r="0.75000000000001055" t="1" header="0.5" footer="0.5"/>
    <c:pageSetup paperSize="9" orientation="landscape" horizontalDpi="360" verticalDpi="360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(2)'!$A$500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(2)'!$C$499:$L$499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(2)'!$C$500:$L$500</c:f>
              <c:numCache>
                <c:formatCode>0.000</c:formatCode>
                <c:ptCount val="10"/>
                <c:pt idx="0">
                  <c:v>98.4</c:v>
                </c:pt>
                <c:pt idx="1">
                  <c:v>96.87</c:v>
                </c:pt>
                <c:pt idx="2">
                  <c:v>96.87</c:v>
                </c:pt>
                <c:pt idx="3">
                  <c:v>96.87</c:v>
                </c:pt>
                <c:pt idx="4">
                  <c:v>96.87</c:v>
                </c:pt>
                <c:pt idx="5">
                  <c:v>96.87</c:v>
                </c:pt>
                <c:pt idx="6">
                  <c:v>98.6</c:v>
                </c:pt>
              </c:numCache>
            </c:numRef>
          </c:yVal>
        </c:ser>
        <c:ser>
          <c:idx val="1"/>
          <c:order val="1"/>
          <c:tx>
            <c:strRef>
              <c:f>'fc (2)'!$A$502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(2)'!$C$501:$L$501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(2)'!$C$502:$L$502</c:f>
              <c:numCache>
                <c:formatCode>0.000</c:formatCode>
                <c:ptCount val="10"/>
                <c:pt idx="0">
                  <c:v>98.4</c:v>
                </c:pt>
                <c:pt idx="1">
                  <c:v>97.448999999999998</c:v>
                </c:pt>
                <c:pt idx="2">
                  <c:v>97.29</c:v>
                </c:pt>
                <c:pt idx="3">
                  <c:v>97.29</c:v>
                </c:pt>
                <c:pt idx="4">
                  <c:v>97.29</c:v>
                </c:pt>
                <c:pt idx="5">
                  <c:v>97.436000000000007</c:v>
                </c:pt>
                <c:pt idx="6">
                  <c:v>98.6</c:v>
                </c:pt>
              </c:numCache>
            </c:numRef>
          </c:yVal>
        </c:ser>
        <c:axId val="72918144"/>
        <c:axId val="72919680"/>
      </c:scatterChart>
      <c:valAx>
        <c:axId val="72918144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2919680"/>
        <c:crossesAt val="-2"/>
        <c:crossBetween val="midCat"/>
        <c:majorUnit val="1"/>
        <c:minorUnit val="0.5"/>
      </c:valAx>
      <c:valAx>
        <c:axId val="72919680"/>
        <c:scaling>
          <c:orientation val="minMax"/>
          <c:max val="100"/>
          <c:min val="93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2918144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77" r="0.75000000000001077" t="1" header="0.5" footer="0.5"/>
    <c:pageSetup paperSize="9" orientation="landscape" horizontalDpi="360" verticalDpi="36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Bund!$A$199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Bund!$C$198:$L$198</c:f>
              <c:numCache>
                <c:formatCode>0.000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5.3</c:v>
                </c:pt>
                <c:pt idx="3">
                  <c:v>5.6</c:v>
                </c:pt>
                <c:pt idx="4">
                  <c:v>6.8</c:v>
                </c:pt>
                <c:pt idx="5">
                  <c:v>6.9</c:v>
                </c:pt>
                <c:pt idx="6">
                  <c:v>7.5</c:v>
                </c:pt>
                <c:pt idx="7">
                  <c:v>8.3000000000000007</c:v>
                </c:pt>
                <c:pt idx="8">
                  <c:v>12</c:v>
                </c:pt>
                <c:pt idx="9">
                  <c:v>14.6</c:v>
                </c:pt>
              </c:numCache>
            </c:numRef>
          </c:xVal>
          <c:yVal>
            <c:numRef>
              <c:f>Bund!$C$199:$L$199</c:f>
              <c:numCache>
                <c:formatCode>0.000</c:formatCode>
                <c:ptCount val="10"/>
                <c:pt idx="0">
                  <c:v>97.95</c:v>
                </c:pt>
                <c:pt idx="1">
                  <c:v>100.63</c:v>
                </c:pt>
                <c:pt idx="2">
                  <c:v>101.5</c:v>
                </c:pt>
                <c:pt idx="3">
                  <c:v>101.5</c:v>
                </c:pt>
                <c:pt idx="4">
                  <c:v>101.5</c:v>
                </c:pt>
                <c:pt idx="5">
                  <c:v>101.5</c:v>
                </c:pt>
                <c:pt idx="6">
                  <c:v>101.5</c:v>
                </c:pt>
                <c:pt idx="7">
                  <c:v>101.5</c:v>
                </c:pt>
                <c:pt idx="8">
                  <c:v>99.66</c:v>
                </c:pt>
                <c:pt idx="9">
                  <c:v>98.37</c:v>
                </c:pt>
              </c:numCache>
            </c:numRef>
          </c:yVal>
        </c:ser>
        <c:ser>
          <c:idx val="1"/>
          <c:order val="1"/>
          <c:tx>
            <c:strRef>
              <c:f>Bund!$A$201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Bund!$C$200:$M$200</c:f>
              <c:numCache>
                <c:formatCode>0.000</c:formatCode>
                <c:ptCount val="11"/>
                <c:pt idx="0">
                  <c:v>0</c:v>
                </c:pt>
                <c:pt idx="1">
                  <c:v>4.2</c:v>
                </c:pt>
                <c:pt idx="2">
                  <c:v>5.7</c:v>
                </c:pt>
                <c:pt idx="3">
                  <c:v>6</c:v>
                </c:pt>
                <c:pt idx="4">
                  <c:v>7.1</c:v>
                </c:pt>
                <c:pt idx="5">
                  <c:v>7.2</c:v>
                </c:pt>
                <c:pt idx="6">
                  <c:v>8</c:v>
                </c:pt>
                <c:pt idx="7">
                  <c:v>8.6999999999999993</c:v>
                </c:pt>
                <c:pt idx="8">
                  <c:v>13.6</c:v>
                </c:pt>
                <c:pt idx="9">
                  <c:v>14.6</c:v>
                </c:pt>
              </c:numCache>
            </c:numRef>
          </c:xVal>
          <c:yVal>
            <c:numRef>
              <c:f>Bund!$C$201:$M$201</c:f>
              <c:numCache>
                <c:formatCode>0.000</c:formatCode>
                <c:ptCount val="11"/>
                <c:pt idx="0">
                  <c:v>97.95</c:v>
                </c:pt>
                <c:pt idx="1">
                  <c:v>100.63</c:v>
                </c:pt>
                <c:pt idx="2">
                  <c:v>100.937</c:v>
                </c:pt>
                <c:pt idx="3">
                  <c:v>101.01</c:v>
                </c:pt>
                <c:pt idx="4">
                  <c:v>101.01</c:v>
                </c:pt>
                <c:pt idx="5">
                  <c:v>101.01</c:v>
                </c:pt>
                <c:pt idx="6">
                  <c:v>101.01</c:v>
                </c:pt>
                <c:pt idx="7">
                  <c:v>100.541</c:v>
                </c:pt>
                <c:pt idx="8">
                  <c:v>98.37</c:v>
                </c:pt>
                <c:pt idx="9">
                  <c:v>98.37</c:v>
                </c:pt>
              </c:numCache>
            </c:numRef>
          </c:yVal>
        </c:ser>
        <c:axId val="60991744"/>
        <c:axId val="60997632"/>
      </c:scatterChart>
      <c:valAx>
        <c:axId val="60991744"/>
        <c:scaling>
          <c:orientation val="minMax"/>
          <c:max val="17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60997632"/>
        <c:crossesAt val="-2"/>
        <c:crossBetween val="midCat"/>
        <c:majorUnit val="1"/>
        <c:minorUnit val="0.5"/>
      </c:valAx>
      <c:valAx>
        <c:axId val="60997632"/>
        <c:scaling>
          <c:orientation val="minMax"/>
          <c:max val="102"/>
          <c:min val="96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60991744"/>
        <c:crosses val="max"/>
        <c:crossBetween val="midCat"/>
        <c:majorUnit val="1"/>
      </c:valAx>
    </c:plotArea>
    <c:dispBlanksAs val="gap"/>
  </c:chart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(2)'!$A$544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(2)'!$C$543:$L$543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(2)'!$C$544:$L$544</c:f>
              <c:numCache>
                <c:formatCode>0.000</c:formatCode>
                <c:ptCount val="10"/>
                <c:pt idx="0">
                  <c:v>98.2</c:v>
                </c:pt>
                <c:pt idx="1">
                  <c:v>96.87</c:v>
                </c:pt>
                <c:pt idx="2">
                  <c:v>96.87</c:v>
                </c:pt>
                <c:pt idx="3">
                  <c:v>96.87</c:v>
                </c:pt>
                <c:pt idx="4">
                  <c:v>96.87</c:v>
                </c:pt>
                <c:pt idx="5">
                  <c:v>96.87</c:v>
                </c:pt>
                <c:pt idx="6">
                  <c:v>98.35</c:v>
                </c:pt>
              </c:numCache>
            </c:numRef>
          </c:yVal>
        </c:ser>
        <c:ser>
          <c:idx val="1"/>
          <c:order val="1"/>
          <c:tx>
            <c:strRef>
              <c:f>'fc (2)'!$A$546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(2)'!$C$545:$L$545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(2)'!$C$546:$L$546</c:f>
              <c:numCache>
                <c:formatCode>0.000</c:formatCode>
                <c:ptCount val="10"/>
                <c:pt idx="0">
                  <c:v>98.2</c:v>
                </c:pt>
                <c:pt idx="1">
                  <c:v>97.432000000000002</c:v>
                </c:pt>
                <c:pt idx="2">
                  <c:v>97.31</c:v>
                </c:pt>
                <c:pt idx="3">
                  <c:v>97.31</c:v>
                </c:pt>
                <c:pt idx="4">
                  <c:v>97.31</c:v>
                </c:pt>
                <c:pt idx="5">
                  <c:v>97.44</c:v>
                </c:pt>
                <c:pt idx="6">
                  <c:v>98.35</c:v>
                </c:pt>
              </c:numCache>
            </c:numRef>
          </c:yVal>
        </c:ser>
        <c:axId val="72952448"/>
        <c:axId val="72954240"/>
      </c:scatterChart>
      <c:valAx>
        <c:axId val="72952448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2954240"/>
        <c:crossesAt val="-2"/>
        <c:crossBetween val="midCat"/>
        <c:majorUnit val="1"/>
        <c:minorUnit val="0.5"/>
      </c:valAx>
      <c:valAx>
        <c:axId val="72954240"/>
        <c:scaling>
          <c:orientation val="minMax"/>
          <c:max val="101"/>
          <c:min val="96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2952448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99" r="0.75000000000001099" t="1" header="0.5" footer="0.5"/>
    <c:pageSetup paperSize="9" orientation="landscape" horizontalDpi="360" verticalDpi="360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(2)'!$A$583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(2)'!$C$582:$L$582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(2)'!$C$583:$M$583</c:f>
              <c:numCache>
                <c:formatCode>0.000</c:formatCode>
                <c:ptCount val="11"/>
                <c:pt idx="0">
                  <c:v>98.04</c:v>
                </c:pt>
                <c:pt idx="1">
                  <c:v>96.87</c:v>
                </c:pt>
                <c:pt idx="2">
                  <c:v>96.87</c:v>
                </c:pt>
                <c:pt idx="3">
                  <c:v>96.87</c:v>
                </c:pt>
                <c:pt idx="4">
                  <c:v>96.87</c:v>
                </c:pt>
                <c:pt idx="5">
                  <c:v>96.87</c:v>
                </c:pt>
                <c:pt idx="6">
                  <c:v>98.22</c:v>
                </c:pt>
              </c:numCache>
            </c:numRef>
          </c:yVal>
        </c:ser>
        <c:ser>
          <c:idx val="1"/>
          <c:order val="1"/>
          <c:tx>
            <c:strRef>
              <c:f>'fc (2)'!$A$585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(2)'!$C$584:$L$584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(2)'!$C$585:$L$585</c:f>
              <c:numCache>
                <c:formatCode>0.000</c:formatCode>
                <c:ptCount val="10"/>
                <c:pt idx="0">
                  <c:v>98.04</c:v>
                </c:pt>
                <c:pt idx="1">
                  <c:v>97.38</c:v>
                </c:pt>
                <c:pt idx="2">
                  <c:v>97.27</c:v>
                </c:pt>
                <c:pt idx="3">
                  <c:v>97.27</c:v>
                </c:pt>
                <c:pt idx="4">
                  <c:v>97.27</c:v>
                </c:pt>
                <c:pt idx="5">
                  <c:v>97.373000000000005</c:v>
                </c:pt>
                <c:pt idx="6">
                  <c:v>98.22</c:v>
                </c:pt>
              </c:numCache>
            </c:numRef>
          </c:yVal>
        </c:ser>
        <c:axId val="72991104"/>
        <c:axId val="72992640"/>
      </c:scatterChart>
      <c:valAx>
        <c:axId val="72991104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2992640"/>
        <c:crossesAt val="-2"/>
        <c:crossBetween val="midCat"/>
        <c:majorUnit val="1"/>
        <c:minorUnit val="0.5"/>
      </c:valAx>
      <c:valAx>
        <c:axId val="72992640"/>
        <c:scaling>
          <c:orientation val="minMax"/>
          <c:max val="101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2991104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21" r="0.75000000000001121" t="1" header="0.5" footer="0.5"/>
    <c:pageSetup paperSize="9" orientation="landscape" horizontalDpi="360" verticalDpi="360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(2)'!$A$628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(2)'!$C$627:$L$627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(2)'!$C$628:$L$628</c:f>
              <c:numCache>
                <c:formatCode>0.000</c:formatCode>
                <c:ptCount val="10"/>
                <c:pt idx="0">
                  <c:v>98.17</c:v>
                </c:pt>
                <c:pt idx="1">
                  <c:v>96.86</c:v>
                </c:pt>
                <c:pt idx="2">
                  <c:v>96.86</c:v>
                </c:pt>
                <c:pt idx="3">
                  <c:v>96.86</c:v>
                </c:pt>
                <c:pt idx="4">
                  <c:v>96.86</c:v>
                </c:pt>
                <c:pt idx="5">
                  <c:v>96.86</c:v>
                </c:pt>
                <c:pt idx="6">
                  <c:v>98.34</c:v>
                </c:pt>
              </c:numCache>
            </c:numRef>
          </c:yVal>
        </c:ser>
        <c:ser>
          <c:idx val="1"/>
          <c:order val="1"/>
          <c:tx>
            <c:strRef>
              <c:f>'fc (2)'!$A$630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(2)'!$C$629:$L$629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(2)'!$C$630:$L$630</c:f>
              <c:numCache>
                <c:formatCode>0.000</c:formatCode>
                <c:ptCount val="10"/>
                <c:pt idx="0">
                  <c:v>98.17</c:v>
                </c:pt>
                <c:pt idx="1">
                  <c:v>97.433000000000007</c:v>
                </c:pt>
                <c:pt idx="2">
                  <c:v>97.31</c:v>
                </c:pt>
                <c:pt idx="3">
                  <c:v>97.31</c:v>
                </c:pt>
                <c:pt idx="4">
                  <c:v>97.31</c:v>
                </c:pt>
                <c:pt idx="5">
                  <c:v>97.438999999999993</c:v>
                </c:pt>
                <c:pt idx="6">
                  <c:v>98.34</c:v>
                </c:pt>
              </c:numCache>
            </c:numRef>
          </c:yVal>
        </c:ser>
        <c:axId val="73016832"/>
        <c:axId val="73018368"/>
      </c:scatterChart>
      <c:valAx>
        <c:axId val="73016832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018368"/>
        <c:crossesAt val="-2"/>
        <c:crossBetween val="midCat"/>
        <c:majorUnit val="1"/>
        <c:minorUnit val="0.5"/>
      </c:valAx>
      <c:valAx>
        <c:axId val="73018368"/>
        <c:scaling>
          <c:orientation val="minMax"/>
          <c:max val="100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3016832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44" r="0.75000000000001144" t="1" header="0.5" footer="0.5"/>
    <c:pageSetup paperSize="9" orientation="landscape" horizontalDpi="360" verticalDpi="360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(2)'!$A$667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(2)'!$C$666:$L$666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(2)'!$C$667:$L$667</c:f>
              <c:numCache>
                <c:formatCode>0.000</c:formatCode>
                <c:ptCount val="10"/>
                <c:pt idx="0">
                  <c:v>97.69</c:v>
                </c:pt>
                <c:pt idx="1">
                  <c:v>96.78</c:v>
                </c:pt>
                <c:pt idx="2">
                  <c:v>96.78</c:v>
                </c:pt>
                <c:pt idx="3">
                  <c:v>96.78</c:v>
                </c:pt>
                <c:pt idx="4">
                  <c:v>96.78</c:v>
                </c:pt>
                <c:pt idx="5">
                  <c:v>96.78</c:v>
                </c:pt>
                <c:pt idx="6">
                  <c:v>97.89</c:v>
                </c:pt>
              </c:numCache>
            </c:numRef>
          </c:yVal>
        </c:ser>
        <c:ser>
          <c:idx val="1"/>
          <c:order val="1"/>
          <c:tx>
            <c:strRef>
              <c:f>'fc (2)'!$A$669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(2)'!$C$668:$L$668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(2)'!$C$669:$L$669</c:f>
              <c:numCache>
                <c:formatCode>0.000</c:formatCode>
                <c:ptCount val="10"/>
                <c:pt idx="0">
                  <c:v>97.69</c:v>
                </c:pt>
                <c:pt idx="1">
                  <c:v>97.287000000000006</c:v>
                </c:pt>
                <c:pt idx="2">
                  <c:v>97.22</c:v>
                </c:pt>
                <c:pt idx="3">
                  <c:v>97.22</c:v>
                </c:pt>
                <c:pt idx="4">
                  <c:v>97.22</c:v>
                </c:pt>
                <c:pt idx="5">
                  <c:v>97.293999999999997</c:v>
                </c:pt>
                <c:pt idx="6">
                  <c:v>97.89</c:v>
                </c:pt>
              </c:numCache>
            </c:numRef>
          </c:yVal>
        </c:ser>
        <c:axId val="73046272"/>
        <c:axId val="73060352"/>
      </c:scatterChart>
      <c:valAx>
        <c:axId val="73046272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060352"/>
        <c:crossesAt val="-2"/>
        <c:crossBetween val="midCat"/>
        <c:majorUnit val="1"/>
        <c:minorUnit val="0.5"/>
      </c:valAx>
      <c:valAx>
        <c:axId val="73060352"/>
        <c:scaling>
          <c:orientation val="minMax"/>
          <c:max val="101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3046272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66" r="0.75000000000001166" t="1" header="0.5" footer="0.5"/>
    <c:pageSetup paperSize="9" orientation="landscape" horizontalDpi="360" verticalDpi="360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(2)'!$A$710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(2)'!$C$709:$L$709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(2)'!$C$710:$L$710</c:f>
              <c:numCache>
                <c:formatCode>0.000</c:formatCode>
                <c:ptCount val="10"/>
                <c:pt idx="0">
                  <c:v>97.79</c:v>
                </c:pt>
                <c:pt idx="1">
                  <c:v>96.77</c:v>
                </c:pt>
                <c:pt idx="2">
                  <c:v>96.77</c:v>
                </c:pt>
                <c:pt idx="3">
                  <c:v>96.77</c:v>
                </c:pt>
                <c:pt idx="4">
                  <c:v>96.77</c:v>
                </c:pt>
                <c:pt idx="5">
                  <c:v>96.77</c:v>
                </c:pt>
                <c:pt idx="6">
                  <c:v>97.94</c:v>
                </c:pt>
              </c:numCache>
            </c:numRef>
          </c:yVal>
        </c:ser>
        <c:ser>
          <c:idx val="1"/>
          <c:order val="1"/>
          <c:tx>
            <c:strRef>
              <c:f>'fc (2)'!$A$712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(2)'!$C$711:$L$711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(2)'!$C$712:$L$712</c:f>
              <c:numCache>
                <c:formatCode>0.000</c:formatCode>
                <c:ptCount val="10"/>
                <c:pt idx="0">
                  <c:v>97.79</c:v>
                </c:pt>
                <c:pt idx="1">
                  <c:v>97.295000000000002</c:v>
                </c:pt>
                <c:pt idx="2">
                  <c:v>97.21</c:v>
                </c:pt>
                <c:pt idx="3">
                  <c:v>97.21</c:v>
                </c:pt>
                <c:pt idx="4">
                  <c:v>97.21</c:v>
                </c:pt>
                <c:pt idx="5">
                  <c:v>97.301000000000002</c:v>
                </c:pt>
                <c:pt idx="6">
                  <c:v>97.94</c:v>
                </c:pt>
              </c:numCache>
            </c:numRef>
          </c:yVal>
        </c:ser>
        <c:axId val="73342336"/>
        <c:axId val="73368704"/>
      </c:scatterChart>
      <c:valAx>
        <c:axId val="73342336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368704"/>
        <c:crossesAt val="-2"/>
        <c:crossBetween val="midCat"/>
        <c:majorUnit val="1"/>
        <c:minorUnit val="0.5"/>
      </c:valAx>
      <c:valAx>
        <c:axId val="73368704"/>
        <c:scaling>
          <c:orientation val="minMax"/>
          <c:max val="101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334233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88" r="0.75000000000001188" t="1" header="0.5" footer="0.5"/>
    <c:pageSetup paperSize="9" orientation="landscape" horizontalDpi="360" verticalDpi="360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(2)'!$A$751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(2)'!$C$750:$L$750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(2)'!$C$751:$L$751</c:f>
              <c:numCache>
                <c:formatCode>0.000</c:formatCode>
                <c:ptCount val="10"/>
                <c:pt idx="0">
                  <c:v>97.66</c:v>
                </c:pt>
                <c:pt idx="1">
                  <c:v>96.54</c:v>
                </c:pt>
                <c:pt idx="2">
                  <c:v>96.54</c:v>
                </c:pt>
                <c:pt idx="3">
                  <c:v>96.54</c:v>
                </c:pt>
                <c:pt idx="4">
                  <c:v>96.54</c:v>
                </c:pt>
                <c:pt idx="5">
                  <c:v>96.54</c:v>
                </c:pt>
                <c:pt idx="6">
                  <c:v>97.84</c:v>
                </c:pt>
              </c:numCache>
            </c:numRef>
          </c:yVal>
        </c:ser>
        <c:ser>
          <c:idx val="1"/>
          <c:order val="1"/>
          <c:tx>
            <c:strRef>
              <c:f>'fc (2)'!$A$753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(2)'!$C$752:$L$752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(2)'!$C$753:$L$753</c:f>
              <c:numCache>
                <c:formatCode>0.000</c:formatCode>
                <c:ptCount val="10"/>
                <c:pt idx="0">
                  <c:v>97.66</c:v>
                </c:pt>
                <c:pt idx="1">
                  <c:v>97.06</c:v>
                </c:pt>
                <c:pt idx="2">
                  <c:v>96.96</c:v>
                </c:pt>
                <c:pt idx="3">
                  <c:v>96.96</c:v>
                </c:pt>
                <c:pt idx="4">
                  <c:v>96.96</c:v>
                </c:pt>
                <c:pt idx="5">
                  <c:v>97.058000000000007</c:v>
                </c:pt>
                <c:pt idx="6">
                  <c:v>97.84</c:v>
                </c:pt>
              </c:numCache>
            </c:numRef>
          </c:yVal>
        </c:ser>
        <c:axId val="73385088"/>
        <c:axId val="73386624"/>
      </c:scatterChart>
      <c:valAx>
        <c:axId val="73385088"/>
        <c:scaling>
          <c:orientation val="minMax"/>
          <c:max val="8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386624"/>
        <c:crossesAt val="-2"/>
        <c:crossBetween val="midCat"/>
        <c:majorUnit val="1"/>
        <c:minorUnit val="0.5"/>
      </c:valAx>
      <c:valAx>
        <c:axId val="73386624"/>
        <c:scaling>
          <c:orientation val="minMax"/>
          <c:max val="100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3385088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77" r="0.75000000000001077" t="1" header="0.5" footer="0.5"/>
    <c:pageSetup paperSize="9" orientation="landscape" horizontalDpi="360" verticalDpi="360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(2)'!$A$799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(2)'!$C$798:$L$798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(2)'!$C$799:$L$799</c:f>
              <c:numCache>
                <c:formatCode>0.000</c:formatCode>
                <c:ptCount val="10"/>
                <c:pt idx="0">
                  <c:v>97.57</c:v>
                </c:pt>
                <c:pt idx="1">
                  <c:v>96.54</c:v>
                </c:pt>
                <c:pt idx="2">
                  <c:v>96.54</c:v>
                </c:pt>
                <c:pt idx="3">
                  <c:v>96.54</c:v>
                </c:pt>
                <c:pt idx="4">
                  <c:v>96.54</c:v>
                </c:pt>
                <c:pt idx="5">
                  <c:v>96.54</c:v>
                </c:pt>
                <c:pt idx="6">
                  <c:v>97.74</c:v>
                </c:pt>
              </c:numCache>
            </c:numRef>
          </c:yVal>
        </c:ser>
        <c:ser>
          <c:idx val="1"/>
          <c:order val="1"/>
          <c:tx>
            <c:strRef>
              <c:f>'fc (2)'!$A$801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(2)'!$C$800:$L$800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(2)'!$C$801:$L$801</c:f>
              <c:numCache>
                <c:formatCode>0.000</c:formatCode>
                <c:ptCount val="10"/>
                <c:pt idx="0">
                  <c:v>97.57</c:v>
                </c:pt>
                <c:pt idx="1">
                  <c:v>97.063999999999993</c:v>
                </c:pt>
                <c:pt idx="2">
                  <c:v>96.98</c:v>
                </c:pt>
                <c:pt idx="3">
                  <c:v>96.98</c:v>
                </c:pt>
                <c:pt idx="4">
                  <c:v>96.98</c:v>
                </c:pt>
                <c:pt idx="5">
                  <c:v>97.075000000000003</c:v>
                </c:pt>
                <c:pt idx="6">
                  <c:v>97.74</c:v>
                </c:pt>
              </c:numCache>
            </c:numRef>
          </c:yVal>
        </c:ser>
        <c:axId val="73411200"/>
        <c:axId val="73421184"/>
      </c:scatterChart>
      <c:valAx>
        <c:axId val="73411200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421184"/>
        <c:crossesAt val="-2"/>
        <c:crossBetween val="midCat"/>
        <c:majorUnit val="1"/>
        <c:minorUnit val="0.5"/>
      </c:valAx>
      <c:valAx>
        <c:axId val="73421184"/>
        <c:scaling>
          <c:orientation val="minMax"/>
          <c:max val="100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3411200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99" r="0.75000000000001099" t="1" header="0.5" footer="0.5"/>
    <c:pageSetup paperSize="9" orientation="landscape" horizontalDpi="360" verticalDpi="360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(2)'!$A$834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(2)'!$C$833:$L$833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(2)'!$C$834:$L$834</c:f>
              <c:numCache>
                <c:formatCode>0.000</c:formatCode>
                <c:ptCount val="10"/>
                <c:pt idx="0">
                  <c:v>97.71</c:v>
                </c:pt>
                <c:pt idx="1">
                  <c:v>96.54</c:v>
                </c:pt>
                <c:pt idx="2">
                  <c:v>96.54</c:v>
                </c:pt>
                <c:pt idx="3">
                  <c:v>96.54</c:v>
                </c:pt>
                <c:pt idx="4">
                  <c:v>96.54</c:v>
                </c:pt>
                <c:pt idx="5">
                  <c:v>96.54</c:v>
                </c:pt>
                <c:pt idx="6">
                  <c:v>97.91</c:v>
                </c:pt>
              </c:numCache>
            </c:numRef>
          </c:yVal>
        </c:ser>
        <c:ser>
          <c:idx val="1"/>
          <c:order val="1"/>
          <c:tx>
            <c:strRef>
              <c:f>'fc (2)'!$A$836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(2)'!$C$835:$L$835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(2)'!$C$836:$L$836</c:f>
              <c:numCache>
                <c:formatCode>0.000</c:formatCode>
                <c:ptCount val="10"/>
                <c:pt idx="0">
                  <c:v>97.71</c:v>
                </c:pt>
                <c:pt idx="1">
                  <c:v>97.05</c:v>
                </c:pt>
                <c:pt idx="2">
                  <c:v>96.94</c:v>
                </c:pt>
                <c:pt idx="3">
                  <c:v>96.94</c:v>
                </c:pt>
                <c:pt idx="4">
                  <c:v>96.94</c:v>
                </c:pt>
                <c:pt idx="5">
                  <c:v>97.045000000000002</c:v>
                </c:pt>
                <c:pt idx="6">
                  <c:v>97.91</c:v>
                </c:pt>
              </c:numCache>
            </c:numRef>
          </c:yVal>
        </c:ser>
        <c:axId val="73440640"/>
        <c:axId val="73462912"/>
      </c:scatterChart>
      <c:valAx>
        <c:axId val="73440640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462912"/>
        <c:crossesAt val="-2"/>
        <c:crossBetween val="midCat"/>
        <c:majorUnit val="1"/>
        <c:minorUnit val="0.5"/>
      </c:valAx>
      <c:valAx>
        <c:axId val="73462912"/>
        <c:scaling>
          <c:orientation val="minMax"/>
          <c:max val="100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3440640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21" r="0.75000000000001121" t="1" header="0.5" footer="0.5"/>
    <c:pageSetup paperSize="9" orientation="landscape" horizontalDpi="360" verticalDpi="360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(2)'!$A$881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(2)'!$C$880:$L$880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(2)'!$C$881:$L$881</c:f>
              <c:numCache>
                <c:formatCode>0.000</c:formatCode>
                <c:ptCount val="10"/>
                <c:pt idx="0">
                  <c:v>97.62</c:v>
                </c:pt>
                <c:pt idx="1">
                  <c:v>96.53</c:v>
                </c:pt>
                <c:pt idx="2">
                  <c:v>96.53</c:v>
                </c:pt>
                <c:pt idx="3">
                  <c:v>96.53</c:v>
                </c:pt>
                <c:pt idx="4">
                  <c:v>96.53</c:v>
                </c:pt>
                <c:pt idx="5">
                  <c:v>96.53</c:v>
                </c:pt>
                <c:pt idx="6">
                  <c:v>97.77</c:v>
                </c:pt>
              </c:numCache>
            </c:numRef>
          </c:yVal>
        </c:ser>
        <c:ser>
          <c:idx val="1"/>
          <c:order val="1"/>
          <c:tx>
            <c:strRef>
              <c:f>'fc (2)'!$A$883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(2)'!$C$882:$L$882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(2)'!$C$883:$L$883</c:f>
              <c:numCache>
                <c:formatCode>0.000</c:formatCode>
                <c:ptCount val="10"/>
                <c:pt idx="0">
                  <c:v>97.62</c:v>
                </c:pt>
                <c:pt idx="1">
                  <c:v>97.046000000000006</c:v>
                </c:pt>
                <c:pt idx="2">
                  <c:v>96.95</c:v>
                </c:pt>
                <c:pt idx="3">
                  <c:v>96.95</c:v>
                </c:pt>
                <c:pt idx="4">
                  <c:v>96.95</c:v>
                </c:pt>
                <c:pt idx="5">
                  <c:v>97.052999999999997</c:v>
                </c:pt>
                <c:pt idx="6">
                  <c:v>97.77</c:v>
                </c:pt>
              </c:numCache>
            </c:numRef>
          </c:yVal>
        </c:ser>
        <c:axId val="73486720"/>
        <c:axId val="73488256"/>
      </c:scatterChart>
      <c:valAx>
        <c:axId val="73486720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488256"/>
        <c:crossesAt val="-2"/>
        <c:crossBetween val="midCat"/>
        <c:majorUnit val="1"/>
        <c:minorUnit val="0.5"/>
      </c:valAx>
      <c:valAx>
        <c:axId val="73488256"/>
        <c:scaling>
          <c:orientation val="minMax"/>
          <c:max val="100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3486720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44" r="0.75000000000001144" t="1" header="0.5" footer="0.5"/>
    <c:pageSetup paperSize="9" orientation="landscape" horizontalDpi="360" verticalDpi="360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(2)'!$A$918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(2)'!$C$917:$L$917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(2)'!$C$918:$L$918</c:f>
              <c:numCache>
                <c:formatCode>0.000</c:formatCode>
                <c:ptCount val="10"/>
                <c:pt idx="0">
                  <c:v>97.36</c:v>
                </c:pt>
                <c:pt idx="1">
                  <c:v>96.42</c:v>
                </c:pt>
                <c:pt idx="2">
                  <c:v>96.42</c:v>
                </c:pt>
                <c:pt idx="3">
                  <c:v>96.42</c:v>
                </c:pt>
                <c:pt idx="4">
                  <c:v>96.42</c:v>
                </c:pt>
                <c:pt idx="5">
                  <c:v>96.42</c:v>
                </c:pt>
                <c:pt idx="6">
                  <c:v>97.54</c:v>
                </c:pt>
              </c:numCache>
            </c:numRef>
          </c:yVal>
        </c:ser>
        <c:ser>
          <c:idx val="1"/>
          <c:order val="1"/>
          <c:tx>
            <c:strRef>
              <c:f>'fc (2)'!$A$920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(2)'!$C$919:$L$919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(2)'!$C$920:$L$920</c:f>
              <c:numCache>
                <c:formatCode>0.000</c:formatCode>
                <c:ptCount val="10"/>
                <c:pt idx="0">
                  <c:v>97.36</c:v>
                </c:pt>
                <c:pt idx="1">
                  <c:v>96.9</c:v>
                </c:pt>
                <c:pt idx="2">
                  <c:v>96.86</c:v>
                </c:pt>
                <c:pt idx="3">
                  <c:v>96.86</c:v>
                </c:pt>
                <c:pt idx="4">
                  <c:v>96.86</c:v>
                </c:pt>
                <c:pt idx="5">
                  <c:v>96.936999999999998</c:v>
                </c:pt>
                <c:pt idx="6">
                  <c:v>97.54</c:v>
                </c:pt>
              </c:numCache>
            </c:numRef>
          </c:yVal>
        </c:ser>
        <c:axId val="73500160"/>
        <c:axId val="73501696"/>
      </c:scatterChart>
      <c:valAx>
        <c:axId val="73500160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501696"/>
        <c:crossesAt val="-2"/>
        <c:crossBetween val="midCat"/>
        <c:majorUnit val="1"/>
        <c:minorUnit val="0.5"/>
      </c:valAx>
      <c:valAx>
        <c:axId val="73501696"/>
        <c:scaling>
          <c:orientation val="minMax"/>
          <c:max val="100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3500160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99" r="0.75000000000001099" t="1" header="0.5" footer="0.5"/>
    <c:pageSetup paperSize="9" orientation="landscape" horizontalDpi="360" verticalDpi="36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Bund!$A$224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Bund!$C$223:$M$223</c:f>
              <c:numCache>
                <c:formatCode>0.000</c:formatCode>
                <c:ptCount val="11"/>
                <c:pt idx="0">
                  <c:v>0</c:v>
                </c:pt>
                <c:pt idx="1">
                  <c:v>5.2</c:v>
                </c:pt>
                <c:pt idx="2">
                  <c:v>6.3</c:v>
                </c:pt>
                <c:pt idx="3">
                  <c:v>6.6</c:v>
                </c:pt>
                <c:pt idx="4">
                  <c:v>7.7</c:v>
                </c:pt>
                <c:pt idx="5">
                  <c:v>7.8</c:v>
                </c:pt>
                <c:pt idx="6">
                  <c:v>8.5</c:v>
                </c:pt>
                <c:pt idx="7">
                  <c:v>9.3000000000000007</c:v>
                </c:pt>
                <c:pt idx="8">
                  <c:v>13</c:v>
                </c:pt>
                <c:pt idx="9">
                  <c:v>13.2</c:v>
                </c:pt>
                <c:pt idx="10">
                  <c:v>15.5</c:v>
                </c:pt>
              </c:numCache>
            </c:numRef>
          </c:xVal>
          <c:yVal>
            <c:numRef>
              <c:f>Bund!$C$224:$M$224</c:f>
              <c:numCache>
                <c:formatCode>0.000</c:formatCode>
                <c:ptCount val="11"/>
                <c:pt idx="0">
                  <c:v>97.31</c:v>
                </c:pt>
                <c:pt idx="1">
                  <c:v>100.77</c:v>
                </c:pt>
                <c:pt idx="2">
                  <c:v>101.5</c:v>
                </c:pt>
                <c:pt idx="3">
                  <c:v>101.5</c:v>
                </c:pt>
                <c:pt idx="4">
                  <c:v>101.5</c:v>
                </c:pt>
                <c:pt idx="5">
                  <c:v>101.5</c:v>
                </c:pt>
                <c:pt idx="6">
                  <c:v>101.5</c:v>
                </c:pt>
                <c:pt idx="7">
                  <c:v>101.5</c:v>
                </c:pt>
                <c:pt idx="8">
                  <c:v>99.66</c:v>
                </c:pt>
                <c:pt idx="9">
                  <c:v>99.56</c:v>
                </c:pt>
                <c:pt idx="10">
                  <c:v>98.41</c:v>
                </c:pt>
              </c:numCache>
            </c:numRef>
          </c:yVal>
        </c:ser>
        <c:ser>
          <c:idx val="1"/>
          <c:order val="1"/>
          <c:tx>
            <c:strRef>
              <c:f>Bund!$A$226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Bund!$C$225:$M$225</c:f>
              <c:numCache>
                <c:formatCode>0.000</c:formatCode>
                <c:ptCount val="11"/>
                <c:pt idx="0">
                  <c:v>0</c:v>
                </c:pt>
                <c:pt idx="1">
                  <c:v>5.2</c:v>
                </c:pt>
                <c:pt idx="2">
                  <c:v>6.3</c:v>
                </c:pt>
                <c:pt idx="3">
                  <c:v>6.6</c:v>
                </c:pt>
                <c:pt idx="4">
                  <c:v>7.7</c:v>
                </c:pt>
                <c:pt idx="5">
                  <c:v>7.8</c:v>
                </c:pt>
                <c:pt idx="6">
                  <c:v>8.5</c:v>
                </c:pt>
                <c:pt idx="7">
                  <c:v>9.3000000000000007</c:v>
                </c:pt>
                <c:pt idx="8">
                  <c:v>13</c:v>
                </c:pt>
                <c:pt idx="9">
                  <c:v>13.2</c:v>
                </c:pt>
                <c:pt idx="10">
                  <c:v>15.5</c:v>
                </c:pt>
              </c:numCache>
            </c:numRef>
          </c:xVal>
          <c:yVal>
            <c:numRef>
              <c:f>Bund!$C$226:$M$226</c:f>
              <c:numCache>
                <c:formatCode>0.000</c:formatCode>
                <c:ptCount val="11"/>
                <c:pt idx="0">
                  <c:v>97.31</c:v>
                </c:pt>
                <c:pt idx="1">
                  <c:v>100.77</c:v>
                </c:pt>
                <c:pt idx="2">
                  <c:v>100.99</c:v>
                </c:pt>
                <c:pt idx="3">
                  <c:v>101.05</c:v>
                </c:pt>
                <c:pt idx="4">
                  <c:v>101.05</c:v>
                </c:pt>
                <c:pt idx="5">
                  <c:v>101.05</c:v>
                </c:pt>
                <c:pt idx="6">
                  <c:v>101.05</c:v>
                </c:pt>
                <c:pt idx="7">
                  <c:v>100.602</c:v>
                </c:pt>
                <c:pt idx="8">
                  <c:v>98.531999999999996</c:v>
                </c:pt>
                <c:pt idx="9">
                  <c:v>98.42</c:v>
                </c:pt>
                <c:pt idx="10">
                  <c:v>98.41</c:v>
                </c:pt>
              </c:numCache>
            </c:numRef>
          </c:yVal>
        </c:ser>
        <c:axId val="61042048"/>
        <c:axId val="61047936"/>
      </c:scatterChart>
      <c:valAx>
        <c:axId val="61042048"/>
        <c:scaling>
          <c:orientation val="minMax"/>
          <c:max val="16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61047936"/>
        <c:crossesAt val="-2"/>
        <c:crossBetween val="midCat"/>
        <c:majorUnit val="1"/>
        <c:minorUnit val="0.5"/>
      </c:valAx>
      <c:valAx>
        <c:axId val="61047936"/>
        <c:scaling>
          <c:orientation val="minMax"/>
          <c:max val="102"/>
          <c:min val="96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 lang="en-IN"/>
            </a:pPr>
            <a:endParaRPr lang="en-US"/>
          </a:p>
        </c:txPr>
        <c:crossAx val="61042048"/>
        <c:crosses val="max"/>
        <c:crossBetween val="midCat"/>
        <c:majorUnit val="1"/>
      </c:valAx>
    </c:plotArea>
    <c:dispBlanksAs val="gap"/>
  </c:chart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(2)'!$A$962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(2)'!$C$961:$L$961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(2)'!$C$962:$L$962</c:f>
              <c:numCache>
                <c:formatCode>0.000</c:formatCode>
                <c:ptCount val="10"/>
                <c:pt idx="0">
                  <c:v>97.36</c:v>
                </c:pt>
                <c:pt idx="1">
                  <c:v>96.41</c:v>
                </c:pt>
                <c:pt idx="2">
                  <c:v>96.41</c:v>
                </c:pt>
                <c:pt idx="3">
                  <c:v>96.41</c:v>
                </c:pt>
                <c:pt idx="4">
                  <c:v>96.41</c:v>
                </c:pt>
                <c:pt idx="5">
                  <c:v>96.41</c:v>
                </c:pt>
                <c:pt idx="6">
                  <c:v>97.54</c:v>
                </c:pt>
              </c:numCache>
            </c:numRef>
          </c:yVal>
        </c:ser>
        <c:ser>
          <c:idx val="1"/>
          <c:order val="1"/>
          <c:tx>
            <c:strRef>
              <c:f>'fc (2)'!$A$964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(2)'!$C$963:$L$963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(2)'!$C$964:$L$964</c:f>
              <c:numCache>
                <c:formatCode>0.000</c:formatCode>
                <c:ptCount val="10"/>
                <c:pt idx="0">
                  <c:v>97.36</c:v>
                </c:pt>
                <c:pt idx="1">
                  <c:v>96.81</c:v>
                </c:pt>
                <c:pt idx="2">
                  <c:v>96.805000000000007</c:v>
                </c:pt>
                <c:pt idx="3">
                  <c:v>96.805000000000007</c:v>
                </c:pt>
                <c:pt idx="4">
                  <c:v>96.805000000000007</c:v>
                </c:pt>
                <c:pt idx="5">
                  <c:v>96.935000000000002</c:v>
                </c:pt>
                <c:pt idx="6">
                  <c:v>97.54</c:v>
                </c:pt>
              </c:numCache>
            </c:numRef>
          </c:yVal>
        </c:ser>
        <c:axId val="73545984"/>
        <c:axId val="73560064"/>
      </c:scatterChart>
      <c:valAx>
        <c:axId val="73545984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560064"/>
        <c:crossesAt val="-2"/>
        <c:crossBetween val="midCat"/>
        <c:majorUnit val="1"/>
        <c:minorUnit val="0.5"/>
      </c:valAx>
      <c:valAx>
        <c:axId val="73560064"/>
        <c:scaling>
          <c:orientation val="minMax"/>
          <c:max val="100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3545984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21" r="0.75000000000001121" t="1" header="0.5" footer="0.5"/>
    <c:pageSetup paperSize="9" orientation="landscape" horizontalDpi="360" verticalDpi="360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(2)'!$A$1001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(2)'!$C$1000:$L$1000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(2)'!$C$1001:$L$1001</c:f>
              <c:numCache>
                <c:formatCode>0.000</c:formatCode>
                <c:ptCount val="10"/>
                <c:pt idx="0">
                  <c:v>97.73</c:v>
                </c:pt>
                <c:pt idx="1">
                  <c:v>96.4</c:v>
                </c:pt>
                <c:pt idx="2">
                  <c:v>96.4</c:v>
                </c:pt>
                <c:pt idx="3">
                  <c:v>96.4</c:v>
                </c:pt>
                <c:pt idx="4">
                  <c:v>96.4</c:v>
                </c:pt>
                <c:pt idx="5">
                  <c:v>96.4</c:v>
                </c:pt>
                <c:pt idx="6">
                  <c:v>97.93</c:v>
                </c:pt>
              </c:numCache>
            </c:numRef>
          </c:yVal>
        </c:ser>
        <c:ser>
          <c:idx val="1"/>
          <c:order val="1"/>
          <c:tx>
            <c:strRef>
              <c:f>'fc (2)'!$A$1003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(2)'!$C$1002:$L$1002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(2)'!$C$1003:$L$1003</c:f>
              <c:numCache>
                <c:formatCode>0.000</c:formatCode>
                <c:ptCount val="10"/>
                <c:pt idx="0">
                  <c:v>97.73</c:v>
                </c:pt>
                <c:pt idx="1">
                  <c:v>97.01</c:v>
                </c:pt>
                <c:pt idx="2">
                  <c:v>96.89</c:v>
                </c:pt>
                <c:pt idx="3">
                  <c:v>96.89</c:v>
                </c:pt>
                <c:pt idx="4">
                  <c:v>96.89</c:v>
                </c:pt>
                <c:pt idx="5">
                  <c:v>97.006</c:v>
                </c:pt>
                <c:pt idx="6">
                  <c:v>97.93</c:v>
                </c:pt>
              </c:numCache>
            </c:numRef>
          </c:yVal>
        </c:ser>
        <c:axId val="73567616"/>
        <c:axId val="73593984"/>
      </c:scatterChart>
      <c:valAx>
        <c:axId val="73567616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593984"/>
        <c:crossesAt val="-2"/>
        <c:crossBetween val="midCat"/>
        <c:majorUnit val="1"/>
        <c:minorUnit val="0.5"/>
      </c:valAx>
      <c:valAx>
        <c:axId val="73593984"/>
        <c:scaling>
          <c:orientation val="minMax"/>
          <c:max val="100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356761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44" r="0.75000000000001144" t="1" header="0.5" footer="0.5"/>
    <c:pageSetup paperSize="9" orientation="landscape" horizontalDpi="360" verticalDpi="360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(2)'!$A$1046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(2)'!$C$1045:$L$1045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(2)'!$C$1046:$L$1046</c:f>
              <c:numCache>
                <c:formatCode>0.000</c:formatCode>
                <c:ptCount val="10"/>
                <c:pt idx="0">
                  <c:v>97.5</c:v>
                </c:pt>
                <c:pt idx="1">
                  <c:v>96.3</c:v>
                </c:pt>
                <c:pt idx="2">
                  <c:v>96.3</c:v>
                </c:pt>
                <c:pt idx="3">
                  <c:v>96.3</c:v>
                </c:pt>
                <c:pt idx="4">
                  <c:v>96.3</c:v>
                </c:pt>
                <c:pt idx="5">
                  <c:v>96.3</c:v>
                </c:pt>
                <c:pt idx="6">
                  <c:v>97.65</c:v>
                </c:pt>
              </c:numCache>
            </c:numRef>
          </c:yVal>
        </c:ser>
        <c:ser>
          <c:idx val="1"/>
          <c:order val="1"/>
          <c:tx>
            <c:strRef>
              <c:f>'fc (2)'!$A$1048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(2)'!$C$1047:$L$1047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(2)'!$C$1048:$L$1048</c:f>
              <c:numCache>
                <c:formatCode>0.000</c:formatCode>
                <c:ptCount val="10"/>
                <c:pt idx="0">
                  <c:v>97.5</c:v>
                </c:pt>
                <c:pt idx="1">
                  <c:v>96.82</c:v>
                </c:pt>
                <c:pt idx="2">
                  <c:v>96.74</c:v>
                </c:pt>
                <c:pt idx="3">
                  <c:v>96.74</c:v>
                </c:pt>
                <c:pt idx="4">
                  <c:v>96.74</c:v>
                </c:pt>
                <c:pt idx="5">
                  <c:v>96.853999999999999</c:v>
                </c:pt>
                <c:pt idx="6">
                  <c:v>97.65</c:v>
                </c:pt>
              </c:numCache>
            </c:numRef>
          </c:yVal>
        </c:ser>
        <c:axId val="73618560"/>
        <c:axId val="73620096"/>
      </c:scatterChart>
      <c:valAx>
        <c:axId val="73618560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620096"/>
        <c:crossesAt val="-2"/>
        <c:crossBetween val="midCat"/>
        <c:majorUnit val="1"/>
        <c:minorUnit val="0.5"/>
      </c:valAx>
      <c:valAx>
        <c:axId val="73620096"/>
        <c:scaling>
          <c:orientation val="minMax"/>
          <c:max val="100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3618560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66" r="0.75000000000001166" t="1" header="0.5" footer="0.5"/>
    <c:pageSetup paperSize="9" orientation="landscape" horizontalDpi="360" verticalDpi="360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(2)'!$A$1085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(2)'!$C$1084:$L$1084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(2)'!$C$1085:$L$1085</c:f>
              <c:numCache>
                <c:formatCode>0.000</c:formatCode>
                <c:ptCount val="10"/>
                <c:pt idx="0">
                  <c:v>97.51</c:v>
                </c:pt>
                <c:pt idx="1">
                  <c:v>96.28</c:v>
                </c:pt>
                <c:pt idx="2">
                  <c:v>96.28</c:v>
                </c:pt>
                <c:pt idx="3">
                  <c:v>96.28</c:v>
                </c:pt>
                <c:pt idx="4">
                  <c:v>96.28</c:v>
                </c:pt>
                <c:pt idx="5">
                  <c:v>96.28</c:v>
                </c:pt>
                <c:pt idx="6">
                  <c:v>97.69</c:v>
                </c:pt>
              </c:numCache>
            </c:numRef>
          </c:yVal>
        </c:ser>
        <c:ser>
          <c:idx val="1"/>
          <c:order val="1"/>
          <c:tx>
            <c:strRef>
              <c:f>'fc (2)'!$A$1087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(2)'!$C$1086:$L$1086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(2)'!$C$1087:$L$1087</c:f>
              <c:numCache>
                <c:formatCode>0.000</c:formatCode>
                <c:ptCount val="10"/>
                <c:pt idx="0">
                  <c:v>97.51</c:v>
                </c:pt>
                <c:pt idx="1">
                  <c:v>96.858999999999995</c:v>
                </c:pt>
                <c:pt idx="2">
                  <c:v>96.75</c:v>
                </c:pt>
                <c:pt idx="3">
                  <c:v>96.75</c:v>
                </c:pt>
                <c:pt idx="4">
                  <c:v>96.75</c:v>
                </c:pt>
                <c:pt idx="5">
                  <c:v>96.853999999999999</c:v>
                </c:pt>
                <c:pt idx="6">
                  <c:v>97.69</c:v>
                </c:pt>
              </c:numCache>
            </c:numRef>
          </c:yVal>
        </c:ser>
        <c:axId val="73635712"/>
        <c:axId val="73637248"/>
      </c:scatterChart>
      <c:valAx>
        <c:axId val="73635712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637248"/>
        <c:crossesAt val="-2"/>
        <c:crossBetween val="midCat"/>
        <c:majorUnit val="1"/>
        <c:minorUnit val="0.5"/>
      </c:valAx>
      <c:valAx>
        <c:axId val="73637248"/>
        <c:scaling>
          <c:orientation val="minMax"/>
          <c:max val="100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3635712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88" r="0.75000000000001188" t="1" header="0.5" footer="0.5"/>
    <c:pageSetup paperSize="9" orientation="landscape" horizontalDpi="360" verticalDpi="360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(2)'!$A$1128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(2)'!$C$1127:$L$1127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(2)'!$C$1128:$L$1128</c:f>
              <c:numCache>
                <c:formatCode>0.000</c:formatCode>
                <c:ptCount val="10"/>
                <c:pt idx="0">
                  <c:v>97.52</c:v>
                </c:pt>
                <c:pt idx="1">
                  <c:v>96.28</c:v>
                </c:pt>
                <c:pt idx="2">
                  <c:v>96.28</c:v>
                </c:pt>
                <c:pt idx="3">
                  <c:v>96.28</c:v>
                </c:pt>
                <c:pt idx="4">
                  <c:v>96.28</c:v>
                </c:pt>
                <c:pt idx="5">
                  <c:v>96.28</c:v>
                </c:pt>
                <c:pt idx="6">
                  <c:v>97.69</c:v>
                </c:pt>
              </c:numCache>
            </c:numRef>
          </c:yVal>
        </c:ser>
        <c:ser>
          <c:idx val="1"/>
          <c:order val="1"/>
          <c:tx>
            <c:strRef>
              <c:f>'fc (2)'!$A$1130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(2)'!$C$1129:$L$1129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(2)'!$C$1130:$L$1130</c:f>
              <c:numCache>
                <c:formatCode>0.000</c:formatCode>
                <c:ptCount val="10"/>
                <c:pt idx="0">
                  <c:v>97.52</c:v>
                </c:pt>
                <c:pt idx="1">
                  <c:v>96.834000000000003</c:v>
                </c:pt>
                <c:pt idx="2">
                  <c:v>96.72</c:v>
                </c:pt>
                <c:pt idx="3">
                  <c:v>96.72</c:v>
                </c:pt>
                <c:pt idx="4">
                  <c:v>96.72</c:v>
                </c:pt>
                <c:pt idx="5">
                  <c:v>96.840999999999994</c:v>
                </c:pt>
                <c:pt idx="6">
                  <c:v>97.69</c:v>
                </c:pt>
              </c:numCache>
            </c:numRef>
          </c:yVal>
        </c:ser>
        <c:axId val="73673728"/>
        <c:axId val="73679616"/>
      </c:scatterChart>
      <c:valAx>
        <c:axId val="73673728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679616"/>
        <c:crossesAt val="-2"/>
        <c:crossBetween val="midCat"/>
        <c:majorUnit val="1"/>
        <c:minorUnit val="0.5"/>
      </c:valAx>
      <c:valAx>
        <c:axId val="73679616"/>
        <c:scaling>
          <c:orientation val="minMax"/>
          <c:max val="100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3673728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21" r="0.7500000000000121" t="1" header="0.5" footer="0.5"/>
    <c:pageSetup paperSize="9" orientation="landscape" horizontalDpi="360" verticalDpi="360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(2)'!$A$1169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(2)'!$C$1168:$L$1168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(2)'!$C$1169:$L$1169</c:f>
              <c:numCache>
                <c:formatCode>0.000</c:formatCode>
                <c:ptCount val="10"/>
                <c:pt idx="0">
                  <c:v>97.54</c:v>
                </c:pt>
                <c:pt idx="1">
                  <c:v>96.27</c:v>
                </c:pt>
                <c:pt idx="2">
                  <c:v>96.27</c:v>
                </c:pt>
                <c:pt idx="3">
                  <c:v>96.27</c:v>
                </c:pt>
                <c:pt idx="4">
                  <c:v>96.27</c:v>
                </c:pt>
                <c:pt idx="5">
                  <c:v>96.27</c:v>
                </c:pt>
                <c:pt idx="6">
                  <c:v>97.74</c:v>
                </c:pt>
              </c:numCache>
            </c:numRef>
          </c:yVal>
        </c:ser>
        <c:ser>
          <c:idx val="1"/>
          <c:order val="1"/>
          <c:tx>
            <c:strRef>
              <c:f>'fc (2)'!$A$1171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(2)'!$C$1170:$L$1170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(2)'!$C$1171:$L$1171</c:f>
              <c:numCache>
                <c:formatCode>0.000</c:formatCode>
                <c:ptCount val="10"/>
                <c:pt idx="0">
                  <c:v>97.54</c:v>
                </c:pt>
                <c:pt idx="1">
                  <c:v>96.83</c:v>
                </c:pt>
                <c:pt idx="2">
                  <c:v>96.71</c:v>
                </c:pt>
                <c:pt idx="3">
                  <c:v>96.71</c:v>
                </c:pt>
                <c:pt idx="4">
                  <c:v>96.71</c:v>
                </c:pt>
                <c:pt idx="5">
                  <c:v>96.825000000000003</c:v>
                </c:pt>
                <c:pt idx="6">
                  <c:v>97.74</c:v>
                </c:pt>
              </c:numCache>
            </c:numRef>
          </c:yVal>
        </c:ser>
        <c:axId val="73720192"/>
        <c:axId val="73721728"/>
      </c:scatterChart>
      <c:valAx>
        <c:axId val="73720192"/>
        <c:scaling>
          <c:orientation val="minMax"/>
          <c:max val="8"/>
          <c:min val="-1.5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721728"/>
        <c:crossesAt val="-2"/>
        <c:crossBetween val="midCat"/>
        <c:majorUnit val="1"/>
        <c:minorUnit val="0.5"/>
      </c:valAx>
      <c:valAx>
        <c:axId val="73721728"/>
        <c:scaling>
          <c:orientation val="minMax"/>
          <c:max val="100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3720192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099" r="0.75000000000001099" t="1" header="0.5" footer="0.5"/>
    <c:pageSetup paperSize="9" orientation="landscape" horizontalDpi="360" verticalDpi="360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(2)'!$A$1217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(2)'!$C$1216:$L$1216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(2)'!$C$1217:$L$1217</c:f>
              <c:numCache>
                <c:formatCode>0.000</c:formatCode>
                <c:ptCount val="10"/>
                <c:pt idx="0">
                  <c:v>97.55</c:v>
                </c:pt>
                <c:pt idx="1">
                  <c:v>96.27</c:v>
                </c:pt>
                <c:pt idx="2">
                  <c:v>96.27</c:v>
                </c:pt>
                <c:pt idx="3">
                  <c:v>96.27</c:v>
                </c:pt>
                <c:pt idx="4">
                  <c:v>96.27</c:v>
                </c:pt>
                <c:pt idx="5">
                  <c:v>96.27</c:v>
                </c:pt>
                <c:pt idx="6">
                  <c:v>97.7</c:v>
                </c:pt>
              </c:numCache>
            </c:numRef>
          </c:yVal>
        </c:ser>
        <c:ser>
          <c:idx val="1"/>
          <c:order val="1"/>
          <c:tx>
            <c:strRef>
              <c:f>'fc (2)'!$A$1219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(2)'!$C$1218:$L$1218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(2)'!$C$1219:$L$1219</c:f>
              <c:numCache>
                <c:formatCode>0.000</c:formatCode>
                <c:ptCount val="10"/>
                <c:pt idx="0">
                  <c:v>97.55</c:v>
                </c:pt>
                <c:pt idx="1">
                  <c:v>96.796000000000006</c:v>
                </c:pt>
                <c:pt idx="2">
                  <c:v>96.67</c:v>
                </c:pt>
                <c:pt idx="3">
                  <c:v>96.67</c:v>
                </c:pt>
                <c:pt idx="4">
                  <c:v>96.67</c:v>
                </c:pt>
                <c:pt idx="5">
                  <c:v>96.796999999999997</c:v>
                </c:pt>
                <c:pt idx="6">
                  <c:v>97.7</c:v>
                </c:pt>
              </c:numCache>
            </c:numRef>
          </c:yVal>
        </c:ser>
        <c:axId val="73745920"/>
        <c:axId val="73747456"/>
      </c:scatterChart>
      <c:valAx>
        <c:axId val="73745920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747456"/>
        <c:crossesAt val="-2"/>
        <c:crossBetween val="midCat"/>
        <c:majorUnit val="1"/>
        <c:minorUnit val="0.5"/>
      </c:valAx>
      <c:valAx>
        <c:axId val="73747456"/>
        <c:scaling>
          <c:orientation val="minMax"/>
          <c:max val="100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3745920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21" r="0.75000000000001121" t="1" header="0.5" footer="0.5"/>
    <c:pageSetup paperSize="9" orientation="landscape" horizontalDpi="360" verticalDpi="360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(2)'!$A$1252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(2)'!$C$1251:$L$1251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(2)'!$C$1252:$L$1252</c:f>
              <c:numCache>
                <c:formatCode>0.000</c:formatCode>
                <c:ptCount val="10"/>
                <c:pt idx="0">
                  <c:v>97.55</c:v>
                </c:pt>
                <c:pt idx="1">
                  <c:v>96.26</c:v>
                </c:pt>
                <c:pt idx="2">
                  <c:v>96.26</c:v>
                </c:pt>
                <c:pt idx="3">
                  <c:v>96.26</c:v>
                </c:pt>
                <c:pt idx="4">
                  <c:v>96.26</c:v>
                </c:pt>
                <c:pt idx="5">
                  <c:v>96.26</c:v>
                </c:pt>
                <c:pt idx="6">
                  <c:v>97.73</c:v>
                </c:pt>
              </c:numCache>
            </c:numRef>
          </c:yVal>
        </c:ser>
        <c:ser>
          <c:idx val="1"/>
          <c:order val="1"/>
          <c:tx>
            <c:strRef>
              <c:f>'fc (2)'!$A$1254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(2)'!$C$1253:$L$1253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(2)'!$C$1254:$L$1254</c:f>
              <c:numCache>
                <c:formatCode>0.000</c:formatCode>
                <c:ptCount val="10"/>
                <c:pt idx="0">
                  <c:v>97.55</c:v>
                </c:pt>
                <c:pt idx="1">
                  <c:v>96.804000000000002</c:v>
                </c:pt>
                <c:pt idx="2">
                  <c:v>96.68</c:v>
                </c:pt>
                <c:pt idx="3">
                  <c:v>96.68</c:v>
                </c:pt>
                <c:pt idx="4">
                  <c:v>96.68</c:v>
                </c:pt>
                <c:pt idx="5">
                  <c:v>96.796999999999997</c:v>
                </c:pt>
                <c:pt idx="6">
                  <c:v>97.73</c:v>
                </c:pt>
              </c:numCache>
            </c:numRef>
          </c:yVal>
        </c:ser>
        <c:axId val="73775744"/>
        <c:axId val="73789824"/>
      </c:scatterChart>
      <c:valAx>
        <c:axId val="73775744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789824"/>
        <c:crossesAt val="-2"/>
        <c:crossBetween val="midCat"/>
        <c:majorUnit val="1"/>
        <c:minorUnit val="0.5"/>
      </c:valAx>
      <c:valAx>
        <c:axId val="73789824"/>
        <c:scaling>
          <c:orientation val="minMax"/>
          <c:max val="100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3775744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44" r="0.75000000000001144" t="1" header="0.5" footer="0.5"/>
    <c:pageSetup paperSize="9" orientation="landscape" horizontalDpi="360" verticalDpi="360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(2)'!$A$1299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(2)'!$C$1298:$L$1298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(2)'!$C$1299:$L$1299</c:f>
              <c:numCache>
                <c:formatCode>0.000</c:formatCode>
                <c:ptCount val="10"/>
                <c:pt idx="0">
                  <c:v>97.49</c:v>
                </c:pt>
                <c:pt idx="1">
                  <c:v>96.04</c:v>
                </c:pt>
                <c:pt idx="2">
                  <c:v>96.04</c:v>
                </c:pt>
                <c:pt idx="3">
                  <c:v>96.04</c:v>
                </c:pt>
                <c:pt idx="4">
                  <c:v>96.04</c:v>
                </c:pt>
                <c:pt idx="5">
                  <c:v>96.04</c:v>
                </c:pt>
                <c:pt idx="6">
                  <c:v>97.66</c:v>
                </c:pt>
              </c:numCache>
            </c:numRef>
          </c:yVal>
        </c:ser>
        <c:ser>
          <c:idx val="1"/>
          <c:order val="1"/>
          <c:tx>
            <c:strRef>
              <c:f>'fc (2)'!$A$1301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(2)'!$C$1300:$L$1300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3.5</c:v>
                </c:pt>
              </c:numCache>
            </c:numRef>
          </c:xVal>
          <c:yVal>
            <c:numRef>
              <c:f>'fc (2)'!$C$1301:$L$1301</c:f>
              <c:numCache>
                <c:formatCode>0.000</c:formatCode>
                <c:ptCount val="10"/>
                <c:pt idx="0">
                  <c:v>97.49</c:v>
                </c:pt>
                <c:pt idx="1">
                  <c:v>96.62</c:v>
                </c:pt>
                <c:pt idx="2">
                  <c:v>96.48</c:v>
                </c:pt>
                <c:pt idx="3">
                  <c:v>96.48</c:v>
                </c:pt>
                <c:pt idx="4">
                  <c:v>96.48</c:v>
                </c:pt>
                <c:pt idx="5">
                  <c:v>96.63</c:v>
                </c:pt>
                <c:pt idx="6">
                  <c:v>97.66</c:v>
                </c:pt>
              </c:numCache>
            </c:numRef>
          </c:yVal>
        </c:ser>
        <c:axId val="73814016"/>
        <c:axId val="73815552"/>
      </c:scatterChart>
      <c:valAx>
        <c:axId val="73814016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815552"/>
        <c:crossesAt val="-2"/>
        <c:crossBetween val="midCat"/>
        <c:majorUnit val="1"/>
        <c:minorUnit val="0.5"/>
      </c:valAx>
      <c:valAx>
        <c:axId val="73815552"/>
        <c:scaling>
          <c:orientation val="minMax"/>
          <c:max val="100"/>
          <c:min val="95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3814016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166" r="0.75000000000001166" t="1" header="0.5" footer="0.5"/>
    <c:pageSetup paperSize="9" orientation="landscape" horizontalDpi="360" verticalDpi="360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>
        <c:manualLayout>
          <c:layoutTarget val="inner"/>
          <c:xMode val="edge"/>
          <c:yMode val="edge"/>
          <c:x val="7.1267438935856534E-2"/>
          <c:y val="9.6970270894122232E-2"/>
          <c:w val="0.88392816300568244"/>
          <c:h val="0.7151557478441517"/>
        </c:manualLayout>
      </c:layout>
      <c:scatterChart>
        <c:scatterStyle val="lineMarker"/>
        <c:ser>
          <c:idx val="0"/>
          <c:order val="0"/>
          <c:tx>
            <c:strRef>
              <c:f>'fc (2)'!$A$1336</c:f>
              <c:strCache>
                <c:ptCount val="1"/>
                <c:pt idx="0">
                  <c:v>Formation Level</c:v>
                </c:pt>
              </c:strCache>
            </c:strRef>
          </c:tx>
          <c:xVal>
            <c:numRef>
              <c:f>'fc (2)'!$C$1335:$L$1335</c:f>
              <c:numCache>
                <c:formatCode>0.000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(2)'!$C$1336:$L$1336</c:f>
              <c:numCache>
                <c:formatCode>0.000</c:formatCode>
                <c:ptCount val="10"/>
                <c:pt idx="0">
                  <c:v>97.35</c:v>
                </c:pt>
                <c:pt idx="1">
                  <c:v>95.99</c:v>
                </c:pt>
                <c:pt idx="2">
                  <c:v>95.99</c:v>
                </c:pt>
                <c:pt idx="3">
                  <c:v>95.99</c:v>
                </c:pt>
                <c:pt idx="4">
                  <c:v>95.99</c:v>
                </c:pt>
                <c:pt idx="5">
                  <c:v>95.99</c:v>
                </c:pt>
                <c:pt idx="6">
                  <c:v>97.55</c:v>
                </c:pt>
              </c:numCache>
            </c:numRef>
          </c:yVal>
        </c:ser>
        <c:ser>
          <c:idx val="1"/>
          <c:order val="1"/>
          <c:tx>
            <c:strRef>
              <c:f>'fc (2)'!$A$1338</c:f>
              <c:strCache>
                <c:ptCount val="1"/>
                <c:pt idx="0">
                  <c:v>Existing Level</c:v>
                </c:pt>
              </c:strCache>
            </c:strRef>
          </c:tx>
          <c:xVal>
            <c:numRef>
              <c:f>'fc (2)'!$C$1337:$M$1337</c:f>
              <c:numCache>
                <c:formatCode>0.000</c:formatCode>
                <c:ptCount val="11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3.6</c:v>
                </c:pt>
              </c:numCache>
            </c:numRef>
          </c:xVal>
          <c:yVal>
            <c:numRef>
              <c:f>'fc (2)'!$C$1338:$L$1338</c:f>
              <c:numCache>
                <c:formatCode>0.000</c:formatCode>
                <c:ptCount val="10"/>
                <c:pt idx="0">
                  <c:v>97.35</c:v>
                </c:pt>
                <c:pt idx="1">
                  <c:v>96.527000000000001</c:v>
                </c:pt>
                <c:pt idx="2">
                  <c:v>96.39</c:v>
                </c:pt>
                <c:pt idx="3">
                  <c:v>96.39</c:v>
                </c:pt>
                <c:pt idx="4">
                  <c:v>96.39</c:v>
                </c:pt>
                <c:pt idx="5">
                  <c:v>96.519000000000005</c:v>
                </c:pt>
                <c:pt idx="6">
                  <c:v>97.55</c:v>
                </c:pt>
              </c:numCache>
            </c:numRef>
          </c:yVal>
        </c:ser>
        <c:axId val="73839744"/>
        <c:axId val="73841280"/>
      </c:scatterChart>
      <c:valAx>
        <c:axId val="73839744"/>
        <c:scaling>
          <c:orientation val="minMax"/>
          <c:max val="8"/>
          <c:min val="-1"/>
        </c:scaling>
        <c:axPos val="b"/>
        <c:majorGridlines/>
        <c:minorGridlines/>
        <c:numFmt formatCode="0.000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841280"/>
        <c:crossesAt val="-2"/>
        <c:crossBetween val="midCat"/>
        <c:majorUnit val="1"/>
        <c:minorUnit val="0.5"/>
      </c:valAx>
      <c:valAx>
        <c:axId val="73841280"/>
        <c:scaling>
          <c:orientation val="minMax"/>
          <c:max val="100"/>
          <c:min val="94"/>
        </c:scaling>
        <c:axPos val="r"/>
        <c:majorGridlines/>
        <c:numFmt formatCode="0.00" sourceLinked="0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73839744"/>
        <c:crosses val="max"/>
        <c:crossBetween val="midCat"/>
        <c:majorUnit val="1"/>
      </c:valAx>
    </c:plotArea>
    <c:dispBlanksAs val="span"/>
  </c:chart>
  <c:printSettings>
    <c:headerFooter alignWithMargins="0"/>
    <c:pageMargins b="1" l="0.7500000000000121" r="0.7500000000000121" t="1" header="0.5" footer="0.5"/>
    <c:pageSetup paperSize="9" orientation="landscape" horizontalDpi="360" verticalDpi="36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13" Type="http://schemas.openxmlformats.org/officeDocument/2006/relationships/chart" Target="../charts/chart79.xml"/><Relationship Id="rId18" Type="http://schemas.openxmlformats.org/officeDocument/2006/relationships/chart" Target="../charts/chart84.xml"/><Relationship Id="rId26" Type="http://schemas.openxmlformats.org/officeDocument/2006/relationships/chart" Target="../charts/chart92.xml"/><Relationship Id="rId3" Type="http://schemas.openxmlformats.org/officeDocument/2006/relationships/chart" Target="../charts/chart69.xml"/><Relationship Id="rId21" Type="http://schemas.openxmlformats.org/officeDocument/2006/relationships/chart" Target="../charts/chart87.xml"/><Relationship Id="rId34" Type="http://schemas.openxmlformats.org/officeDocument/2006/relationships/chart" Target="../charts/chart100.xml"/><Relationship Id="rId7" Type="http://schemas.openxmlformats.org/officeDocument/2006/relationships/chart" Target="../charts/chart73.xml"/><Relationship Id="rId12" Type="http://schemas.openxmlformats.org/officeDocument/2006/relationships/chart" Target="../charts/chart78.xml"/><Relationship Id="rId17" Type="http://schemas.openxmlformats.org/officeDocument/2006/relationships/chart" Target="../charts/chart83.xml"/><Relationship Id="rId25" Type="http://schemas.openxmlformats.org/officeDocument/2006/relationships/chart" Target="../charts/chart91.xml"/><Relationship Id="rId33" Type="http://schemas.openxmlformats.org/officeDocument/2006/relationships/chart" Target="../charts/chart99.xml"/><Relationship Id="rId2" Type="http://schemas.openxmlformats.org/officeDocument/2006/relationships/chart" Target="../charts/chart68.xml"/><Relationship Id="rId16" Type="http://schemas.openxmlformats.org/officeDocument/2006/relationships/chart" Target="../charts/chart82.xml"/><Relationship Id="rId20" Type="http://schemas.openxmlformats.org/officeDocument/2006/relationships/chart" Target="../charts/chart86.xml"/><Relationship Id="rId29" Type="http://schemas.openxmlformats.org/officeDocument/2006/relationships/chart" Target="../charts/chart95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11" Type="http://schemas.openxmlformats.org/officeDocument/2006/relationships/chart" Target="../charts/chart77.xml"/><Relationship Id="rId24" Type="http://schemas.openxmlformats.org/officeDocument/2006/relationships/chart" Target="../charts/chart90.xml"/><Relationship Id="rId32" Type="http://schemas.openxmlformats.org/officeDocument/2006/relationships/chart" Target="../charts/chart98.xml"/><Relationship Id="rId5" Type="http://schemas.openxmlformats.org/officeDocument/2006/relationships/chart" Target="../charts/chart71.xml"/><Relationship Id="rId15" Type="http://schemas.openxmlformats.org/officeDocument/2006/relationships/chart" Target="../charts/chart81.xml"/><Relationship Id="rId23" Type="http://schemas.openxmlformats.org/officeDocument/2006/relationships/chart" Target="../charts/chart89.xml"/><Relationship Id="rId28" Type="http://schemas.openxmlformats.org/officeDocument/2006/relationships/chart" Target="../charts/chart94.xml"/><Relationship Id="rId10" Type="http://schemas.openxmlformats.org/officeDocument/2006/relationships/chart" Target="../charts/chart76.xml"/><Relationship Id="rId19" Type="http://schemas.openxmlformats.org/officeDocument/2006/relationships/chart" Target="../charts/chart85.xml"/><Relationship Id="rId31" Type="http://schemas.openxmlformats.org/officeDocument/2006/relationships/chart" Target="../charts/chart97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Relationship Id="rId14" Type="http://schemas.openxmlformats.org/officeDocument/2006/relationships/chart" Target="../charts/chart80.xml"/><Relationship Id="rId22" Type="http://schemas.openxmlformats.org/officeDocument/2006/relationships/chart" Target="../charts/chart88.xml"/><Relationship Id="rId27" Type="http://schemas.openxmlformats.org/officeDocument/2006/relationships/chart" Target="../charts/chart93.xml"/><Relationship Id="rId30" Type="http://schemas.openxmlformats.org/officeDocument/2006/relationships/chart" Target="../charts/chart96.xml"/><Relationship Id="rId35" Type="http://schemas.openxmlformats.org/officeDocument/2006/relationships/chart" Target="../charts/chart10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9.xml"/><Relationship Id="rId13" Type="http://schemas.openxmlformats.org/officeDocument/2006/relationships/chart" Target="../charts/chart114.xml"/><Relationship Id="rId18" Type="http://schemas.openxmlformats.org/officeDocument/2006/relationships/chart" Target="../charts/chart119.xml"/><Relationship Id="rId26" Type="http://schemas.openxmlformats.org/officeDocument/2006/relationships/chart" Target="../charts/chart127.xml"/><Relationship Id="rId3" Type="http://schemas.openxmlformats.org/officeDocument/2006/relationships/chart" Target="../charts/chart104.xml"/><Relationship Id="rId21" Type="http://schemas.openxmlformats.org/officeDocument/2006/relationships/chart" Target="../charts/chart122.xml"/><Relationship Id="rId34" Type="http://schemas.openxmlformats.org/officeDocument/2006/relationships/chart" Target="../charts/chart135.xml"/><Relationship Id="rId7" Type="http://schemas.openxmlformats.org/officeDocument/2006/relationships/chart" Target="../charts/chart108.xml"/><Relationship Id="rId12" Type="http://schemas.openxmlformats.org/officeDocument/2006/relationships/chart" Target="../charts/chart113.xml"/><Relationship Id="rId17" Type="http://schemas.openxmlformats.org/officeDocument/2006/relationships/chart" Target="../charts/chart118.xml"/><Relationship Id="rId25" Type="http://schemas.openxmlformats.org/officeDocument/2006/relationships/chart" Target="../charts/chart126.xml"/><Relationship Id="rId33" Type="http://schemas.openxmlformats.org/officeDocument/2006/relationships/chart" Target="../charts/chart134.xml"/><Relationship Id="rId2" Type="http://schemas.openxmlformats.org/officeDocument/2006/relationships/chart" Target="../charts/chart103.xml"/><Relationship Id="rId16" Type="http://schemas.openxmlformats.org/officeDocument/2006/relationships/chart" Target="../charts/chart117.xml"/><Relationship Id="rId20" Type="http://schemas.openxmlformats.org/officeDocument/2006/relationships/chart" Target="../charts/chart121.xml"/><Relationship Id="rId29" Type="http://schemas.openxmlformats.org/officeDocument/2006/relationships/chart" Target="../charts/chart130.xml"/><Relationship Id="rId1" Type="http://schemas.openxmlformats.org/officeDocument/2006/relationships/chart" Target="../charts/chart102.xml"/><Relationship Id="rId6" Type="http://schemas.openxmlformats.org/officeDocument/2006/relationships/chart" Target="../charts/chart107.xml"/><Relationship Id="rId11" Type="http://schemas.openxmlformats.org/officeDocument/2006/relationships/chart" Target="../charts/chart112.xml"/><Relationship Id="rId24" Type="http://schemas.openxmlformats.org/officeDocument/2006/relationships/chart" Target="../charts/chart125.xml"/><Relationship Id="rId32" Type="http://schemas.openxmlformats.org/officeDocument/2006/relationships/chart" Target="../charts/chart133.xml"/><Relationship Id="rId5" Type="http://schemas.openxmlformats.org/officeDocument/2006/relationships/chart" Target="../charts/chart106.xml"/><Relationship Id="rId15" Type="http://schemas.openxmlformats.org/officeDocument/2006/relationships/chart" Target="../charts/chart116.xml"/><Relationship Id="rId23" Type="http://schemas.openxmlformats.org/officeDocument/2006/relationships/chart" Target="../charts/chart124.xml"/><Relationship Id="rId28" Type="http://schemas.openxmlformats.org/officeDocument/2006/relationships/chart" Target="../charts/chart129.xml"/><Relationship Id="rId10" Type="http://schemas.openxmlformats.org/officeDocument/2006/relationships/chart" Target="../charts/chart111.xml"/><Relationship Id="rId19" Type="http://schemas.openxmlformats.org/officeDocument/2006/relationships/chart" Target="../charts/chart120.xml"/><Relationship Id="rId31" Type="http://schemas.openxmlformats.org/officeDocument/2006/relationships/chart" Target="../charts/chart132.xml"/><Relationship Id="rId4" Type="http://schemas.openxmlformats.org/officeDocument/2006/relationships/chart" Target="../charts/chart105.xml"/><Relationship Id="rId9" Type="http://schemas.openxmlformats.org/officeDocument/2006/relationships/chart" Target="../charts/chart110.xml"/><Relationship Id="rId14" Type="http://schemas.openxmlformats.org/officeDocument/2006/relationships/chart" Target="../charts/chart115.xml"/><Relationship Id="rId22" Type="http://schemas.openxmlformats.org/officeDocument/2006/relationships/chart" Target="../charts/chart123.xml"/><Relationship Id="rId27" Type="http://schemas.openxmlformats.org/officeDocument/2006/relationships/chart" Target="../charts/chart128.xml"/><Relationship Id="rId30" Type="http://schemas.openxmlformats.org/officeDocument/2006/relationships/chart" Target="../charts/chart131.xml"/><Relationship Id="rId35" Type="http://schemas.openxmlformats.org/officeDocument/2006/relationships/chart" Target="../charts/chart13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18" Type="http://schemas.openxmlformats.org/officeDocument/2006/relationships/chart" Target="../charts/chart44.xml"/><Relationship Id="rId26" Type="http://schemas.openxmlformats.org/officeDocument/2006/relationships/chart" Target="../charts/chart52.xml"/><Relationship Id="rId3" Type="http://schemas.openxmlformats.org/officeDocument/2006/relationships/chart" Target="../charts/chart29.xml"/><Relationship Id="rId21" Type="http://schemas.openxmlformats.org/officeDocument/2006/relationships/chart" Target="../charts/chart47.xml"/><Relationship Id="rId34" Type="http://schemas.openxmlformats.org/officeDocument/2006/relationships/chart" Target="../charts/chart60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17" Type="http://schemas.openxmlformats.org/officeDocument/2006/relationships/chart" Target="../charts/chart43.xml"/><Relationship Id="rId25" Type="http://schemas.openxmlformats.org/officeDocument/2006/relationships/chart" Target="../charts/chart51.xml"/><Relationship Id="rId33" Type="http://schemas.openxmlformats.org/officeDocument/2006/relationships/chart" Target="../charts/chart59.xml"/><Relationship Id="rId2" Type="http://schemas.openxmlformats.org/officeDocument/2006/relationships/chart" Target="../charts/chart28.xml"/><Relationship Id="rId16" Type="http://schemas.openxmlformats.org/officeDocument/2006/relationships/chart" Target="../charts/chart42.xml"/><Relationship Id="rId20" Type="http://schemas.openxmlformats.org/officeDocument/2006/relationships/chart" Target="../charts/chart46.xml"/><Relationship Id="rId29" Type="http://schemas.openxmlformats.org/officeDocument/2006/relationships/chart" Target="../charts/chart55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24" Type="http://schemas.openxmlformats.org/officeDocument/2006/relationships/chart" Target="../charts/chart50.xml"/><Relationship Id="rId32" Type="http://schemas.openxmlformats.org/officeDocument/2006/relationships/chart" Target="../charts/chart58.xml"/><Relationship Id="rId5" Type="http://schemas.openxmlformats.org/officeDocument/2006/relationships/chart" Target="../charts/chart31.xml"/><Relationship Id="rId15" Type="http://schemas.openxmlformats.org/officeDocument/2006/relationships/chart" Target="../charts/chart41.xml"/><Relationship Id="rId23" Type="http://schemas.openxmlformats.org/officeDocument/2006/relationships/chart" Target="../charts/chart49.xml"/><Relationship Id="rId28" Type="http://schemas.openxmlformats.org/officeDocument/2006/relationships/chart" Target="../charts/chart54.xml"/><Relationship Id="rId10" Type="http://schemas.openxmlformats.org/officeDocument/2006/relationships/chart" Target="../charts/chart36.xml"/><Relationship Id="rId19" Type="http://schemas.openxmlformats.org/officeDocument/2006/relationships/chart" Target="../charts/chart45.xml"/><Relationship Id="rId31" Type="http://schemas.openxmlformats.org/officeDocument/2006/relationships/chart" Target="../charts/chart57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Relationship Id="rId22" Type="http://schemas.openxmlformats.org/officeDocument/2006/relationships/chart" Target="../charts/chart48.xml"/><Relationship Id="rId27" Type="http://schemas.openxmlformats.org/officeDocument/2006/relationships/chart" Target="../charts/chart53.xml"/><Relationship Id="rId30" Type="http://schemas.openxmlformats.org/officeDocument/2006/relationships/chart" Target="../charts/chart56.xml"/><Relationship Id="rId35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104309</xdr:colOff>
      <xdr:row>10</xdr:row>
      <xdr:rowOff>104385</xdr:rowOff>
    </xdr:from>
    <xdr:to>
      <xdr:col>10</xdr:col>
      <xdr:colOff>695325</xdr:colOff>
      <xdr:row>23</xdr:row>
      <xdr:rowOff>156575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117434</xdr:colOff>
      <xdr:row>92</xdr:row>
      <xdr:rowOff>65240</xdr:rowOff>
    </xdr:from>
    <xdr:to>
      <xdr:col>10</xdr:col>
      <xdr:colOff>704851</xdr:colOff>
      <xdr:row>107</xdr:row>
      <xdr:rowOff>26095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78969</xdr:colOff>
      <xdr:row>118</xdr:row>
      <xdr:rowOff>17616</xdr:rowOff>
    </xdr:from>
    <xdr:to>
      <xdr:col>10</xdr:col>
      <xdr:colOff>704850</xdr:colOff>
      <xdr:row>131</xdr:row>
      <xdr:rowOff>142875</xdr:rowOff>
    </xdr:to>
    <xdr:graphicFrame macro="">
      <xdr:nvGraphicFramePr>
        <xdr:cNvPr id="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130404</xdr:colOff>
      <xdr:row>58</xdr:row>
      <xdr:rowOff>1</xdr:rowOff>
    </xdr:from>
    <xdr:to>
      <xdr:col>10</xdr:col>
      <xdr:colOff>657225</xdr:colOff>
      <xdr:row>68</xdr:row>
      <xdr:rowOff>133351</xdr:rowOff>
    </xdr:to>
    <xdr:graphicFrame macro="">
      <xdr:nvGraphicFramePr>
        <xdr:cNvPr id="5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</xdr:col>
      <xdr:colOff>561062</xdr:colOff>
      <xdr:row>18</xdr:row>
      <xdr:rowOff>61926</xdr:rowOff>
    </xdr:from>
    <xdr:ext cx="835068" cy="311496"/>
    <xdr:sp macro="" textlink="">
      <xdr:nvSpPr>
        <xdr:cNvPr id="6" name="TextBox 5"/>
        <xdr:cNvSpPr txBox="1"/>
      </xdr:nvSpPr>
      <xdr:spPr>
        <a:xfrm>
          <a:off x="4180562" y="4005276"/>
          <a:ext cx="83506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400" b="1"/>
            <a:t> </a:t>
          </a:r>
        </a:p>
      </xdr:txBody>
    </xdr:sp>
    <xdr:clientData/>
  </xdr:oneCellAnchor>
  <xdr:oneCellAnchor>
    <xdr:from>
      <xdr:col>6</xdr:col>
      <xdr:colOff>482774</xdr:colOff>
      <xdr:row>96</xdr:row>
      <xdr:rowOff>117433</xdr:rowOff>
    </xdr:from>
    <xdr:ext cx="913356" cy="280205"/>
    <xdr:sp macro="" textlink="">
      <xdr:nvSpPr>
        <xdr:cNvPr id="7" name="TextBox 6"/>
        <xdr:cNvSpPr txBox="1"/>
      </xdr:nvSpPr>
      <xdr:spPr>
        <a:xfrm>
          <a:off x="4826174" y="19967533"/>
          <a:ext cx="91335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200" b="1"/>
        </a:p>
      </xdr:txBody>
    </xdr:sp>
    <xdr:clientData/>
  </xdr:oneCellAnchor>
  <xdr:oneCellAnchor>
    <xdr:from>
      <xdr:col>3</xdr:col>
      <xdr:colOff>65240</xdr:colOff>
      <xdr:row>905</xdr:row>
      <xdr:rowOff>0</xdr:rowOff>
    </xdr:from>
    <xdr:ext cx="721788" cy="342786"/>
    <xdr:sp macro="" textlink="">
      <xdr:nvSpPr>
        <xdr:cNvPr id="8" name="TextBox 7"/>
        <xdr:cNvSpPr txBox="1"/>
      </xdr:nvSpPr>
      <xdr:spPr>
        <a:xfrm>
          <a:off x="2236940" y="101831775"/>
          <a:ext cx="72178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600" b="1"/>
        </a:p>
      </xdr:txBody>
    </xdr:sp>
    <xdr:clientData/>
  </xdr:oneCellAnchor>
  <xdr:twoCellAnchor>
    <xdr:from>
      <xdr:col>0</xdr:col>
      <xdr:colOff>78971</xdr:colOff>
      <xdr:row>143</xdr:row>
      <xdr:rowOff>169623</xdr:rowOff>
    </xdr:from>
    <xdr:to>
      <xdr:col>10</xdr:col>
      <xdr:colOff>714376</xdr:colOff>
      <xdr:row>158</xdr:row>
      <xdr:rowOff>26096</xdr:rowOff>
    </xdr:to>
    <xdr:graphicFrame macro="">
      <xdr:nvGraphicFramePr>
        <xdr:cNvPr id="9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182599</xdr:colOff>
      <xdr:row>35</xdr:row>
      <xdr:rowOff>26096</xdr:rowOff>
    </xdr:from>
    <xdr:to>
      <xdr:col>11</xdr:col>
      <xdr:colOff>19050</xdr:colOff>
      <xdr:row>46</xdr:row>
      <xdr:rowOff>104383</xdr:rowOff>
    </xdr:to>
    <xdr:graphicFrame macro="">
      <xdr:nvGraphicFramePr>
        <xdr:cNvPr id="1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5</xdr:col>
      <xdr:colOff>561062</xdr:colOff>
      <xdr:row>43</xdr:row>
      <xdr:rowOff>61926</xdr:rowOff>
    </xdr:from>
    <xdr:ext cx="835068" cy="311496"/>
    <xdr:sp macro="" textlink="">
      <xdr:nvSpPr>
        <xdr:cNvPr id="11" name="TextBox 10"/>
        <xdr:cNvSpPr txBox="1"/>
      </xdr:nvSpPr>
      <xdr:spPr>
        <a:xfrm>
          <a:off x="4180562" y="8796351"/>
          <a:ext cx="83506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400" b="1"/>
            <a:t> </a:t>
          </a:r>
        </a:p>
      </xdr:txBody>
    </xdr:sp>
    <xdr:clientData/>
  </xdr:oneCellAnchor>
  <xdr:oneCellAnchor>
    <xdr:from>
      <xdr:col>5</xdr:col>
      <xdr:colOff>561062</xdr:colOff>
      <xdr:row>636</xdr:row>
      <xdr:rowOff>61926</xdr:rowOff>
    </xdr:from>
    <xdr:ext cx="835068" cy="311496"/>
    <xdr:sp macro="" textlink="">
      <xdr:nvSpPr>
        <xdr:cNvPr id="12" name="TextBox 11"/>
        <xdr:cNvSpPr txBox="1"/>
      </xdr:nvSpPr>
      <xdr:spPr>
        <a:xfrm>
          <a:off x="4180562" y="50649201"/>
          <a:ext cx="83506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400" b="1"/>
            <a:t> </a:t>
          </a:r>
        </a:p>
      </xdr:txBody>
    </xdr:sp>
    <xdr:clientData/>
  </xdr:oneCellAnchor>
  <xdr:oneCellAnchor>
    <xdr:from>
      <xdr:col>6</xdr:col>
      <xdr:colOff>482774</xdr:colOff>
      <xdr:row>780</xdr:row>
      <xdr:rowOff>117433</xdr:rowOff>
    </xdr:from>
    <xdr:ext cx="913356" cy="280205"/>
    <xdr:sp macro="" textlink="">
      <xdr:nvSpPr>
        <xdr:cNvPr id="13" name="TextBox 12"/>
        <xdr:cNvSpPr txBox="1"/>
      </xdr:nvSpPr>
      <xdr:spPr>
        <a:xfrm>
          <a:off x="4826174" y="78136708"/>
          <a:ext cx="91335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200" b="1"/>
        </a:p>
      </xdr:txBody>
    </xdr:sp>
    <xdr:clientData/>
  </xdr:oneCellAnchor>
  <xdr:oneCellAnchor>
    <xdr:from>
      <xdr:col>5</xdr:col>
      <xdr:colOff>561062</xdr:colOff>
      <xdr:row>664</xdr:row>
      <xdr:rowOff>61926</xdr:rowOff>
    </xdr:from>
    <xdr:ext cx="835068" cy="311496"/>
    <xdr:sp macro="" textlink="">
      <xdr:nvSpPr>
        <xdr:cNvPr id="14" name="TextBox 13"/>
        <xdr:cNvSpPr txBox="1"/>
      </xdr:nvSpPr>
      <xdr:spPr>
        <a:xfrm>
          <a:off x="4180562" y="55983201"/>
          <a:ext cx="83506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400" b="1"/>
            <a:t> </a:t>
          </a:r>
        </a:p>
      </xdr:txBody>
    </xdr:sp>
    <xdr:clientData/>
  </xdr:oneCellAnchor>
  <xdr:oneCellAnchor>
    <xdr:from>
      <xdr:col>5</xdr:col>
      <xdr:colOff>561062</xdr:colOff>
      <xdr:row>691</xdr:row>
      <xdr:rowOff>61926</xdr:rowOff>
    </xdr:from>
    <xdr:ext cx="835068" cy="311496"/>
    <xdr:sp macro="" textlink="">
      <xdr:nvSpPr>
        <xdr:cNvPr id="15" name="TextBox 14"/>
        <xdr:cNvSpPr txBox="1"/>
      </xdr:nvSpPr>
      <xdr:spPr>
        <a:xfrm>
          <a:off x="4180562" y="61126701"/>
          <a:ext cx="83506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400" b="1"/>
            <a:t> </a:t>
          </a:r>
        </a:p>
      </xdr:txBody>
    </xdr:sp>
    <xdr:clientData/>
  </xdr:oneCellAnchor>
  <xdr:oneCellAnchor>
    <xdr:from>
      <xdr:col>5</xdr:col>
      <xdr:colOff>561062</xdr:colOff>
      <xdr:row>726</xdr:row>
      <xdr:rowOff>61926</xdr:rowOff>
    </xdr:from>
    <xdr:ext cx="835068" cy="311496"/>
    <xdr:sp macro="" textlink="">
      <xdr:nvSpPr>
        <xdr:cNvPr id="16" name="TextBox 15"/>
        <xdr:cNvSpPr txBox="1"/>
      </xdr:nvSpPr>
      <xdr:spPr>
        <a:xfrm>
          <a:off x="4180562" y="67794201"/>
          <a:ext cx="83506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400" b="1"/>
            <a:t> </a:t>
          </a:r>
        </a:p>
      </xdr:txBody>
    </xdr:sp>
    <xdr:clientData/>
  </xdr:oneCellAnchor>
  <xdr:twoCellAnchor>
    <xdr:from>
      <xdr:col>0</xdr:col>
      <xdr:colOff>117433</xdr:colOff>
      <xdr:row>179</xdr:row>
      <xdr:rowOff>65240</xdr:rowOff>
    </xdr:from>
    <xdr:to>
      <xdr:col>10</xdr:col>
      <xdr:colOff>704850</xdr:colOff>
      <xdr:row>194</xdr:row>
      <xdr:rowOff>26095</xdr:rowOff>
    </xdr:to>
    <xdr:graphicFrame macro="">
      <xdr:nvGraphicFramePr>
        <xdr:cNvPr id="17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78969</xdr:colOff>
      <xdr:row>205</xdr:row>
      <xdr:rowOff>17616</xdr:rowOff>
    </xdr:from>
    <xdr:to>
      <xdr:col>10</xdr:col>
      <xdr:colOff>695325</xdr:colOff>
      <xdr:row>218</xdr:row>
      <xdr:rowOff>142875</xdr:rowOff>
    </xdr:to>
    <xdr:graphicFrame macro="">
      <xdr:nvGraphicFramePr>
        <xdr:cNvPr id="1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6</xdr:col>
      <xdr:colOff>482774</xdr:colOff>
      <xdr:row>183</xdr:row>
      <xdr:rowOff>117433</xdr:rowOff>
    </xdr:from>
    <xdr:ext cx="913356" cy="280205"/>
    <xdr:sp macro="" textlink="">
      <xdr:nvSpPr>
        <xdr:cNvPr id="19" name="TextBox 18"/>
        <xdr:cNvSpPr txBox="1"/>
      </xdr:nvSpPr>
      <xdr:spPr>
        <a:xfrm>
          <a:off x="4826174" y="37141108"/>
          <a:ext cx="91335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200" b="1"/>
        </a:p>
      </xdr:txBody>
    </xdr:sp>
    <xdr:clientData/>
  </xdr:oneCellAnchor>
  <xdr:twoCellAnchor>
    <xdr:from>
      <xdr:col>0</xdr:col>
      <xdr:colOff>78970</xdr:colOff>
      <xdr:row>230</xdr:row>
      <xdr:rowOff>169623</xdr:rowOff>
    </xdr:from>
    <xdr:to>
      <xdr:col>11</xdr:col>
      <xdr:colOff>1</xdr:colOff>
      <xdr:row>245</xdr:row>
      <xdr:rowOff>26096</xdr:rowOff>
    </xdr:to>
    <xdr:graphicFrame macro="">
      <xdr:nvGraphicFramePr>
        <xdr:cNvPr id="2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104310</xdr:colOff>
      <xdr:row>266</xdr:row>
      <xdr:rowOff>104385</xdr:rowOff>
    </xdr:from>
    <xdr:to>
      <xdr:col>11</xdr:col>
      <xdr:colOff>1</xdr:colOff>
      <xdr:row>279</xdr:row>
      <xdr:rowOff>156575</xdr:rowOff>
    </xdr:to>
    <xdr:graphicFrame macro="">
      <xdr:nvGraphicFramePr>
        <xdr:cNvPr id="21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117434</xdr:colOff>
      <xdr:row>351</xdr:row>
      <xdr:rowOff>65240</xdr:rowOff>
    </xdr:from>
    <xdr:to>
      <xdr:col>10</xdr:col>
      <xdr:colOff>704851</xdr:colOff>
      <xdr:row>366</xdr:row>
      <xdr:rowOff>26095</xdr:rowOff>
    </xdr:to>
    <xdr:graphicFrame macro="">
      <xdr:nvGraphicFramePr>
        <xdr:cNvPr id="2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130405</xdr:colOff>
      <xdr:row>314</xdr:row>
      <xdr:rowOff>1</xdr:rowOff>
    </xdr:from>
    <xdr:to>
      <xdr:col>10</xdr:col>
      <xdr:colOff>676275</xdr:colOff>
      <xdr:row>324</xdr:row>
      <xdr:rowOff>133351</xdr:rowOff>
    </xdr:to>
    <xdr:graphicFrame macro="">
      <xdr:nvGraphicFramePr>
        <xdr:cNvPr id="2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5</xdr:col>
      <xdr:colOff>561062</xdr:colOff>
      <xdr:row>274</xdr:row>
      <xdr:rowOff>61926</xdr:rowOff>
    </xdr:from>
    <xdr:ext cx="835068" cy="311496"/>
    <xdr:sp macro="" textlink="">
      <xdr:nvSpPr>
        <xdr:cNvPr id="25" name="TextBox 24"/>
        <xdr:cNvSpPr txBox="1"/>
      </xdr:nvSpPr>
      <xdr:spPr>
        <a:xfrm>
          <a:off x="4180562" y="4005276"/>
          <a:ext cx="83506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400" b="1"/>
            <a:t> </a:t>
          </a:r>
        </a:p>
      </xdr:txBody>
    </xdr:sp>
    <xdr:clientData/>
  </xdr:oneCellAnchor>
  <xdr:oneCellAnchor>
    <xdr:from>
      <xdr:col>6</xdr:col>
      <xdr:colOff>482774</xdr:colOff>
      <xdr:row>355</xdr:row>
      <xdr:rowOff>117433</xdr:rowOff>
    </xdr:from>
    <xdr:ext cx="913356" cy="280205"/>
    <xdr:sp macro="" textlink="">
      <xdr:nvSpPr>
        <xdr:cNvPr id="26" name="TextBox 25"/>
        <xdr:cNvSpPr txBox="1"/>
      </xdr:nvSpPr>
      <xdr:spPr>
        <a:xfrm>
          <a:off x="4826174" y="19967533"/>
          <a:ext cx="91335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200" b="1"/>
        </a:p>
      </xdr:txBody>
    </xdr:sp>
    <xdr:clientData/>
  </xdr:oneCellAnchor>
  <xdr:twoCellAnchor>
    <xdr:from>
      <xdr:col>0</xdr:col>
      <xdr:colOff>182598</xdr:colOff>
      <xdr:row>291</xdr:row>
      <xdr:rowOff>26096</xdr:rowOff>
    </xdr:from>
    <xdr:to>
      <xdr:col>11</xdr:col>
      <xdr:colOff>0</xdr:colOff>
      <xdr:row>302</xdr:row>
      <xdr:rowOff>104383</xdr:rowOff>
    </xdr:to>
    <xdr:graphicFrame macro="">
      <xdr:nvGraphicFramePr>
        <xdr:cNvPr id="2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5</xdr:col>
      <xdr:colOff>561062</xdr:colOff>
      <xdr:row>299</xdr:row>
      <xdr:rowOff>61926</xdr:rowOff>
    </xdr:from>
    <xdr:ext cx="835068" cy="311496"/>
    <xdr:sp macro="" textlink="">
      <xdr:nvSpPr>
        <xdr:cNvPr id="29" name="TextBox 28"/>
        <xdr:cNvSpPr txBox="1"/>
      </xdr:nvSpPr>
      <xdr:spPr>
        <a:xfrm>
          <a:off x="4180562" y="8796351"/>
          <a:ext cx="83506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400" b="1"/>
            <a:t> </a:t>
          </a:r>
        </a:p>
      </xdr:txBody>
    </xdr:sp>
    <xdr:clientData/>
  </xdr:oneCellAnchor>
  <xdr:oneCellAnchor>
    <xdr:from>
      <xdr:col>6</xdr:col>
      <xdr:colOff>482774</xdr:colOff>
      <xdr:row>567</xdr:row>
      <xdr:rowOff>117433</xdr:rowOff>
    </xdr:from>
    <xdr:ext cx="913356" cy="280205"/>
    <xdr:sp macro="" textlink="">
      <xdr:nvSpPr>
        <xdr:cNvPr id="32" name="TextBox 31"/>
        <xdr:cNvSpPr txBox="1"/>
      </xdr:nvSpPr>
      <xdr:spPr>
        <a:xfrm>
          <a:off x="4826174" y="37141108"/>
          <a:ext cx="91335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200" b="1"/>
        </a:p>
      </xdr:txBody>
    </xdr:sp>
    <xdr:clientData/>
  </xdr:oneCellAnchor>
  <xdr:twoCellAnchor>
    <xdr:from>
      <xdr:col>0</xdr:col>
      <xdr:colOff>104309</xdr:colOff>
      <xdr:row>386</xdr:row>
      <xdr:rowOff>104385</xdr:rowOff>
    </xdr:from>
    <xdr:to>
      <xdr:col>11</xdr:col>
      <xdr:colOff>9525</xdr:colOff>
      <xdr:row>399</xdr:row>
      <xdr:rowOff>156575</xdr:rowOff>
    </xdr:to>
    <xdr:graphicFrame macro="">
      <xdr:nvGraphicFramePr>
        <xdr:cNvPr id="3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5</xdr:col>
      <xdr:colOff>561062</xdr:colOff>
      <xdr:row>394</xdr:row>
      <xdr:rowOff>61926</xdr:rowOff>
    </xdr:from>
    <xdr:ext cx="835068" cy="311496"/>
    <xdr:sp macro="" textlink="">
      <xdr:nvSpPr>
        <xdr:cNvPr id="37" name="TextBox 36"/>
        <xdr:cNvSpPr txBox="1"/>
      </xdr:nvSpPr>
      <xdr:spPr>
        <a:xfrm>
          <a:off x="4180562" y="54792576"/>
          <a:ext cx="83506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400" b="1"/>
            <a:t> </a:t>
          </a:r>
        </a:p>
      </xdr:txBody>
    </xdr:sp>
    <xdr:clientData/>
  </xdr:oneCellAnchor>
  <xdr:oneCellAnchor>
    <xdr:from>
      <xdr:col>6</xdr:col>
      <xdr:colOff>482774</xdr:colOff>
      <xdr:row>480</xdr:row>
      <xdr:rowOff>117433</xdr:rowOff>
    </xdr:from>
    <xdr:ext cx="913356" cy="280205"/>
    <xdr:sp macro="" textlink="">
      <xdr:nvSpPr>
        <xdr:cNvPr id="38" name="TextBox 37"/>
        <xdr:cNvSpPr txBox="1"/>
      </xdr:nvSpPr>
      <xdr:spPr>
        <a:xfrm>
          <a:off x="4826174" y="71354908"/>
          <a:ext cx="91335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200" b="1"/>
        </a:p>
      </xdr:txBody>
    </xdr:sp>
    <xdr:clientData/>
  </xdr:oneCellAnchor>
  <xdr:twoCellAnchor>
    <xdr:from>
      <xdr:col>0</xdr:col>
      <xdr:colOff>182598</xdr:colOff>
      <xdr:row>411</xdr:row>
      <xdr:rowOff>26096</xdr:rowOff>
    </xdr:from>
    <xdr:to>
      <xdr:col>10</xdr:col>
      <xdr:colOff>685800</xdr:colOff>
      <xdr:row>422</xdr:row>
      <xdr:rowOff>104383</xdr:rowOff>
    </xdr:to>
    <xdr:graphicFrame macro="">
      <xdr:nvGraphicFramePr>
        <xdr:cNvPr id="39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5</xdr:col>
      <xdr:colOff>561062</xdr:colOff>
      <xdr:row>419</xdr:row>
      <xdr:rowOff>61926</xdr:rowOff>
    </xdr:from>
    <xdr:ext cx="835068" cy="311496"/>
    <xdr:sp macro="" textlink="">
      <xdr:nvSpPr>
        <xdr:cNvPr id="40" name="TextBox 39"/>
        <xdr:cNvSpPr txBox="1"/>
      </xdr:nvSpPr>
      <xdr:spPr>
        <a:xfrm>
          <a:off x="4180562" y="59583651"/>
          <a:ext cx="83506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400" b="1"/>
            <a:t> 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42336</xdr:colOff>
      <xdr:row>11</xdr:row>
      <xdr:rowOff>31750</xdr:rowOff>
    </xdr:from>
    <xdr:to>
      <xdr:col>25</xdr:col>
      <xdr:colOff>31401</xdr:colOff>
      <xdr:row>29</xdr:row>
      <xdr:rowOff>95250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42336</xdr:colOff>
      <xdr:row>43</xdr:row>
      <xdr:rowOff>31750</xdr:rowOff>
    </xdr:from>
    <xdr:to>
      <xdr:col>25</xdr:col>
      <xdr:colOff>31401</xdr:colOff>
      <xdr:row>61</xdr:row>
      <xdr:rowOff>95250</xdr:rowOff>
    </xdr:to>
    <xdr:graphicFrame macro="">
      <xdr:nvGraphicFramePr>
        <xdr:cNvPr id="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42336</xdr:colOff>
      <xdr:row>80</xdr:row>
      <xdr:rowOff>31750</xdr:rowOff>
    </xdr:from>
    <xdr:to>
      <xdr:col>25</xdr:col>
      <xdr:colOff>31401</xdr:colOff>
      <xdr:row>98</xdr:row>
      <xdr:rowOff>95250</xdr:rowOff>
    </xdr:to>
    <xdr:graphicFrame macro="">
      <xdr:nvGraphicFramePr>
        <xdr:cNvPr id="5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42336</xdr:colOff>
      <xdr:row>114</xdr:row>
      <xdr:rowOff>31750</xdr:rowOff>
    </xdr:from>
    <xdr:to>
      <xdr:col>25</xdr:col>
      <xdr:colOff>31401</xdr:colOff>
      <xdr:row>132</xdr:row>
      <xdr:rowOff>95250</xdr:rowOff>
    </xdr:to>
    <xdr:graphicFrame macro="">
      <xdr:nvGraphicFramePr>
        <xdr:cNvPr id="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42337</xdr:colOff>
      <xdr:row>152</xdr:row>
      <xdr:rowOff>31750</xdr:rowOff>
    </xdr:from>
    <xdr:to>
      <xdr:col>20</xdr:col>
      <xdr:colOff>659424</xdr:colOff>
      <xdr:row>170</xdr:row>
      <xdr:rowOff>95250</xdr:rowOff>
    </xdr:to>
    <xdr:graphicFrame macro="">
      <xdr:nvGraphicFramePr>
        <xdr:cNvPr id="7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42336</xdr:colOff>
      <xdr:row>14</xdr:row>
      <xdr:rowOff>31750</xdr:rowOff>
    </xdr:from>
    <xdr:to>
      <xdr:col>12</xdr:col>
      <xdr:colOff>550335</xdr:colOff>
      <xdr:row>32</xdr:row>
      <xdr:rowOff>95250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42336</xdr:colOff>
      <xdr:row>49</xdr:row>
      <xdr:rowOff>31750</xdr:rowOff>
    </xdr:from>
    <xdr:to>
      <xdr:col>12</xdr:col>
      <xdr:colOff>550335</xdr:colOff>
      <xdr:row>67</xdr:row>
      <xdr:rowOff>95250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42335</xdr:colOff>
      <xdr:row>95</xdr:row>
      <xdr:rowOff>31750</xdr:rowOff>
    </xdr:from>
    <xdr:to>
      <xdr:col>12</xdr:col>
      <xdr:colOff>573941</xdr:colOff>
      <xdr:row>113</xdr:row>
      <xdr:rowOff>48846</xdr:rowOff>
    </xdr:to>
    <xdr:graphicFrame macro="">
      <xdr:nvGraphicFramePr>
        <xdr:cNvPr id="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42336</xdr:colOff>
      <xdr:row>131</xdr:row>
      <xdr:rowOff>31750</xdr:rowOff>
    </xdr:from>
    <xdr:to>
      <xdr:col>12</xdr:col>
      <xdr:colOff>550335</xdr:colOff>
      <xdr:row>149</xdr:row>
      <xdr:rowOff>95250</xdr:rowOff>
    </xdr:to>
    <xdr:graphicFrame macro="">
      <xdr:nvGraphicFramePr>
        <xdr:cNvPr id="5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42336</xdr:colOff>
      <xdr:row>177</xdr:row>
      <xdr:rowOff>36634</xdr:rowOff>
    </xdr:from>
    <xdr:to>
      <xdr:col>12</xdr:col>
      <xdr:colOff>550335</xdr:colOff>
      <xdr:row>194</xdr:row>
      <xdr:rowOff>109904</xdr:rowOff>
    </xdr:to>
    <xdr:graphicFrame macro="">
      <xdr:nvGraphicFramePr>
        <xdr:cNvPr id="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42336</xdr:colOff>
      <xdr:row>217</xdr:row>
      <xdr:rowOff>36634</xdr:rowOff>
    </xdr:from>
    <xdr:to>
      <xdr:col>12</xdr:col>
      <xdr:colOff>550335</xdr:colOff>
      <xdr:row>234</xdr:row>
      <xdr:rowOff>109904</xdr:rowOff>
    </xdr:to>
    <xdr:graphicFrame macro="">
      <xdr:nvGraphicFramePr>
        <xdr:cNvPr id="7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42336</xdr:colOff>
      <xdr:row>260</xdr:row>
      <xdr:rowOff>36634</xdr:rowOff>
    </xdr:from>
    <xdr:to>
      <xdr:col>12</xdr:col>
      <xdr:colOff>550335</xdr:colOff>
      <xdr:row>277</xdr:row>
      <xdr:rowOff>109904</xdr:rowOff>
    </xdr:to>
    <xdr:graphicFrame macro="">
      <xdr:nvGraphicFramePr>
        <xdr:cNvPr id="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42336</xdr:colOff>
      <xdr:row>294</xdr:row>
      <xdr:rowOff>31750</xdr:rowOff>
    </xdr:from>
    <xdr:to>
      <xdr:col>12</xdr:col>
      <xdr:colOff>550335</xdr:colOff>
      <xdr:row>312</xdr:row>
      <xdr:rowOff>95250</xdr:rowOff>
    </xdr:to>
    <xdr:graphicFrame macro="">
      <xdr:nvGraphicFramePr>
        <xdr:cNvPr id="9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42336</xdr:colOff>
      <xdr:row>342</xdr:row>
      <xdr:rowOff>31750</xdr:rowOff>
    </xdr:from>
    <xdr:to>
      <xdr:col>12</xdr:col>
      <xdr:colOff>550335</xdr:colOff>
      <xdr:row>360</xdr:row>
      <xdr:rowOff>95250</xdr:rowOff>
    </xdr:to>
    <xdr:graphicFrame macro="">
      <xdr:nvGraphicFramePr>
        <xdr:cNvPr id="1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42335</xdr:colOff>
      <xdr:row>380</xdr:row>
      <xdr:rowOff>31750</xdr:rowOff>
    </xdr:from>
    <xdr:to>
      <xdr:col>12</xdr:col>
      <xdr:colOff>573941</xdr:colOff>
      <xdr:row>398</xdr:row>
      <xdr:rowOff>48846</xdr:rowOff>
    </xdr:to>
    <xdr:graphicFrame macro="">
      <xdr:nvGraphicFramePr>
        <xdr:cNvPr id="11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42336</xdr:colOff>
      <xdr:row>425</xdr:row>
      <xdr:rowOff>31750</xdr:rowOff>
    </xdr:from>
    <xdr:to>
      <xdr:col>12</xdr:col>
      <xdr:colOff>550335</xdr:colOff>
      <xdr:row>443</xdr:row>
      <xdr:rowOff>95250</xdr:rowOff>
    </xdr:to>
    <xdr:graphicFrame macro="">
      <xdr:nvGraphicFramePr>
        <xdr:cNvPr id="1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42336</xdr:colOff>
      <xdr:row>474</xdr:row>
      <xdr:rowOff>31750</xdr:rowOff>
    </xdr:from>
    <xdr:to>
      <xdr:col>12</xdr:col>
      <xdr:colOff>550335</xdr:colOff>
      <xdr:row>492</xdr:row>
      <xdr:rowOff>95250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42336</xdr:colOff>
      <xdr:row>509</xdr:row>
      <xdr:rowOff>31750</xdr:rowOff>
    </xdr:from>
    <xdr:to>
      <xdr:col>12</xdr:col>
      <xdr:colOff>550335</xdr:colOff>
      <xdr:row>527</xdr:row>
      <xdr:rowOff>95250</xdr:rowOff>
    </xdr:to>
    <xdr:graphicFrame macro="">
      <xdr:nvGraphicFramePr>
        <xdr:cNvPr id="1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42335</xdr:colOff>
      <xdr:row>555</xdr:row>
      <xdr:rowOff>31750</xdr:rowOff>
    </xdr:from>
    <xdr:to>
      <xdr:col>12</xdr:col>
      <xdr:colOff>573941</xdr:colOff>
      <xdr:row>573</xdr:row>
      <xdr:rowOff>48846</xdr:rowOff>
    </xdr:to>
    <xdr:graphicFrame macro="">
      <xdr:nvGraphicFramePr>
        <xdr:cNvPr id="15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42336</xdr:colOff>
      <xdr:row>592</xdr:row>
      <xdr:rowOff>31750</xdr:rowOff>
    </xdr:from>
    <xdr:to>
      <xdr:col>12</xdr:col>
      <xdr:colOff>550335</xdr:colOff>
      <xdr:row>610</xdr:row>
      <xdr:rowOff>95250</xdr:rowOff>
    </xdr:to>
    <xdr:graphicFrame macro="">
      <xdr:nvGraphicFramePr>
        <xdr:cNvPr id="1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42336</xdr:colOff>
      <xdr:row>638</xdr:row>
      <xdr:rowOff>36634</xdr:rowOff>
    </xdr:from>
    <xdr:to>
      <xdr:col>12</xdr:col>
      <xdr:colOff>550335</xdr:colOff>
      <xdr:row>655</xdr:row>
      <xdr:rowOff>109904</xdr:rowOff>
    </xdr:to>
    <xdr:graphicFrame macro="">
      <xdr:nvGraphicFramePr>
        <xdr:cNvPr id="17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42336</xdr:colOff>
      <xdr:row>677</xdr:row>
      <xdr:rowOff>36634</xdr:rowOff>
    </xdr:from>
    <xdr:to>
      <xdr:col>12</xdr:col>
      <xdr:colOff>550335</xdr:colOff>
      <xdr:row>694</xdr:row>
      <xdr:rowOff>109904</xdr:rowOff>
    </xdr:to>
    <xdr:graphicFrame macro="">
      <xdr:nvGraphicFramePr>
        <xdr:cNvPr id="1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42336</xdr:colOff>
      <xdr:row>720</xdr:row>
      <xdr:rowOff>36634</xdr:rowOff>
    </xdr:from>
    <xdr:to>
      <xdr:col>12</xdr:col>
      <xdr:colOff>550335</xdr:colOff>
      <xdr:row>737</xdr:row>
      <xdr:rowOff>109904</xdr:rowOff>
    </xdr:to>
    <xdr:graphicFrame macro="">
      <xdr:nvGraphicFramePr>
        <xdr:cNvPr id="19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42336</xdr:colOff>
      <xdr:row>760</xdr:row>
      <xdr:rowOff>31750</xdr:rowOff>
    </xdr:from>
    <xdr:to>
      <xdr:col>12</xdr:col>
      <xdr:colOff>550335</xdr:colOff>
      <xdr:row>778</xdr:row>
      <xdr:rowOff>95250</xdr:rowOff>
    </xdr:to>
    <xdr:graphicFrame macro="">
      <xdr:nvGraphicFramePr>
        <xdr:cNvPr id="2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42336</xdr:colOff>
      <xdr:row>808</xdr:row>
      <xdr:rowOff>31750</xdr:rowOff>
    </xdr:from>
    <xdr:to>
      <xdr:col>12</xdr:col>
      <xdr:colOff>550335</xdr:colOff>
      <xdr:row>826</xdr:row>
      <xdr:rowOff>95250</xdr:rowOff>
    </xdr:to>
    <xdr:graphicFrame macro="">
      <xdr:nvGraphicFramePr>
        <xdr:cNvPr id="21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42335</xdr:colOff>
      <xdr:row>845</xdr:row>
      <xdr:rowOff>31750</xdr:rowOff>
    </xdr:from>
    <xdr:to>
      <xdr:col>12</xdr:col>
      <xdr:colOff>573941</xdr:colOff>
      <xdr:row>863</xdr:row>
      <xdr:rowOff>48846</xdr:rowOff>
    </xdr:to>
    <xdr:graphicFrame macro="">
      <xdr:nvGraphicFramePr>
        <xdr:cNvPr id="2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42336</xdr:colOff>
      <xdr:row>890</xdr:row>
      <xdr:rowOff>31750</xdr:rowOff>
    </xdr:from>
    <xdr:to>
      <xdr:col>12</xdr:col>
      <xdr:colOff>550335</xdr:colOff>
      <xdr:row>908</xdr:row>
      <xdr:rowOff>95250</xdr:rowOff>
    </xdr:to>
    <xdr:graphicFrame macro="">
      <xdr:nvGraphicFramePr>
        <xdr:cNvPr id="2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42336</xdr:colOff>
      <xdr:row>927</xdr:row>
      <xdr:rowOff>31750</xdr:rowOff>
    </xdr:from>
    <xdr:to>
      <xdr:col>12</xdr:col>
      <xdr:colOff>550335</xdr:colOff>
      <xdr:row>945</xdr:row>
      <xdr:rowOff>95250</xdr:rowOff>
    </xdr:to>
    <xdr:graphicFrame macro="">
      <xdr:nvGraphicFramePr>
        <xdr:cNvPr id="2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42335</xdr:colOff>
      <xdr:row>973</xdr:row>
      <xdr:rowOff>31750</xdr:rowOff>
    </xdr:from>
    <xdr:to>
      <xdr:col>12</xdr:col>
      <xdr:colOff>573941</xdr:colOff>
      <xdr:row>991</xdr:row>
      <xdr:rowOff>48846</xdr:rowOff>
    </xdr:to>
    <xdr:graphicFrame macro="">
      <xdr:nvGraphicFramePr>
        <xdr:cNvPr id="25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42336</xdr:colOff>
      <xdr:row>1010</xdr:row>
      <xdr:rowOff>31750</xdr:rowOff>
    </xdr:from>
    <xdr:to>
      <xdr:col>12</xdr:col>
      <xdr:colOff>550335</xdr:colOff>
      <xdr:row>1028</xdr:row>
      <xdr:rowOff>95250</xdr:rowOff>
    </xdr:to>
    <xdr:graphicFrame macro="">
      <xdr:nvGraphicFramePr>
        <xdr:cNvPr id="2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42336</xdr:colOff>
      <xdr:row>1056</xdr:row>
      <xdr:rowOff>36634</xdr:rowOff>
    </xdr:from>
    <xdr:to>
      <xdr:col>12</xdr:col>
      <xdr:colOff>550335</xdr:colOff>
      <xdr:row>1073</xdr:row>
      <xdr:rowOff>109904</xdr:rowOff>
    </xdr:to>
    <xdr:graphicFrame macro="">
      <xdr:nvGraphicFramePr>
        <xdr:cNvPr id="27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42336</xdr:colOff>
      <xdr:row>1095</xdr:row>
      <xdr:rowOff>36634</xdr:rowOff>
    </xdr:from>
    <xdr:to>
      <xdr:col>12</xdr:col>
      <xdr:colOff>550335</xdr:colOff>
      <xdr:row>1112</xdr:row>
      <xdr:rowOff>109904</xdr:rowOff>
    </xdr:to>
    <xdr:graphicFrame macro="">
      <xdr:nvGraphicFramePr>
        <xdr:cNvPr id="2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42336</xdr:colOff>
      <xdr:row>1138</xdr:row>
      <xdr:rowOff>36634</xdr:rowOff>
    </xdr:from>
    <xdr:to>
      <xdr:col>12</xdr:col>
      <xdr:colOff>550335</xdr:colOff>
      <xdr:row>1155</xdr:row>
      <xdr:rowOff>109904</xdr:rowOff>
    </xdr:to>
    <xdr:graphicFrame macro="">
      <xdr:nvGraphicFramePr>
        <xdr:cNvPr id="29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42336</xdr:colOff>
      <xdr:row>1178</xdr:row>
      <xdr:rowOff>31750</xdr:rowOff>
    </xdr:from>
    <xdr:to>
      <xdr:col>12</xdr:col>
      <xdr:colOff>550335</xdr:colOff>
      <xdr:row>1196</xdr:row>
      <xdr:rowOff>95250</xdr:rowOff>
    </xdr:to>
    <xdr:graphicFrame macro="">
      <xdr:nvGraphicFramePr>
        <xdr:cNvPr id="3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42336</xdr:colOff>
      <xdr:row>1226</xdr:row>
      <xdr:rowOff>31750</xdr:rowOff>
    </xdr:from>
    <xdr:to>
      <xdr:col>12</xdr:col>
      <xdr:colOff>550335</xdr:colOff>
      <xdr:row>1244</xdr:row>
      <xdr:rowOff>95250</xdr:rowOff>
    </xdr:to>
    <xdr:graphicFrame macro="">
      <xdr:nvGraphicFramePr>
        <xdr:cNvPr id="31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42335</xdr:colOff>
      <xdr:row>1263</xdr:row>
      <xdr:rowOff>31750</xdr:rowOff>
    </xdr:from>
    <xdr:to>
      <xdr:col>12</xdr:col>
      <xdr:colOff>573941</xdr:colOff>
      <xdr:row>1281</xdr:row>
      <xdr:rowOff>48846</xdr:rowOff>
    </xdr:to>
    <xdr:graphicFrame macro="">
      <xdr:nvGraphicFramePr>
        <xdr:cNvPr id="3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42336</xdr:colOff>
      <xdr:row>1308</xdr:row>
      <xdr:rowOff>31750</xdr:rowOff>
    </xdr:from>
    <xdr:to>
      <xdr:col>12</xdr:col>
      <xdr:colOff>550335</xdr:colOff>
      <xdr:row>1326</xdr:row>
      <xdr:rowOff>95250</xdr:rowOff>
    </xdr:to>
    <xdr:graphicFrame macro="">
      <xdr:nvGraphicFramePr>
        <xdr:cNvPr id="3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42336</xdr:colOff>
      <xdr:row>1346</xdr:row>
      <xdr:rowOff>36634</xdr:rowOff>
    </xdr:from>
    <xdr:to>
      <xdr:col>12</xdr:col>
      <xdr:colOff>550335</xdr:colOff>
      <xdr:row>1363</xdr:row>
      <xdr:rowOff>109904</xdr:rowOff>
    </xdr:to>
    <xdr:graphicFrame macro="">
      <xdr:nvGraphicFramePr>
        <xdr:cNvPr id="3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42336</xdr:colOff>
      <xdr:row>1386</xdr:row>
      <xdr:rowOff>31750</xdr:rowOff>
    </xdr:from>
    <xdr:to>
      <xdr:col>12</xdr:col>
      <xdr:colOff>550335</xdr:colOff>
      <xdr:row>1404</xdr:row>
      <xdr:rowOff>95250</xdr:rowOff>
    </xdr:to>
    <xdr:graphicFrame macro="">
      <xdr:nvGraphicFramePr>
        <xdr:cNvPr id="35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42336</xdr:colOff>
      <xdr:row>1429</xdr:row>
      <xdr:rowOff>31750</xdr:rowOff>
    </xdr:from>
    <xdr:to>
      <xdr:col>12</xdr:col>
      <xdr:colOff>550335</xdr:colOff>
      <xdr:row>1447</xdr:row>
      <xdr:rowOff>95250</xdr:rowOff>
    </xdr:to>
    <xdr:graphicFrame macro="">
      <xdr:nvGraphicFramePr>
        <xdr:cNvPr id="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42336</xdr:colOff>
      <xdr:row>13</xdr:row>
      <xdr:rowOff>31750</xdr:rowOff>
    </xdr:from>
    <xdr:to>
      <xdr:col>12</xdr:col>
      <xdr:colOff>550335</xdr:colOff>
      <xdr:row>31</xdr:row>
      <xdr:rowOff>95250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42336</xdr:colOff>
      <xdr:row>48</xdr:row>
      <xdr:rowOff>31750</xdr:rowOff>
    </xdr:from>
    <xdr:to>
      <xdr:col>12</xdr:col>
      <xdr:colOff>550335</xdr:colOff>
      <xdr:row>66</xdr:row>
      <xdr:rowOff>95250</xdr:rowOff>
    </xdr:to>
    <xdr:graphicFrame macro="">
      <xdr:nvGraphicFramePr>
        <xdr:cNvPr id="2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42335</xdr:colOff>
      <xdr:row>95</xdr:row>
      <xdr:rowOff>31750</xdr:rowOff>
    </xdr:from>
    <xdr:to>
      <xdr:col>12</xdr:col>
      <xdr:colOff>573941</xdr:colOff>
      <xdr:row>113</xdr:row>
      <xdr:rowOff>48846</xdr:rowOff>
    </xdr:to>
    <xdr:graphicFrame macro="">
      <xdr:nvGraphicFramePr>
        <xdr:cNvPr id="25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42336</xdr:colOff>
      <xdr:row>131</xdr:row>
      <xdr:rowOff>31750</xdr:rowOff>
    </xdr:from>
    <xdr:to>
      <xdr:col>12</xdr:col>
      <xdr:colOff>550335</xdr:colOff>
      <xdr:row>149</xdr:row>
      <xdr:rowOff>95250</xdr:rowOff>
    </xdr:to>
    <xdr:graphicFrame macro="">
      <xdr:nvGraphicFramePr>
        <xdr:cNvPr id="2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42336</xdr:colOff>
      <xdr:row>177</xdr:row>
      <xdr:rowOff>36634</xdr:rowOff>
    </xdr:from>
    <xdr:to>
      <xdr:col>12</xdr:col>
      <xdr:colOff>550335</xdr:colOff>
      <xdr:row>194</xdr:row>
      <xdr:rowOff>109904</xdr:rowOff>
    </xdr:to>
    <xdr:graphicFrame macro="">
      <xdr:nvGraphicFramePr>
        <xdr:cNvPr id="27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42336</xdr:colOff>
      <xdr:row>217</xdr:row>
      <xdr:rowOff>36634</xdr:rowOff>
    </xdr:from>
    <xdr:to>
      <xdr:col>12</xdr:col>
      <xdr:colOff>550335</xdr:colOff>
      <xdr:row>234</xdr:row>
      <xdr:rowOff>109904</xdr:rowOff>
    </xdr:to>
    <xdr:graphicFrame macro="">
      <xdr:nvGraphicFramePr>
        <xdr:cNvPr id="1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42336</xdr:colOff>
      <xdr:row>260</xdr:row>
      <xdr:rowOff>36634</xdr:rowOff>
    </xdr:from>
    <xdr:to>
      <xdr:col>12</xdr:col>
      <xdr:colOff>550335</xdr:colOff>
      <xdr:row>277</xdr:row>
      <xdr:rowOff>109904</xdr:rowOff>
    </xdr:to>
    <xdr:graphicFrame macro="">
      <xdr:nvGraphicFramePr>
        <xdr:cNvPr id="19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42336</xdr:colOff>
      <xdr:row>294</xdr:row>
      <xdr:rowOff>31750</xdr:rowOff>
    </xdr:from>
    <xdr:to>
      <xdr:col>12</xdr:col>
      <xdr:colOff>550335</xdr:colOff>
      <xdr:row>312</xdr:row>
      <xdr:rowOff>95250</xdr:rowOff>
    </xdr:to>
    <xdr:graphicFrame macro="">
      <xdr:nvGraphicFramePr>
        <xdr:cNvPr id="2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42336</xdr:colOff>
      <xdr:row>342</xdr:row>
      <xdr:rowOff>31750</xdr:rowOff>
    </xdr:from>
    <xdr:to>
      <xdr:col>12</xdr:col>
      <xdr:colOff>550335</xdr:colOff>
      <xdr:row>360</xdr:row>
      <xdr:rowOff>95250</xdr:rowOff>
    </xdr:to>
    <xdr:graphicFrame macro="">
      <xdr:nvGraphicFramePr>
        <xdr:cNvPr id="21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42335</xdr:colOff>
      <xdr:row>380</xdr:row>
      <xdr:rowOff>31750</xdr:rowOff>
    </xdr:from>
    <xdr:to>
      <xdr:col>12</xdr:col>
      <xdr:colOff>573941</xdr:colOff>
      <xdr:row>398</xdr:row>
      <xdr:rowOff>48846</xdr:rowOff>
    </xdr:to>
    <xdr:graphicFrame macro="">
      <xdr:nvGraphicFramePr>
        <xdr:cNvPr id="2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42336</xdr:colOff>
      <xdr:row>425</xdr:row>
      <xdr:rowOff>31750</xdr:rowOff>
    </xdr:from>
    <xdr:to>
      <xdr:col>12</xdr:col>
      <xdr:colOff>550335</xdr:colOff>
      <xdr:row>443</xdr:row>
      <xdr:rowOff>95250</xdr:rowOff>
    </xdr:to>
    <xdr:graphicFrame macro="">
      <xdr:nvGraphicFramePr>
        <xdr:cNvPr id="2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42336</xdr:colOff>
      <xdr:row>474</xdr:row>
      <xdr:rowOff>31750</xdr:rowOff>
    </xdr:from>
    <xdr:to>
      <xdr:col>12</xdr:col>
      <xdr:colOff>550335</xdr:colOff>
      <xdr:row>492</xdr:row>
      <xdr:rowOff>95250</xdr:rowOff>
    </xdr:to>
    <xdr:graphicFrame macro="">
      <xdr:nvGraphicFramePr>
        <xdr:cNvPr id="35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42336</xdr:colOff>
      <xdr:row>509</xdr:row>
      <xdr:rowOff>31750</xdr:rowOff>
    </xdr:from>
    <xdr:to>
      <xdr:col>12</xdr:col>
      <xdr:colOff>550335</xdr:colOff>
      <xdr:row>527</xdr:row>
      <xdr:rowOff>95250</xdr:rowOff>
    </xdr:to>
    <xdr:graphicFrame macro="">
      <xdr:nvGraphicFramePr>
        <xdr:cNvPr id="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42335</xdr:colOff>
      <xdr:row>555</xdr:row>
      <xdr:rowOff>31750</xdr:rowOff>
    </xdr:from>
    <xdr:to>
      <xdr:col>12</xdr:col>
      <xdr:colOff>573941</xdr:colOff>
      <xdr:row>573</xdr:row>
      <xdr:rowOff>48846</xdr:rowOff>
    </xdr:to>
    <xdr:graphicFrame macro="">
      <xdr:nvGraphicFramePr>
        <xdr:cNvPr id="37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42336</xdr:colOff>
      <xdr:row>592</xdr:row>
      <xdr:rowOff>31750</xdr:rowOff>
    </xdr:from>
    <xdr:to>
      <xdr:col>12</xdr:col>
      <xdr:colOff>550335</xdr:colOff>
      <xdr:row>610</xdr:row>
      <xdr:rowOff>95250</xdr:rowOff>
    </xdr:to>
    <xdr:graphicFrame macro="">
      <xdr:nvGraphicFramePr>
        <xdr:cNvPr id="3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42336</xdr:colOff>
      <xdr:row>638</xdr:row>
      <xdr:rowOff>36634</xdr:rowOff>
    </xdr:from>
    <xdr:to>
      <xdr:col>12</xdr:col>
      <xdr:colOff>550335</xdr:colOff>
      <xdr:row>655</xdr:row>
      <xdr:rowOff>109904</xdr:rowOff>
    </xdr:to>
    <xdr:graphicFrame macro="">
      <xdr:nvGraphicFramePr>
        <xdr:cNvPr id="39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42336</xdr:colOff>
      <xdr:row>677</xdr:row>
      <xdr:rowOff>36634</xdr:rowOff>
    </xdr:from>
    <xdr:to>
      <xdr:col>12</xdr:col>
      <xdr:colOff>550335</xdr:colOff>
      <xdr:row>694</xdr:row>
      <xdr:rowOff>109904</xdr:rowOff>
    </xdr:to>
    <xdr:graphicFrame macro="">
      <xdr:nvGraphicFramePr>
        <xdr:cNvPr id="4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42336</xdr:colOff>
      <xdr:row>720</xdr:row>
      <xdr:rowOff>36634</xdr:rowOff>
    </xdr:from>
    <xdr:to>
      <xdr:col>12</xdr:col>
      <xdr:colOff>550335</xdr:colOff>
      <xdr:row>737</xdr:row>
      <xdr:rowOff>109904</xdr:rowOff>
    </xdr:to>
    <xdr:graphicFrame macro="">
      <xdr:nvGraphicFramePr>
        <xdr:cNvPr id="41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42336</xdr:colOff>
      <xdr:row>760</xdr:row>
      <xdr:rowOff>31750</xdr:rowOff>
    </xdr:from>
    <xdr:to>
      <xdr:col>12</xdr:col>
      <xdr:colOff>550335</xdr:colOff>
      <xdr:row>778</xdr:row>
      <xdr:rowOff>95250</xdr:rowOff>
    </xdr:to>
    <xdr:graphicFrame macro="">
      <xdr:nvGraphicFramePr>
        <xdr:cNvPr id="4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42336</xdr:colOff>
      <xdr:row>808</xdr:row>
      <xdr:rowOff>31750</xdr:rowOff>
    </xdr:from>
    <xdr:to>
      <xdr:col>12</xdr:col>
      <xdr:colOff>550335</xdr:colOff>
      <xdr:row>826</xdr:row>
      <xdr:rowOff>95250</xdr:rowOff>
    </xdr:to>
    <xdr:graphicFrame macro="">
      <xdr:nvGraphicFramePr>
        <xdr:cNvPr id="4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42335</xdr:colOff>
      <xdr:row>845</xdr:row>
      <xdr:rowOff>31750</xdr:rowOff>
    </xdr:from>
    <xdr:to>
      <xdr:col>12</xdr:col>
      <xdr:colOff>573941</xdr:colOff>
      <xdr:row>863</xdr:row>
      <xdr:rowOff>48846</xdr:rowOff>
    </xdr:to>
    <xdr:graphicFrame macro="">
      <xdr:nvGraphicFramePr>
        <xdr:cNvPr id="4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42336</xdr:colOff>
      <xdr:row>890</xdr:row>
      <xdr:rowOff>31750</xdr:rowOff>
    </xdr:from>
    <xdr:to>
      <xdr:col>12</xdr:col>
      <xdr:colOff>550335</xdr:colOff>
      <xdr:row>908</xdr:row>
      <xdr:rowOff>95250</xdr:rowOff>
    </xdr:to>
    <xdr:graphicFrame macro="">
      <xdr:nvGraphicFramePr>
        <xdr:cNvPr id="49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42336</xdr:colOff>
      <xdr:row>927</xdr:row>
      <xdr:rowOff>31750</xdr:rowOff>
    </xdr:from>
    <xdr:to>
      <xdr:col>12</xdr:col>
      <xdr:colOff>550335</xdr:colOff>
      <xdr:row>945</xdr:row>
      <xdr:rowOff>95250</xdr:rowOff>
    </xdr:to>
    <xdr:graphicFrame macro="">
      <xdr:nvGraphicFramePr>
        <xdr:cNvPr id="5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42335</xdr:colOff>
      <xdr:row>973</xdr:row>
      <xdr:rowOff>31750</xdr:rowOff>
    </xdr:from>
    <xdr:to>
      <xdr:col>12</xdr:col>
      <xdr:colOff>573941</xdr:colOff>
      <xdr:row>991</xdr:row>
      <xdr:rowOff>48846</xdr:rowOff>
    </xdr:to>
    <xdr:graphicFrame macro="">
      <xdr:nvGraphicFramePr>
        <xdr:cNvPr id="51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42336</xdr:colOff>
      <xdr:row>1010</xdr:row>
      <xdr:rowOff>31750</xdr:rowOff>
    </xdr:from>
    <xdr:to>
      <xdr:col>12</xdr:col>
      <xdr:colOff>550335</xdr:colOff>
      <xdr:row>1028</xdr:row>
      <xdr:rowOff>95250</xdr:rowOff>
    </xdr:to>
    <xdr:graphicFrame macro="">
      <xdr:nvGraphicFramePr>
        <xdr:cNvPr id="5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42336</xdr:colOff>
      <xdr:row>1056</xdr:row>
      <xdr:rowOff>36634</xdr:rowOff>
    </xdr:from>
    <xdr:to>
      <xdr:col>12</xdr:col>
      <xdr:colOff>550335</xdr:colOff>
      <xdr:row>1073</xdr:row>
      <xdr:rowOff>109904</xdr:rowOff>
    </xdr:to>
    <xdr:graphicFrame macro="">
      <xdr:nvGraphicFramePr>
        <xdr:cNvPr id="5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42336</xdr:colOff>
      <xdr:row>1095</xdr:row>
      <xdr:rowOff>36634</xdr:rowOff>
    </xdr:from>
    <xdr:to>
      <xdr:col>12</xdr:col>
      <xdr:colOff>550335</xdr:colOff>
      <xdr:row>1112</xdr:row>
      <xdr:rowOff>109904</xdr:rowOff>
    </xdr:to>
    <xdr:graphicFrame macro="">
      <xdr:nvGraphicFramePr>
        <xdr:cNvPr id="5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42336</xdr:colOff>
      <xdr:row>1138</xdr:row>
      <xdr:rowOff>36634</xdr:rowOff>
    </xdr:from>
    <xdr:to>
      <xdr:col>12</xdr:col>
      <xdr:colOff>550335</xdr:colOff>
      <xdr:row>1155</xdr:row>
      <xdr:rowOff>109904</xdr:rowOff>
    </xdr:to>
    <xdr:graphicFrame macro="">
      <xdr:nvGraphicFramePr>
        <xdr:cNvPr id="55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42336</xdr:colOff>
      <xdr:row>1178</xdr:row>
      <xdr:rowOff>31750</xdr:rowOff>
    </xdr:from>
    <xdr:to>
      <xdr:col>12</xdr:col>
      <xdr:colOff>550335</xdr:colOff>
      <xdr:row>1196</xdr:row>
      <xdr:rowOff>95250</xdr:rowOff>
    </xdr:to>
    <xdr:graphicFrame macro="">
      <xdr:nvGraphicFramePr>
        <xdr:cNvPr id="5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42336</xdr:colOff>
      <xdr:row>1226</xdr:row>
      <xdr:rowOff>31750</xdr:rowOff>
    </xdr:from>
    <xdr:to>
      <xdr:col>12</xdr:col>
      <xdr:colOff>550335</xdr:colOff>
      <xdr:row>1244</xdr:row>
      <xdr:rowOff>95250</xdr:rowOff>
    </xdr:to>
    <xdr:graphicFrame macro="">
      <xdr:nvGraphicFramePr>
        <xdr:cNvPr id="57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42335</xdr:colOff>
      <xdr:row>1263</xdr:row>
      <xdr:rowOff>31750</xdr:rowOff>
    </xdr:from>
    <xdr:to>
      <xdr:col>12</xdr:col>
      <xdr:colOff>573941</xdr:colOff>
      <xdr:row>1281</xdr:row>
      <xdr:rowOff>48846</xdr:rowOff>
    </xdr:to>
    <xdr:graphicFrame macro="">
      <xdr:nvGraphicFramePr>
        <xdr:cNvPr id="5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42336</xdr:colOff>
      <xdr:row>1308</xdr:row>
      <xdr:rowOff>31750</xdr:rowOff>
    </xdr:from>
    <xdr:to>
      <xdr:col>12</xdr:col>
      <xdr:colOff>550335</xdr:colOff>
      <xdr:row>1326</xdr:row>
      <xdr:rowOff>95250</xdr:rowOff>
    </xdr:to>
    <xdr:graphicFrame macro="">
      <xdr:nvGraphicFramePr>
        <xdr:cNvPr id="59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42336</xdr:colOff>
      <xdr:row>1346</xdr:row>
      <xdr:rowOff>36634</xdr:rowOff>
    </xdr:from>
    <xdr:to>
      <xdr:col>12</xdr:col>
      <xdr:colOff>550335</xdr:colOff>
      <xdr:row>1363</xdr:row>
      <xdr:rowOff>109904</xdr:rowOff>
    </xdr:to>
    <xdr:graphicFrame macro="">
      <xdr:nvGraphicFramePr>
        <xdr:cNvPr id="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42336</xdr:colOff>
      <xdr:row>1386</xdr:row>
      <xdr:rowOff>31750</xdr:rowOff>
    </xdr:from>
    <xdr:to>
      <xdr:col>12</xdr:col>
      <xdr:colOff>550335</xdr:colOff>
      <xdr:row>1404</xdr:row>
      <xdr:rowOff>95250</xdr:rowOff>
    </xdr:to>
    <xdr:graphicFrame macro="">
      <xdr:nvGraphicFramePr>
        <xdr:cNvPr id="61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42336</xdr:colOff>
      <xdr:row>1429</xdr:row>
      <xdr:rowOff>31750</xdr:rowOff>
    </xdr:from>
    <xdr:to>
      <xdr:col>12</xdr:col>
      <xdr:colOff>550335</xdr:colOff>
      <xdr:row>1447</xdr:row>
      <xdr:rowOff>95250</xdr:rowOff>
    </xdr:to>
    <xdr:graphicFrame macro="">
      <xdr:nvGraphicFramePr>
        <xdr:cNvPr id="6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0.41758</cdr:x>
      <cdr:y>0.31624</cdr:y>
    </cdr:from>
    <cdr:to>
      <cdr:x>0.48678</cdr:x>
      <cdr:y>0.35465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09523" y="1021069"/>
          <a:ext cx="730685" cy="124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0.43859</cdr:x>
      <cdr:y>0.27382</cdr:y>
    </cdr:from>
    <cdr:to>
      <cdr:x>0.55721</cdr:x>
      <cdr:y>0.62573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631338" y="884117"/>
          <a:ext cx="1252602" cy="1136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4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0.43875</cdr:x>
      <cdr:y>0.26673</cdr:y>
    </cdr:from>
    <cdr:to>
      <cdr:x>0.52512</cdr:x>
      <cdr:y>0.56496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45143" y="957866"/>
          <a:ext cx="914400" cy="107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6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0.41758</cdr:x>
      <cdr:y>0.31624</cdr:y>
    </cdr:from>
    <cdr:to>
      <cdr:x>0.48678</cdr:x>
      <cdr:y>0.35465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09523" y="1021069"/>
          <a:ext cx="730685" cy="124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0.43859</cdr:x>
      <cdr:y>0.27382</cdr:y>
    </cdr:from>
    <cdr:to>
      <cdr:x>0.55721</cdr:x>
      <cdr:y>0.62573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631338" y="884117"/>
          <a:ext cx="1252602" cy="1136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4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0.41758</cdr:x>
      <cdr:y>0.31624</cdr:y>
    </cdr:from>
    <cdr:to>
      <cdr:x>0.48678</cdr:x>
      <cdr:y>0.35465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09523" y="1021069"/>
          <a:ext cx="730685" cy="124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0.43859</cdr:x>
      <cdr:y>0.27382</cdr:y>
    </cdr:from>
    <cdr:to>
      <cdr:x>0.55721</cdr:x>
      <cdr:y>0.62573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631338" y="884117"/>
          <a:ext cx="1252602" cy="1136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4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0.41758</cdr:x>
      <cdr:y>0.31624</cdr:y>
    </cdr:from>
    <cdr:to>
      <cdr:x>0.48678</cdr:x>
      <cdr:y>0.35465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09523" y="1021069"/>
          <a:ext cx="730685" cy="124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0.43859</cdr:x>
      <cdr:y>0.27382</cdr:y>
    </cdr:from>
    <cdr:to>
      <cdr:x>0.55721</cdr:x>
      <cdr:y>0.62573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631338" y="884117"/>
          <a:ext cx="1252602" cy="1136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4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0.43875</cdr:x>
      <cdr:y>0.26673</cdr:y>
    </cdr:from>
    <cdr:to>
      <cdr:x>0.52512</cdr:x>
      <cdr:y>0.56496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45143" y="957866"/>
          <a:ext cx="914400" cy="107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600" b="1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42336</xdr:colOff>
      <xdr:row>14</xdr:row>
      <xdr:rowOff>31750</xdr:rowOff>
    </xdr:from>
    <xdr:to>
      <xdr:col>12</xdr:col>
      <xdr:colOff>550335</xdr:colOff>
      <xdr:row>32</xdr:row>
      <xdr:rowOff>95250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42336</xdr:colOff>
      <xdr:row>49</xdr:row>
      <xdr:rowOff>31750</xdr:rowOff>
    </xdr:from>
    <xdr:to>
      <xdr:col>12</xdr:col>
      <xdr:colOff>550335</xdr:colOff>
      <xdr:row>67</xdr:row>
      <xdr:rowOff>95250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42335</xdr:colOff>
      <xdr:row>95</xdr:row>
      <xdr:rowOff>31750</xdr:rowOff>
    </xdr:from>
    <xdr:to>
      <xdr:col>12</xdr:col>
      <xdr:colOff>573941</xdr:colOff>
      <xdr:row>113</xdr:row>
      <xdr:rowOff>48846</xdr:rowOff>
    </xdr:to>
    <xdr:graphicFrame macro="">
      <xdr:nvGraphicFramePr>
        <xdr:cNvPr id="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42336</xdr:colOff>
      <xdr:row>131</xdr:row>
      <xdr:rowOff>31750</xdr:rowOff>
    </xdr:from>
    <xdr:to>
      <xdr:col>12</xdr:col>
      <xdr:colOff>550335</xdr:colOff>
      <xdr:row>149</xdr:row>
      <xdr:rowOff>95250</xdr:rowOff>
    </xdr:to>
    <xdr:graphicFrame macro="">
      <xdr:nvGraphicFramePr>
        <xdr:cNvPr id="5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42336</xdr:colOff>
      <xdr:row>177</xdr:row>
      <xdr:rowOff>36634</xdr:rowOff>
    </xdr:from>
    <xdr:to>
      <xdr:col>12</xdr:col>
      <xdr:colOff>550335</xdr:colOff>
      <xdr:row>194</xdr:row>
      <xdr:rowOff>109904</xdr:rowOff>
    </xdr:to>
    <xdr:graphicFrame macro="">
      <xdr:nvGraphicFramePr>
        <xdr:cNvPr id="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42336</xdr:colOff>
      <xdr:row>217</xdr:row>
      <xdr:rowOff>36634</xdr:rowOff>
    </xdr:from>
    <xdr:to>
      <xdr:col>12</xdr:col>
      <xdr:colOff>550335</xdr:colOff>
      <xdr:row>234</xdr:row>
      <xdr:rowOff>109904</xdr:rowOff>
    </xdr:to>
    <xdr:graphicFrame macro="">
      <xdr:nvGraphicFramePr>
        <xdr:cNvPr id="7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42336</xdr:colOff>
      <xdr:row>260</xdr:row>
      <xdr:rowOff>36634</xdr:rowOff>
    </xdr:from>
    <xdr:to>
      <xdr:col>12</xdr:col>
      <xdr:colOff>550335</xdr:colOff>
      <xdr:row>277</xdr:row>
      <xdr:rowOff>109904</xdr:rowOff>
    </xdr:to>
    <xdr:graphicFrame macro="">
      <xdr:nvGraphicFramePr>
        <xdr:cNvPr id="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42336</xdr:colOff>
      <xdr:row>294</xdr:row>
      <xdr:rowOff>31750</xdr:rowOff>
    </xdr:from>
    <xdr:to>
      <xdr:col>12</xdr:col>
      <xdr:colOff>550335</xdr:colOff>
      <xdr:row>312</xdr:row>
      <xdr:rowOff>95250</xdr:rowOff>
    </xdr:to>
    <xdr:graphicFrame macro="">
      <xdr:nvGraphicFramePr>
        <xdr:cNvPr id="9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42336</xdr:colOff>
      <xdr:row>342</xdr:row>
      <xdr:rowOff>31750</xdr:rowOff>
    </xdr:from>
    <xdr:to>
      <xdr:col>12</xdr:col>
      <xdr:colOff>550335</xdr:colOff>
      <xdr:row>360</xdr:row>
      <xdr:rowOff>95250</xdr:rowOff>
    </xdr:to>
    <xdr:graphicFrame macro="">
      <xdr:nvGraphicFramePr>
        <xdr:cNvPr id="1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42335</xdr:colOff>
      <xdr:row>380</xdr:row>
      <xdr:rowOff>31750</xdr:rowOff>
    </xdr:from>
    <xdr:to>
      <xdr:col>12</xdr:col>
      <xdr:colOff>573941</xdr:colOff>
      <xdr:row>398</xdr:row>
      <xdr:rowOff>48846</xdr:rowOff>
    </xdr:to>
    <xdr:graphicFrame macro="">
      <xdr:nvGraphicFramePr>
        <xdr:cNvPr id="11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42336</xdr:colOff>
      <xdr:row>425</xdr:row>
      <xdr:rowOff>31750</xdr:rowOff>
    </xdr:from>
    <xdr:to>
      <xdr:col>12</xdr:col>
      <xdr:colOff>550335</xdr:colOff>
      <xdr:row>443</xdr:row>
      <xdr:rowOff>95250</xdr:rowOff>
    </xdr:to>
    <xdr:graphicFrame macro="">
      <xdr:nvGraphicFramePr>
        <xdr:cNvPr id="1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42336</xdr:colOff>
      <xdr:row>14</xdr:row>
      <xdr:rowOff>31750</xdr:rowOff>
    </xdr:from>
    <xdr:to>
      <xdr:col>12</xdr:col>
      <xdr:colOff>550335</xdr:colOff>
      <xdr:row>32</xdr:row>
      <xdr:rowOff>95250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42336</xdr:colOff>
      <xdr:row>49</xdr:row>
      <xdr:rowOff>31750</xdr:rowOff>
    </xdr:from>
    <xdr:to>
      <xdr:col>12</xdr:col>
      <xdr:colOff>550335</xdr:colOff>
      <xdr:row>67</xdr:row>
      <xdr:rowOff>95250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42335</xdr:colOff>
      <xdr:row>95</xdr:row>
      <xdr:rowOff>31750</xdr:rowOff>
    </xdr:from>
    <xdr:to>
      <xdr:col>12</xdr:col>
      <xdr:colOff>573941</xdr:colOff>
      <xdr:row>113</xdr:row>
      <xdr:rowOff>48846</xdr:rowOff>
    </xdr:to>
    <xdr:graphicFrame macro="">
      <xdr:nvGraphicFramePr>
        <xdr:cNvPr id="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42336</xdr:colOff>
      <xdr:row>131</xdr:row>
      <xdr:rowOff>31750</xdr:rowOff>
    </xdr:from>
    <xdr:to>
      <xdr:col>12</xdr:col>
      <xdr:colOff>550335</xdr:colOff>
      <xdr:row>149</xdr:row>
      <xdr:rowOff>95250</xdr:rowOff>
    </xdr:to>
    <xdr:graphicFrame macro="">
      <xdr:nvGraphicFramePr>
        <xdr:cNvPr id="5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42336</xdr:colOff>
      <xdr:row>177</xdr:row>
      <xdr:rowOff>36634</xdr:rowOff>
    </xdr:from>
    <xdr:to>
      <xdr:col>12</xdr:col>
      <xdr:colOff>550335</xdr:colOff>
      <xdr:row>194</xdr:row>
      <xdr:rowOff>109904</xdr:rowOff>
    </xdr:to>
    <xdr:graphicFrame macro="">
      <xdr:nvGraphicFramePr>
        <xdr:cNvPr id="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42336</xdr:colOff>
      <xdr:row>217</xdr:row>
      <xdr:rowOff>36634</xdr:rowOff>
    </xdr:from>
    <xdr:to>
      <xdr:col>12</xdr:col>
      <xdr:colOff>550335</xdr:colOff>
      <xdr:row>234</xdr:row>
      <xdr:rowOff>109904</xdr:rowOff>
    </xdr:to>
    <xdr:graphicFrame macro="">
      <xdr:nvGraphicFramePr>
        <xdr:cNvPr id="7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42336</xdr:colOff>
      <xdr:row>260</xdr:row>
      <xdr:rowOff>36634</xdr:rowOff>
    </xdr:from>
    <xdr:to>
      <xdr:col>12</xdr:col>
      <xdr:colOff>550335</xdr:colOff>
      <xdr:row>277</xdr:row>
      <xdr:rowOff>109904</xdr:rowOff>
    </xdr:to>
    <xdr:graphicFrame macro="">
      <xdr:nvGraphicFramePr>
        <xdr:cNvPr id="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42336</xdr:colOff>
      <xdr:row>294</xdr:row>
      <xdr:rowOff>31750</xdr:rowOff>
    </xdr:from>
    <xdr:to>
      <xdr:col>12</xdr:col>
      <xdr:colOff>550335</xdr:colOff>
      <xdr:row>312</xdr:row>
      <xdr:rowOff>95250</xdr:rowOff>
    </xdr:to>
    <xdr:graphicFrame macro="">
      <xdr:nvGraphicFramePr>
        <xdr:cNvPr id="9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42336</xdr:colOff>
      <xdr:row>342</xdr:row>
      <xdr:rowOff>31750</xdr:rowOff>
    </xdr:from>
    <xdr:to>
      <xdr:col>12</xdr:col>
      <xdr:colOff>550335</xdr:colOff>
      <xdr:row>360</xdr:row>
      <xdr:rowOff>95250</xdr:rowOff>
    </xdr:to>
    <xdr:graphicFrame macro="">
      <xdr:nvGraphicFramePr>
        <xdr:cNvPr id="1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42335</xdr:colOff>
      <xdr:row>380</xdr:row>
      <xdr:rowOff>31750</xdr:rowOff>
    </xdr:from>
    <xdr:to>
      <xdr:col>12</xdr:col>
      <xdr:colOff>573941</xdr:colOff>
      <xdr:row>398</xdr:row>
      <xdr:rowOff>48846</xdr:rowOff>
    </xdr:to>
    <xdr:graphicFrame macro="">
      <xdr:nvGraphicFramePr>
        <xdr:cNvPr id="11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42336</xdr:colOff>
      <xdr:row>425</xdr:row>
      <xdr:rowOff>31750</xdr:rowOff>
    </xdr:from>
    <xdr:to>
      <xdr:col>12</xdr:col>
      <xdr:colOff>550335</xdr:colOff>
      <xdr:row>443</xdr:row>
      <xdr:rowOff>95250</xdr:rowOff>
    </xdr:to>
    <xdr:graphicFrame macro="">
      <xdr:nvGraphicFramePr>
        <xdr:cNvPr id="1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42336</xdr:colOff>
      <xdr:row>474</xdr:row>
      <xdr:rowOff>31750</xdr:rowOff>
    </xdr:from>
    <xdr:to>
      <xdr:col>12</xdr:col>
      <xdr:colOff>550335</xdr:colOff>
      <xdr:row>492</xdr:row>
      <xdr:rowOff>95250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42336</xdr:colOff>
      <xdr:row>509</xdr:row>
      <xdr:rowOff>31750</xdr:rowOff>
    </xdr:from>
    <xdr:to>
      <xdr:col>12</xdr:col>
      <xdr:colOff>550335</xdr:colOff>
      <xdr:row>527</xdr:row>
      <xdr:rowOff>95250</xdr:rowOff>
    </xdr:to>
    <xdr:graphicFrame macro="">
      <xdr:nvGraphicFramePr>
        <xdr:cNvPr id="1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42335</xdr:colOff>
      <xdr:row>555</xdr:row>
      <xdr:rowOff>31750</xdr:rowOff>
    </xdr:from>
    <xdr:to>
      <xdr:col>12</xdr:col>
      <xdr:colOff>573941</xdr:colOff>
      <xdr:row>573</xdr:row>
      <xdr:rowOff>48846</xdr:rowOff>
    </xdr:to>
    <xdr:graphicFrame macro="">
      <xdr:nvGraphicFramePr>
        <xdr:cNvPr id="15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42336</xdr:colOff>
      <xdr:row>592</xdr:row>
      <xdr:rowOff>31750</xdr:rowOff>
    </xdr:from>
    <xdr:to>
      <xdr:col>12</xdr:col>
      <xdr:colOff>550335</xdr:colOff>
      <xdr:row>610</xdr:row>
      <xdr:rowOff>95250</xdr:rowOff>
    </xdr:to>
    <xdr:graphicFrame macro="">
      <xdr:nvGraphicFramePr>
        <xdr:cNvPr id="1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42336</xdr:colOff>
      <xdr:row>638</xdr:row>
      <xdr:rowOff>36634</xdr:rowOff>
    </xdr:from>
    <xdr:to>
      <xdr:col>12</xdr:col>
      <xdr:colOff>550335</xdr:colOff>
      <xdr:row>655</xdr:row>
      <xdr:rowOff>109904</xdr:rowOff>
    </xdr:to>
    <xdr:graphicFrame macro="">
      <xdr:nvGraphicFramePr>
        <xdr:cNvPr id="17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42336</xdr:colOff>
      <xdr:row>677</xdr:row>
      <xdr:rowOff>36634</xdr:rowOff>
    </xdr:from>
    <xdr:to>
      <xdr:col>12</xdr:col>
      <xdr:colOff>550335</xdr:colOff>
      <xdr:row>694</xdr:row>
      <xdr:rowOff>109904</xdr:rowOff>
    </xdr:to>
    <xdr:graphicFrame macro="">
      <xdr:nvGraphicFramePr>
        <xdr:cNvPr id="1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42336</xdr:colOff>
      <xdr:row>720</xdr:row>
      <xdr:rowOff>36634</xdr:rowOff>
    </xdr:from>
    <xdr:to>
      <xdr:col>12</xdr:col>
      <xdr:colOff>550335</xdr:colOff>
      <xdr:row>737</xdr:row>
      <xdr:rowOff>109904</xdr:rowOff>
    </xdr:to>
    <xdr:graphicFrame macro="">
      <xdr:nvGraphicFramePr>
        <xdr:cNvPr id="19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42336</xdr:colOff>
      <xdr:row>760</xdr:row>
      <xdr:rowOff>31750</xdr:rowOff>
    </xdr:from>
    <xdr:to>
      <xdr:col>12</xdr:col>
      <xdr:colOff>550335</xdr:colOff>
      <xdr:row>778</xdr:row>
      <xdr:rowOff>95250</xdr:rowOff>
    </xdr:to>
    <xdr:graphicFrame macro="">
      <xdr:nvGraphicFramePr>
        <xdr:cNvPr id="2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42336</xdr:colOff>
      <xdr:row>808</xdr:row>
      <xdr:rowOff>31750</xdr:rowOff>
    </xdr:from>
    <xdr:to>
      <xdr:col>12</xdr:col>
      <xdr:colOff>550335</xdr:colOff>
      <xdr:row>826</xdr:row>
      <xdr:rowOff>95250</xdr:rowOff>
    </xdr:to>
    <xdr:graphicFrame macro="">
      <xdr:nvGraphicFramePr>
        <xdr:cNvPr id="21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42335</xdr:colOff>
      <xdr:row>845</xdr:row>
      <xdr:rowOff>31750</xdr:rowOff>
    </xdr:from>
    <xdr:to>
      <xdr:col>12</xdr:col>
      <xdr:colOff>573941</xdr:colOff>
      <xdr:row>863</xdr:row>
      <xdr:rowOff>48846</xdr:rowOff>
    </xdr:to>
    <xdr:graphicFrame macro="">
      <xdr:nvGraphicFramePr>
        <xdr:cNvPr id="2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42336</xdr:colOff>
      <xdr:row>890</xdr:row>
      <xdr:rowOff>31750</xdr:rowOff>
    </xdr:from>
    <xdr:to>
      <xdr:col>12</xdr:col>
      <xdr:colOff>550335</xdr:colOff>
      <xdr:row>908</xdr:row>
      <xdr:rowOff>95250</xdr:rowOff>
    </xdr:to>
    <xdr:graphicFrame macro="">
      <xdr:nvGraphicFramePr>
        <xdr:cNvPr id="2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42336</xdr:colOff>
      <xdr:row>927</xdr:row>
      <xdr:rowOff>31750</xdr:rowOff>
    </xdr:from>
    <xdr:to>
      <xdr:col>12</xdr:col>
      <xdr:colOff>550335</xdr:colOff>
      <xdr:row>945</xdr:row>
      <xdr:rowOff>95250</xdr:rowOff>
    </xdr:to>
    <xdr:graphicFrame macro="">
      <xdr:nvGraphicFramePr>
        <xdr:cNvPr id="2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42335</xdr:colOff>
      <xdr:row>973</xdr:row>
      <xdr:rowOff>31750</xdr:rowOff>
    </xdr:from>
    <xdr:to>
      <xdr:col>12</xdr:col>
      <xdr:colOff>573941</xdr:colOff>
      <xdr:row>991</xdr:row>
      <xdr:rowOff>48846</xdr:rowOff>
    </xdr:to>
    <xdr:graphicFrame macro="">
      <xdr:nvGraphicFramePr>
        <xdr:cNvPr id="25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42336</xdr:colOff>
      <xdr:row>1010</xdr:row>
      <xdr:rowOff>31750</xdr:rowOff>
    </xdr:from>
    <xdr:to>
      <xdr:col>12</xdr:col>
      <xdr:colOff>550335</xdr:colOff>
      <xdr:row>1028</xdr:row>
      <xdr:rowOff>95250</xdr:rowOff>
    </xdr:to>
    <xdr:graphicFrame macro="">
      <xdr:nvGraphicFramePr>
        <xdr:cNvPr id="2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42336</xdr:colOff>
      <xdr:row>1056</xdr:row>
      <xdr:rowOff>36634</xdr:rowOff>
    </xdr:from>
    <xdr:to>
      <xdr:col>12</xdr:col>
      <xdr:colOff>550335</xdr:colOff>
      <xdr:row>1073</xdr:row>
      <xdr:rowOff>109904</xdr:rowOff>
    </xdr:to>
    <xdr:graphicFrame macro="">
      <xdr:nvGraphicFramePr>
        <xdr:cNvPr id="27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42336</xdr:colOff>
      <xdr:row>1095</xdr:row>
      <xdr:rowOff>36634</xdr:rowOff>
    </xdr:from>
    <xdr:to>
      <xdr:col>12</xdr:col>
      <xdr:colOff>550335</xdr:colOff>
      <xdr:row>1112</xdr:row>
      <xdr:rowOff>109904</xdr:rowOff>
    </xdr:to>
    <xdr:graphicFrame macro="">
      <xdr:nvGraphicFramePr>
        <xdr:cNvPr id="2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42336</xdr:colOff>
      <xdr:row>1138</xdr:row>
      <xdr:rowOff>36634</xdr:rowOff>
    </xdr:from>
    <xdr:to>
      <xdr:col>12</xdr:col>
      <xdr:colOff>550335</xdr:colOff>
      <xdr:row>1155</xdr:row>
      <xdr:rowOff>109904</xdr:rowOff>
    </xdr:to>
    <xdr:graphicFrame macro="">
      <xdr:nvGraphicFramePr>
        <xdr:cNvPr id="29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42336</xdr:colOff>
      <xdr:row>1178</xdr:row>
      <xdr:rowOff>31750</xdr:rowOff>
    </xdr:from>
    <xdr:to>
      <xdr:col>12</xdr:col>
      <xdr:colOff>550335</xdr:colOff>
      <xdr:row>1196</xdr:row>
      <xdr:rowOff>95250</xdr:rowOff>
    </xdr:to>
    <xdr:graphicFrame macro="">
      <xdr:nvGraphicFramePr>
        <xdr:cNvPr id="3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42336</xdr:colOff>
      <xdr:row>1226</xdr:row>
      <xdr:rowOff>31750</xdr:rowOff>
    </xdr:from>
    <xdr:to>
      <xdr:col>12</xdr:col>
      <xdr:colOff>550335</xdr:colOff>
      <xdr:row>1244</xdr:row>
      <xdr:rowOff>95250</xdr:rowOff>
    </xdr:to>
    <xdr:graphicFrame macro="">
      <xdr:nvGraphicFramePr>
        <xdr:cNvPr id="31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42335</xdr:colOff>
      <xdr:row>1263</xdr:row>
      <xdr:rowOff>31750</xdr:rowOff>
    </xdr:from>
    <xdr:to>
      <xdr:col>12</xdr:col>
      <xdr:colOff>573941</xdr:colOff>
      <xdr:row>1281</xdr:row>
      <xdr:rowOff>48846</xdr:rowOff>
    </xdr:to>
    <xdr:graphicFrame macro="">
      <xdr:nvGraphicFramePr>
        <xdr:cNvPr id="3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42336</xdr:colOff>
      <xdr:row>1308</xdr:row>
      <xdr:rowOff>31750</xdr:rowOff>
    </xdr:from>
    <xdr:to>
      <xdr:col>12</xdr:col>
      <xdr:colOff>550335</xdr:colOff>
      <xdr:row>1326</xdr:row>
      <xdr:rowOff>95250</xdr:rowOff>
    </xdr:to>
    <xdr:graphicFrame macro="">
      <xdr:nvGraphicFramePr>
        <xdr:cNvPr id="3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42336</xdr:colOff>
      <xdr:row>1346</xdr:row>
      <xdr:rowOff>36634</xdr:rowOff>
    </xdr:from>
    <xdr:to>
      <xdr:col>12</xdr:col>
      <xdr:colOff>550335</xdr:colOff>
      <xdr:row>1363</xdr:row>
      <xdr:rowOff>109904</xdr:rowOff>
    </xdr:to>
    <xdr:graphicFrame macro="">
      <xdr:nvGraphicFramePr>
        <xdr:cNvPr id="3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42336</xdr:colOff>
      <xdr:row>1386</xdr:row>
      <xdr:rowOff>31750</xdr:rowOff>
    </xdr:from>
    <xdr:to>
      <xdr:col>12</xdr:col>
      <xdr:colOff>550335</xdr:colOff>
      <xdr:row>1404</xdr:row>
      <xdr:rowOff>95250</xdr:rowOff>
    </xdr:to>
    <xdr:graphicFrame macro="">
      <xdr:nvGraphicFramePr>
        <xdr:cNvPr id="35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42336</xdr:colOff>
      <xdr:row>1429</xdr:row>
      <xdr:rowOff>31750</xdr:rowOff>
    </xdr:from>
    <xdr:to>
      <xdr:col>12</xdr:col>
      <xdr:colOff>550335</xdr:colOff>
      <xdr:row>1447</xdr:row>
      <xdr:rowOff>95250</xdr:rowOff>
    </xdr:to>
    <xdr:graphicFrame macro="">
      <xdr:nvGraphicFramePr>
        <xdr:cNvPr id="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ssion%20KakatiyaII%20-Venkatasamudram%20Cheru,%20Chinthapall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TY(BUND)"/>
      <sheetName val="Bund"/>
      <sheetName val="Qty-B (FC)"/>
      <sheetName val="fc (4)"/>
      <sheetName val="fc (3)"/>
      <sheetName val="LS"/>
      <sheetName val="fc (2)"/>
      <sheetName val="f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1"/>
  <sheetViews>
    <sheetView view="pageBreakPreview" topLeftCell="A10" zoomScaleSheetLayoutView="100" workbookViewId="0">
      <selection sqref="A1:F1"/>
    </sheetView>
  </sheetViews>
  <sheetFormatPr defaultRowHeight="15"/>
  <cols>
    <col min="1" max="1" width="14.28515625" customWidth="1"/>
    <col min="2" max="2" width="12.140625" customWidth="1"/>
    <col min="3" max="3" width="16.42578125" customWidth="1"/>
    <col min="4" max="4" width="13" customWidth="1"/>
    <col min="5" max="5" width="12.42578125" customWidth="1"/>
    <col min="6" max="6" width="10.7109375" style="18" customWidth="1"/>
  </cols>
  <sheetData>
    <row r="1" spans="1:6" ht="49.5" customHeight="1">
      <c r="A1" s="155"/>
      <c r="B1" s="156"/>
      <c r="C1" s="156"/>
      <c r="D1" s="156"/>
      <c r="E1" s="156"/>
      <c r="F1" s="157"/>
    </row>
    <row r="2" spans="1:6">
      <c r="A2" s="158" t="s">
        <v>20</v>
      </c>
      <c r="B2" s="158"/>
      <c r="C2" s="158"/>
      <c r="D2" s="158"/>
      <c r="E2" s="158"/>
      <c r="F2" s="158"/>
    </row>
    <row r="3" spans="1:6">
      <c r="A3" s="159" t="s">
        <v>7</v>
      </c>
      <c r="B3" s="159" t="s">
        <v>8</v>
      </c>
      <c r="C3" s="159" t="s">
        <v>9</v>
      </c>
      <c r="D3" s="160" t="s">
        <v>10</v>
      </c>
      <c r="E3" s="159" t="s">
        <v>11</v>
      </c>
      <c r="F3" s="160" t="s">
        <v>12</v>
      </c>
    </row>
    <row r="4" spans="1:6">
      <c r="A4" s="159"/>
      <c r="B4" s="159"/>
      <c r="C4" s="159"/>
      <c r="D4" s="160"/>
      <c r="E4" s="159"/>
      <c r="F4" s="160"/>
    </row>
    <row r="5" spans="1:6">
      <c r="A5" s="66">
        <v>0</v>
      </c>
      <c r="B5" s="66" t="s">
        <v>4</v>
      </c>
      <c r="C5" s="67">
        <f>Bund!O9</f>
        <v>5.6189999999999998</v>
      </c>
      <c r="D5" s="68" t="s">
        <v>4</v>
      </c>
      <c r="E5" s="66" t="s">
        <v>4</v>
      </c>
      <c r="F5" s="68"/>
    </row>
    <row r="6" spans="1:6">
      <c r="A6" s="8">
        <v>40</v>
      </c>
      <c r="B6" s="8">
        <f>A6-A5</f>
        <v>40</v>
      </c>
      <c r="C6" s="10">
        <f>Bund!O34</f>
        <v>5.7741999999999898</v>
      </c>
      <c r="D6" s="13">
        <f t="shared" ref="D6:D13" si="0">ROUND((C6+C5)/2,3)</f>
        <v>5.6970000000000001</v>
      </c>
      <c r="E6" s="13">
        <f>ROUND(D6*$B6,2)</f>
        <v>227.88</v>
      </c>
      <c r="F6" s="12"/>
    </row>
    <row r="7" spans="1:6">
      <c r="A7" s="8">
        <v>80</v>
      </c>
      <c r="B7" s="8">
        <f t="shared" ref="B7:B13" si="1">A7-A6</f>
        <v>40</v>
      </c>
      <c r="C7" s="10">
        <f>Bund!O57</f>
        <v>8.0100375000000561</v>
      </c>
      <c r="D7" s="13">
        <f t="shared" si="0"/>
        <v>6.8920000000000003</v>
      </c>
      <c r="E7" s="13">
        <f t="shared" ref="E7:E19" si="2">ROUND(D7*$B7,2)</f>
        <v>275.68</v>
      </c>
      <c r="F7" s="14"/>
    </row>
    <row r="8" spans="1:6">
      <c r="A8" s="66">
        <v>120</v>
      </c>
      <c r="B8" s="8">
        <f t="shared" si="1"/>
        <v>40</v>
      </c>
      <c r="C8" s="10">
        <f>Bund!O91</f>
        <v>7.9409999999999998</v>
      </c>
      <c r="D8" s="13">
        <f t="shared" si="0"/>
        <v>7.976</v>
      </c>
      <c r="E8" s="13">
        <f t="shared" si="2"/>
        <v>319.04000000000002</v>
      </c>
      <c r="F8" s="14"/>
    </row>
    <row r="9" spans="1:6">
      <c r="A9" s="8">
        <v>160</v>
      </c>
      <c r="B9" s="8">
        <f t="shared" si="1"/>
        <v>40</v>
      </c>
      <c r="C9" s="10">
        <f>Bund!O117</f>
        <v>6.1975500000000068</v>
      </c>
      <c r="D9" s="13">
        <f t="shared" si="0"/>
        <v>7.069</v>
      </c>
      <c r="E9" s="13">
        <f t="shared" si="2"/>
        <v>282.76</v>
      </c>
      <c r="F9" s="14"/>
    </row>
    <row r="10" spans="1:6">
      <c r="A10" s="8">
        <v>200</v>
      </c>
      <c r="B10" s="8">
        <f t="shared" si="1"/>
        <v>40</v>
      </c>
      <c r="C10" s="10">
        <f>Bund!O142</f>
        <v>7.5717500000000193</v>
      </c>
      <c r="D10" s="13">
        <f t="shared" si="0"/>
        <v>6.8849999999999998</v>
      </c>
      <c r="E10" s="13">
        <f t="shared" si="2"/>
        <v>275.39999999999998</v>
      </c>
      <c r="F10" s="12"/>
    </row>
    <row r="11" spans="1:6">
      <c r="A11" s="66">
        <v>240</v>
      </c>
      <c r="B11" s="8">
        <f t="shared" si="1"/>
        <v>40</v>
      </c>
      <c r="C11" s="10">
        <f>Bund!O178</f>
        <v>8.7134000000000214</v>
      </c>
      <c r="D11" s="13">
        <f t="shared" si="0"/>
        <v>8.1430000000000007</v>
      </c>
      <c r="E11" s="13">
        <f t="shared" si="2"/>
        <v>325.72000000000003</v>
      </c>
      <c r="F11" s="12"/>
    </row>
    <row r="12" spans="1:6">
      <c r="A12" s="8">
        <v>280</v>
      </c>
      <c r="B12" s="8">
        <f t="shared" si="1"/>
        <v>40</v>
      </c>
      <c r="C12" s="10">
        <f>Bund!O204</f>
        <v>7.8721499999999711</v>
      </c>
      <c r="D12" s="13">
        <f t="shared" si="0"/>
        <v>8.2929999999999993</v>
      </c>
      <c r="E12" s="13">
        <f t="shared" si="2"/>
        <v>331.72</v>
      </c>
      <c r="F12" s="14"/>
    </row>
    <row r="13" spans="1:6">
      <c r="A13" s="8">
        <v>320</v>
      </c>
      <c r="B13" s="8">
        <f t="shared" si="1"/>
        <v>40</v>
      </c>
      <c r="C13" s="10">
        <f>Bund!O229</f>
        <v>7.1046000000000022</v>
      </c>
      <c r="D13" s="13">
        <f t="shared" si="0"/>
        <v>7.4880000000000004</v>
      </c>
      <c r="E13" s="13">
        <f t="shared" si="2"/>
        <v>299.52</v>
      </c>
      <c r="F13" s="14"/>
    </row>
    <row r="14" spans="1:6">
      <c r="A14" s="66">
        <v>360</v>
      </c>
      <c r="B14" s="8">
        <f>A14-A13</f>
        <v>40</v>
      </c>
      <c r="C14" s="10">
        <f>Bund!O265</f>
        <v>7.6159999999999997</v>
      </c>
      <c r="D14" s="13">
        <f t="shared" ref="D14:D18" si="3">ROUND((C14+C13)/2,3)</f>
        <v>7.36</v>
      </c>
      <c r="E14" s="13">
        <f t="shared" si="2"/>
        <v>294.39999999999998</v>
      </c>
      <c r="F14" s="12"/>
    </row>
    <row r="15" spans="1:6">
      <c r="A15" s="8">
        <v>400</v>
      </c>
      <c r="B15" s="8">
        <f t="shared" ref="B15:B19" si="4">A15-A14</f>
        <v>40</v>
      </c>
      <c r="C15" s="10">
        <f>Bund!O290</f>
        <v>7.0453000000000108</v>
      </c>
      <c r="D15" s="13">
        <f t="shared" si="3"/>
        <v>7.3310000000000004</v>
      </c>
      <c r="E15" s="13">
        <f t="shared" si="2"/>
        <v>293.24</v>
      </c>
      <c r="F15" s="14"/>
    </row>
    <row r="16" spans="1:6">
      <c r="A16" s="8">
        <v>440</v>
      </c>
      <c r="B16" s="8">
        <f t="shared" si="4"/>
        <v>40</v>
      </c>
      <c r="C16" s="10">
        <f>Bund!O313</f>
        <v>6.9710000000000001</v>
      </c>
      <c r="D16" s="13">
        <f t="shared" si="3"/>
        <v>7.008</v>
      </c>
      <c r="E16" s="13">
        <f t="shared" si="2"/>
        <v>280.32</v>
      </c>
      <c r="F16" s="14"/>
    </row>
    <row r="17" spans="1:6">
      <c r="A17" s="66">
        <v>480</v>
      </c>
      <c r="B17" s="8">
        <f t="shared" si="4"/>
        <v>40</v>
      </c>
      <c r="C17" s="10">
        <f>Bund!O350</f>
        <v>5.2895999999999948</v>
      </c>
      <c r="D17" s="13">
        <f t="shared" si="3"/>
        <v>6.13</v>
      </c>
      <c r="E17" s="13">
        <f t="shared" si="2"/>
        <v>245.2</v>
      </c>
      <c r="F17" s="14"/>
    </row>
    <row r="18" spans="1:6">
      <c r="A18" s="8">
        <v>520</v>
      </c>
      <c r="B18" s="8">
        <f t="shared" si="4"/>
        <v>40</v>
      </c>
      <c r="C18" s="10">
        <f>Bund!O385</f>
        <v>3.9289999999999998</v>
      </c>
      <c r="D18" s="13">
        <f t="shared" si="3"/>
        <v>4.609</v>
      </c>
      <c r="E18" s="13">
        <f t="shared" si="2"/>
        <v>184.36</v>
      </c>
      <c r="F18" s="12"/>
    </row>
    <row r="19" spans="1:6">
      <c r="A19" s="8">
        <v>550</v>
      </c>
      <c r="B19" s="8">
        <f t="shared" si="4"/>
        <v>30</v>
      </c>
      <c r="C19" s="10">
        <f>Bund!O410</f>
        <v>3.5078500000000186</v>
      </c>
      <c r="D19" s="13">
        <f>ROUND((C19+C18)/2,3)</f>
        <v>3.718</v>
      </c>
      <c r="E19" s="13">
        <f t="shared" si="2"/>
        <v>111.54</v>
      </c>
      <c r="F19" s="12"/>
    </row>
    <row r="20" spans="1:6" ht="23.25" customHeight="1">
      <c r="A20" s="15"/>
      <c r="B20" s="15"/>
      <c r="C20" s="14"/>
      <c r="D20" s="69" t="s">
        <v>13</v>
      </c>
      <c r="E20" s="70">
        <f>SUM(E5:E19)</f>
        <v>3746.7800000000007</v>
      </c>
      <c r="F20" s="19" t="s">
        <v>14</v>
      </c>
    </row>
    <row r="21" spans="1:6">
      <c r="A21" s="18"/>
      <c r="B21" s="18"/>
      <c r="C21" s="18"/>
      <c r="D21" s="18"/>
      <c r="E21" s="71"/>
    </row>
    <row r="22" spans="1:6">
      <c r="A22" s="154"/>
      <c r="B22" s="154"/>
      <c r="C22" s="154"/>
      <c r="D22" s="72"/>
      <c r="E22" s="72"/>
    </row>
    <row r="23" spans="1:6" s="18" customFormat="1">
      <c r="E23" s="73"/>
    </row>
    <row r="26" spans="1:6" s="18" customFormat="1" ht="15" customHeight="1">
      <c r="A26"/>
      <c r="B26"/>
      <c r="C26"/>
      <c r="D26"/>
      <c r="E26"/>
    </row>
    <row r="41" ht="15" customHeight="1"/>
  </sheetData>
  <mergeCells count="9">
    <mergeCell ref="A22:C22"/>
    <mergeCell ref="A1:F1"/>
    <mergeCell ref="A2:F2"/>
    <mergeCell ref="A3:A4"/>
    <mergeCell ref="B3:B4"/>
    <mergeCell ref="C3:C4"/>
    <mergeCell ref="D3:D4"/>
    <mergeCell ref="E3:E4"/>
    <mergeCell ref="F3:F4"/>
  </mergeCells>
  <pageMargins left="1.01" right="0.7" top="0.75" bottom="0.75" header="0.6" footer="0.3"/>
  <pageSetup paperSize="9" scale="99"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30"/>
  <sheetViews>
    <sheetView view="pageBreakPreview" zoomScaleSheetLayoutView="100" workbookViewId="0">
      <selection activeCell="D10" sqref="D10"/>
    </sheetView>
  </sheetViews>
  <sheetFormatPr defaultRowHeight="15"/>
  <cols>
    <col min="1" max="8" width="10.85546875" style="58" customWidth="1"/>
    <col min="9" max="9" width="13.5703125" style="65" customWidth="1"/>
    <col min="10" max="11" width="10.85546875" style="58" customWidth="1"/>
    <col min="12" max="12" width="15.7109375" style="58" customWidth="1"/>
    <col min="13" max="13" width="11.85546875" style="58" customWidth="1"/>
    <col min="14" max="15" width="10.85546875" style="58" customWidth="1"/>
  </cols>
  <sheetData>
    <row r="1" spans="1:16" ht="53.25" customHeight="1">
      <c r="A1" s="177" t="s">
        <v>21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</row>
    <row r="2" spans="1:16">
      <c r="A2" s="164" t="s">
        <v>0</v>
      </c>
      <c r="B2" s="165"/>
      <c r="C2" s="165"/>
      <c r="D2" s="165"/>
      <c r="E2" s="165"/>
      <c r="F2" s="165"/>
      <c r="G2" s="172"/>
      <c r="H2" s="39">
        <v>0</v>
      </c>
      <c r="I2" s="40" t="s">
        <v>17</v>
      </c>
      <c r="J2" s="173"/>
      <c r="K2" s="174"/>
      <c r="L2" s="175"/>
      <c r="M2" s="41"/>
      <c r="N2" s="41"/>
      <c r="O2" s="41"/>
    </row>
    <row r="3" spans="1:16">
      <c r="A3" s="42" t="s">
        <v>1</v>
      </c>
      <c r="B3" s="43"/>
      <c r="C3" s="44">
        <v>0</v>
      </c>
      <c r="D3" s="45">
        <v>2</v>
      </c>
      <c r="E3" s="45">
        <v>3.1</v>
      </c>
      <c r="F3" s="46">
        <v>3.4</v>
      </c>
      <c r="G3" s="46">
        <v>4.5</v>
      </c>
      <c r="H3" s="45">
        <v>4.5999999999999996</v>
      </c>
      <c r="I3" s="47">
        <v>5.3</v>
      </c>
      <c r="J3" s="47">
        <v>6.1</v>
      </c>
      <c r="K3" s="45">
        <v>8</v>
      </c>
      <c r="L3" s="49">
        <v>9.3000000000000007</v>
      </c>
      <c r="M3" s="45">
        <v>11.2</v>
      </c>
      <c r="N3" s="47"/>
      <c r="O3" s="50"/>
    </row>
    <row r="4" spans="1:16">
      <c r="A4" s="42" t="s">
        <v>2</v>
      </c>
      <c r="B4" s="43"/>
      <c r="C4" s="44">
        <v>99.4</v>
      </c>
      <c r="D4" s="45">
        <v>100.75</v>
      </c>
      <c r="E4" s="45">
        <v>101.5</v>
      </c>
      <c r="F4" s="45">
        <v>101.5</v>
      </c>
      <c r="G4" s="45">
        <v>101.5</v>
      </c>
      <c r="H4" s="45">
        <v>101.5</v>
      </c>
      <c r="I4" s="45">
        <v>101.5</v>
      </c>
      <c r="J4" s="47">
        <v>101.5</v>
      </c>
      <c r="K4" s="45">
        <v>100.55</v>
      </c>
      <c r="L4" s="49">
        <v>99.896000000000001</v>
      </c>
      <c r="M4" s="45">
        <v>98.94</v>
      </c>
      <c r="N4" s="47"/>
      <c r="O4" s="51"/>
    </row>
    <row r="5" spans="1:16">
      <c r="A5" s="42" t="s">
        <v>1</v>
      </c>
      <c r="B5" s="43"/>
      <c r="C5" s="44">
        <v>0</v>
      </c>
      <c r="D5" s="45">
        <v>2</v>
      </c>
      <c r="E5" s="45">
        <v>3.1</v>
      </c>
      <c r="F5" s="46">
        <v>3.4</v>
      </c>
      <c r="G5" s="46">
        <v>4.5</v>
      </c>
      <c r="H5" s="45">
        <v>4.5999999999999996</v>
      </c>
      <c r="I5" s="47">
        <v>5.3</v>
      </c>
      <c r="J5" s="47">
        <v>6.1</v>
      </c>
      <c r="K5" s="45">
        <v>8</v>
      </c>
      <c r="L5" s="49">
        <v>9.3000000000000007</v>
      </c>
      <c r="M5" s="45">
        <v>11.2</v>
      </c>
      <c r="N5" s="47"/>
      <c r="O5" s="50"/>
    </row>
    <row r="6" spans="1:16">
      <c r="A6" s="42" t="s">
        <v>3</v>
      </c>
      <c r="B6" s="9"/>
      <c r="C6" s="44">
        <v>99.4</v>
      </c>
      <c r="D6" s="45">
        <v>100.75</v>
      </c>
      <c r="E6" s="45">
        <v>100.983</v>
      </c>
      <c r="F6" s="45">
        <v>101.05</v>
      </c>
      <c r="G6" s="45">
        <v>101.05</v>
      </c>
      <c r="H6" s="45">
        <v>101.05</v>
      </c>
      <c r="I6" s="45">
        <v>101.05</v>
      </c>
      <c r="J6" s="47">
        <v>100.63</v>
      </c>
      <c r="K6" s="45">
        <v>99.632999999999996</v>
      </c>
      <c r="L6" s="49">
        <v>98.95</v>
      </c>
      <c r="M6" s="45">
        <v>98.94</v>
      </c>
      <c r="N6" s="52"/>
      <c r="O6" s="53"/>
    </row>
    <row r="7" spans="1:16">
      <c r="A7" s="42" t="s">
        <v>18</v>
      </c>
      <c r="B7" s="9"/>
      <c r="C7" s="47">
        <f t="shared" ref="C7" si="0">C4-C6</f>
        <v>0</v>
      </c>
      <c r="D7" s="47">
        <f t="shared" ref="D7:L7" si="1">D4-D6</f>
        <v>0</v>
      </c>
      <c r="E7" s="47">
        <f t="shared" si="1"/>
        <v>0.51699999999999591</v>
      </c>
      <c r="F7" s="47">
        <f t="shared" si="1"/>
        <v>0.45000000000000284</v>
      </c>
      <c r="G7" s="47">
        <f t="shared" si="1"/>
        <v>0.45000000000000284</v>
      </c>
      <c r="H7" s="47">
        <f t="shared" si="1"/>
        <v>0.45000000000000284</v>
      </c>
      <c r="I7" s="47">
        <f t="shared" si="1"/>
        <v>0.45000000000000284</v>
      </c>
      <c r="J7" s="47">
        <f t="shared" si="1"/>
        <v>0.87000000000000455</v>
      </c>
      <c r="K7" s="47">
        <f t="shared" si="1"/>
        <v>0.91700000000000159</v>
      </c>
      <c r="L7" s="47">
        <f t="shared" si="1"/>
        <v>0.94599999999999795</v>
      </c>
      <c r="M7" s="47">
        <f t="shared" ref="M7" si="2">M4-M6</f>
        <v>0</v>
      </c>
      <c r="N7" s="47"/>
      <c r="O7" s="51"/>
    </row>
    <row r="8" spans="1:16">
      <c r="A8" s="42" t="s">
        <v>5</v>
      </c>
      <c r="B8" s="9"/>
      <c r="C8" s="47">
        <f t="shared" ref="C8:M8" si="3">(C7+B7)/2*(C3-B3)</f>
        <v>0</v>
      </c>
      <c r="D8" s="47">
        <f t="shared" si="3"/>
        <v>0</v>
      </c>
      <c r="E8" s="47">
        <f t="shared" si="3"/>
        <v>0.28434999999999777</v>
      </c>
      <c r="F8" s="47">
        <f t="shared" si="3"/>
        <v>0.14504999999999973</v>
      </c>
      <c r="G8" s="47">
        <f t="shared" si="3"/>
        <v>0.49500000000000316</v>
      </c>
      <c r="H8" s="47">
        <f t="shared" si="3"/>
        <v>4.5000000000000123E-2</v>
      </c>
      <c r="I8" s="47">
        <f t="shared" si="3"/>
        <v>0.31500000000000206</v>
      </c>
      <c r="J8" s="47">
        <f t="shared" si="3"/>
        <v>0.5280000000000028</v>
      </c>
      <c r="K8" s="47">
        <f t="shared" si="3"/>
        <v>1.6976500000000061</v>
      </c>
      <c r="L8" s="47">
        <f t="shared" si="3"/>
        <v>1.2109500000000004</v>
      </c>
      <c r="M8" s="47">
        <f t="shared" si="3"/>
        <v>0.89869999999999739</v>
      </c>
      <c r="N8" s="47"/>
      <c r="O8" s="21">
        <v>5.6189999999999998</v>
      </c>
      <c r="P8" s="31"/>
    </row>
    <row r="9" spans="1:16" ht="17.25">
      <c r="A9" s="54"/>
      <c r="B9" s="54"/>
      <c r="C9" s="54"/>
      <c r="D9" s="55"/>
      <c r="E9" s="55"/>
      <c r="F9" s="56"/>
      <c r="G9" s="56"/>
      <c r="H9" s="56"/>
      <c r="I9" s="57"/>
      <c r="K9" s="161" t="s">
        <v>19</v>
      </c>
      <c r="L9" s="162"/>
      <c r="M9" s="162"/>
      <c r="N9" s="163"/>
      <c r="O9" s="59">
        <f>O8</f>
        <v>5.6189999999999998</v>
      </c>
    </row>
    <row r="10" spans="1:16">
      <c r="A10" s="60"/>
      <c r="B10" s="60"/>
      <c r="C10" s="60"/>
      <c r="D10" s="61"/>
      <c r="E10" s="61"/>
      <c r="F10" s="61"/>
      <c r="G10" s="61"/>
      <c r="H10" s="61"/>
      <c r="I10" s="57"/>
      <c r="J10" s="61"/>
      <c r="K10" s="61"/>
      <c r="L10" s="61"/>
      <c r="M10" s="61"/>
      <c r="N10" s="61"/>
      <c r="O10" s="61"/>
    </row>
    <row r="11" spans="1:16">
      <c r="A11" s="60"/>
      <c r="B11" s="60"/>
      <c r="C11" s="60"/>
      <c r="D11" s="61"/>
      <c r="E11" s="61"/>
      <c r="F11" s="61"/>
      <c r="G11" s="61"/>
      <c r="H11" s="61"/>
      <c r="I11" s="57"/>
      <c r="J11" s="61"/>
      <c r="K11" s="61"/>
      <c r="L11" s="61"/>
      <c r="M11" s="61"/>
      <c r="N11" s="61"/>
      <c r="O11" s="61"/>
    </row>
    <row r="12" spans="1:16">
      <c r="A12" s="60"/>
      <c r="B12" s="60"/>
      <c r="C12" s="60"/>
      <c r="D12" s="61"/>
      <c r="E12" s="61"/>
      <c r="F12" s="61"/>
      <c r="G12" s="61"/>
      <c r="H12" s="61"/>
      <c r="I12" s="57"/>
      <c r="J12" s="61"/>
      <c r="K12" s="61"/>
      <c r="L12" s="61"/>
      <c r="M12" s="61"/>
      <c r="N12" s="61"/>
      <c r="O12" s="61"/>
    </row>
    <row r="13" spans="1:16">
      <c r="A13" s="60"/>
      <c r="B13" s="60"/>
      <c r="C13" s="60"/>
      <c r="D13" s="61"/>
      <c r="E13" s="61"/>
      <c r="F13" s="61"/>
      <c r="G13" s="61"/>
      <c r="H13" s="61"/>
      <c r="I13" s="57"/>
      <c r="J13" s="61"/>
      <c r="K13" s="61"/>
      <c r="L13" s="61"/>
      <c r="M13" s="61"/>
      <c r="N13" s="61"/>
      <c r="O13" s="61"/>
    </row>
    <row r="14" spans="1:16">
      <c r="A14" s="60"/>
      <c r="B14" s="60"/>
      <c r="C14" s="60"/>
      <c r="D14" s="61"/>
      <c r="E14" s="61"/>
      <c r="F14" s="61"/>
      <c r="G14" s="61"/>
      <c r="H14" s="61"/>
      <c r="I14" s="57"/>
      <c r="J14" s="61"/>
      <c r="K14" s="61"/>
      <c r="L14" s="61"/>
      <c r="M14" s="76" t="s">
        <v>22</v>
      </c>
      <c r="N14" s="76">
        <v>101.58</v>
      </c>
      <c r="O14" s="61"/>
    </row>
    <row r="15" spans="1:16">
      <c r="A15" s="60"/>
      <c r="B15" s="60"/>
      <c r="C15" s="60"/>
      <c r="D15" s="61"/>
      <c r="E15" s="61"/>
      <c r="F15" s="61"/>
      <c r="G15" s="61"/>
      <c r="H15" s="61"/>
      <c r="I15" s="57"/>
      <c r="J15" s="61"/>
      <c r="K15" s="61"/>
      <c r="L15" s="61"/>
      <c r="M15" s="76" t="s">
        <v>23</v>
      </c>
      <c r="N15" s="76">
        <v>100.36</v>
      </c>
      <c r="O15" s="61"/>
    </row>
    <row r="16" spans="1:16">
      <c r="A16" s="60"/>
      <c r="B16" s="60"/>
      <c r="C16" s="60"/>
      <c r="D16" s="61"/>
      <c r="E16" s="61"/>
      <c r="F16" s="61"/>
      <c r="G16" s="61"/>
      <c r="H16" s="61"/>
      <c r="I16" s="57"/>
      <c r="J16" s="61"/>
      <c r="K16" s="61"/>
      <c r="L16" s="61"/>
      <c r="M16" s="76" t="s">
        <v>24</v>
      </c>
      <c r="N16" s="76">
        <v>100</v>
      </c>
      <c r="O16" s="61"/>
    </row>
    <row r="17" spans="1:15">
      <c r="A17" s="60"/>
      <c r="B17" s="60"/>
      <c r="C17" s="60"/>
      <c r="D17" s="61"/>
      <c r="E17" s="61"/>
      <c r="F17" s="61"/>
      <c r="G17" s="61"/>
      <c r="H17" s="61"/>
      <c r="I17" s="57"/>
      <c r="J17" s="61"/>
      <c r="K17" s="61"/>
      <c r="L17" s="61"/>
      <c r="M17" s="76" t="s">
        <v>25</v>
      </c>
      <c r="N17" s="76">
        <v>99.34</v>
      </c>
      <c r="O17" s="61"/>
    </row>
    <row r="18" spans="1:15">
      <c r="A18" s="60"/>
      <c r="B18" s="60"/>
      <c r="C18" s="60"/>
      <c r="D18" s="61"/>
      <c r="E18" s="61"/>
      <c r="F18" s="61"/>
      <c r="G18" s="61"/>
      <c r="H18" s="61"/>
      <c r="I18" s="57"/>
      <c r="J18" s="61"/>
      <c r="K18" s="61"/>
      <c r="L18" s="61"/>
      <c r="M18" s="61"/>
      <c r="N18" s="61"/>
      <c r="O18" s="61"/>
    </row>
    <row r="19" spans="1:15">
      <c r="A19" s="60"/>
      <c r="B19" s="60"/>
      <c r="C19" s="60"/>
      <c r="D19" s="61"/>
      <c r="E19" s="61"/>
      <c r="F19" s="61"/>
      <c r="G19" s="61"/>
      <c r="H19" s="61"/>
      <c r="I19" s="57"/>
      <c r="J19" s="61"/>
      <c r="K19" s="61"/>
      <c r="L19" s="61"/>
      <c r="M19" s="61"/>
      <c r="N19" s="61"/>
      <c r="O19" s="61"/>
    </row>
    <row r="20" spans="1:15">
      <c r="A20" s="60"/>
      <c r="B20" s="60"/>
      <c r="C20" s="60"/>
      <c r="D20" s="61"/>
      <c r="E20" s="61"/>
      <c r="F20" s="61"/>
      <c r="G20" s="61"/>
      <c r="H20" s="61"/>
      <c r="I20" s="57"/>
      <c r="J20" s="61"/>
      <c r="K20" s="61"/>
      <c r="L20" s="61"/>
      <c r="M20" s="61"/>
      <c r="N20" s="61"/>
      <c r="O20" s="61"/>
    </row>
    <row r="21" spans="1:15">
      <c r="A21" s="60"/>
      <c r="B21" s="60"/>
      <c r="C21" s="60"/>
      <c r="D21" s="61"/>
      <c r="E21" s="61"/>
      <c r="F21" s="61"/>
      <c r="G21" s="61"/>
      <c r="H21" s="61"/>
      <c r="I21" s="57"/>
      <c r="J21" s="61"/>
      <c r="K21" s="61"/>
      <c r="L21" s="61"/>
      <c r="M21" s="61"/>
      <c r="N21" s="61"/>
      <c r="O21" s="61"/>
    </row>
    <row r="22" spans="1:15">
      <c r="A22" s="60"/>
      <c r="B22" s="60"/>
      <c r="C22" s="60"/>
      <c r="D22" s="61"/>
      <c r="E22" s="61"/>
      <c r="F22" s="61"/>
      <c r="G22" s="61"/>
      <c r="H22" s="61"/>
      <c r="I22" s="57"/>
      <c r="J22" s="61"/>
      <c r="K22" s="61"/>
      <c r="L22" s="61"/>
      <c r="M22" s="61"/>
      <c r="N22" s="61"/>
      <c r="O22" s="61"/>
    </row>
    <row r="23" spans="1:15">
      <c r="A23" s="60"/>
      <c r="B23" s="60"/>
      <c r="C23" s="60"/>
      <c r="D23" s="61"/>
      <c r="E23" s="61"/>
      <c r="F23" s="61"/>
      <c r="G23" s="61"/>
      <c r="H23" s="61"/>
      <c r="I23" s="57"/>
      <c r="J23" s="61"/>
      <c r="K23" s="61"/>
      <c r="L23" s="61"/>
      <c r="M23" s="61"/>
      <c r="N23" s="61"/>
      <c r="O23" s="61"/>
    </row>
    <row r="24" spans="1:15">
      <c r="A24" s="60"/>
      <c r="B24" s="60"/>
      <c r="C24" s="60"/>
      <c r="D24" s="61"/>
      <c r="E24" s="61"/>
      <c r="F24" s="61"/>
      <c r="G24" s="61"/>
      <c r="H24" s="61"/>
      <c r="I24" s="57"/>
      <c r="J24" s="61"/>
      <c r="K24" s="61"/>
      <c r="L24" s="61"/>
      <c r="M24" s="61"/>
      <c r="N24" s="61"/>
      <c r="O24" s="61"/>
    </row>
    <row r="25" spans="1:15">
      <c r="A25" s="60"/>
      <c r="B25" s="60"/>
      <c r="C25" s="60"/>
      <c r="D25" s="61"/>
      <c r="E25" s="61"/>
      <c r="F25" s="61"/>
      <c r="G25" s="61"/>
      <c r="H25" s="61"/>
      <c r="I25" s="57"/>
      <c r="J25" s="61"/>
      <c r="K25" s="61"/>
      <c r="L25" s="61"/>
      <c r="M25" s="61"/>
      <c r="N25" s="61"/>
      <c r="O25" s="61"/>
    </row>
    <row r="26" spans="1:15">
      <c r="A26" s="60"/>
      <c r="B26" s="60"/>
      <c r="C26" s="60"/>
      <c r="D26" s="61"/>
      <c r="E26" s="61"/>
      <c r="F26" s="61"/>
      <c r="G26" s="61"/>
      <c r="H26" s="61"/>
      <c r="I26" s="57"/>
      <c r="J26" s="61"/>
      <c r="K26" s="61"/>
      <c r="L26" s="61"/>
      <c r="M26" s="61"/>
      <c r="N26" s="61"/>
      <c r="O26" s="61"/>
    </row>
    <row r="27" spans="1:15">
      <c r="A27" s="176" t="s">
        <v>0</v>
      </c>
      <c r="B27" s="176"/>
      <c r="C27" s="176"/>
      <c r="D27" s="176"/>
      <c r="E27" s="176"/>
      <c r="F27" s="176"/>
      <c r="G27" s="176"/>
      <c r="H27" s="39">
        <v>40</v>
      </c>
      <c r="I27" s="40" t="s">
        <v>17</v>
      </c>
      <c r="J27" s="173"/>
      <c r="K27" s="174"/>
      <c r="L27" s="175"/>
      <c r="M27" s="41"/>
      <c r="N27" s="41"/>
      <c r="O27" s="41"/>
    </row>
    <row r="28" spans="1:15">
      <c r="A28" s="42" t="s">
        <v>1</v>
      </c>
      <c r="B28" s="43"/>
      <c r="C28" s="44">
        <v>0</v>
      </c>
      <c r="D28" s="45">
        <v>3</v>
      </c>
      <c r="E28" s="45">
        <v>4.2</v>
      </c>
      <c r="F28" s="46">
        <v>4.5</v>
      </c>
      <c r="G28" s="46">
        <v>5.7</v>
      </c>
      <c r="H28" s="45">
        <v>5.8</v>
      </c>
      <c r="I28" s="47">
        <v>6.8</v>
      </c>
      <c r="J28" s="47">
        <v>7.2</v>
      </c>
      <c r="K28" s="45">
        <v>10.7</v>
      </c>
      <c r="L28" s="49">
        <v>11</v>
      </c>
      <c r="M28" s="45">
        <v>12.7</v>
      </c>
      <c r="N28" s="47"/>
      <c r="O28" s="50"/>
    </row>
    <row r="29" spans="1:15">
      <c r="A29" s="42" t="s">
        <v>2</v>
      </c>
      <c r="B29" s="43"/>
      <c r="C29" s="44">
        <v>98.68</v>
      </c>
      <c r="D29" s="45">
        <v>100.69</v>
      </c>
      <c r="E29" s="45">
        <v>101.5</v>
      </c>
      <c r="F29" s="45">
        <v>101.5</v>
      </c>
      <c r="G29" s="45">
        <v>101.5</v>
      </c>
      <c r="H29" s="45">
        <v>101.5</v>
      </c>
      <c r="I29" s="45">
        <v>101.5</v>
      </c>
      <c r="J29" s="47">
        <v>101.5</v>
      </c>
      <c r="K29" s="45">
        <v>99.75</v>
      </c>
      <c r="L29" s="49">
        <v>99.6</v>
      </c>
      <c r="M29" s="45">
        <v>98.75</v>
      </c>
      <c r="N29" s="47"/>
      <c r="O29" s="51"/>
    </row>
    <row r="30" spans="1:15">
      <c r="A30" s="42" t="s">
        <v>1</v>
      </c>
      <c r="B30" s="43"/>
      <c r="C30" s="44">
        <v>0</v>
      </c>
      <c r="D30" s="45">
        <v>3</v>
      </c>
      <c r="E30" s="45">
        <v>4.2</v>
      </c>
      <c r="F30" s="46">
        <v>4.5</v>
      </c>
      <c r="G30" s="46">
        <v>5.7</v>
      </c>
      <c r="H30" s="45">
        <v>5.8</v>
      </c>
      <c r="I30" s="47">
        <v>6.8</v>
      </c>
      <c r="J30" s="47">
        <v>7.2</v>
      </c>
      <c r="K30" s="45">
        <v>10.7</v>
      </c>
      <c r="L30" s="49">
        <v>11</v>
      </c>
      <c r="M30" s="45">
        <v>12.7</v>
      </c>
      <c r="N30" s="47"/>
      <c r="O30" s="50"/>
    </row>
    <row r="31" spans="1:15">
      <c r="A31" s="42" t="s">
        <v>3</v>
      </c>
      <c r="B31" s="9"/>
      <c r="C31" s="44">
        <v>98.68</v>
      </c>
      <c r="D31" s="45">
        <v>100.69</v>
      </c>
      <c r="E31" s="45">
        <v>100.938</v>
      </c>
      <c r="F31" s="45">
        <v>101</v>
      </c>
      <c r="G31" s="45">
        <v>101</v>
      </c>
      <c r="H31" s="45">
        <v>101</v>
      </c>
      <c r="I31" s="45">
        <v>101</v>
      </c>
      <c r="J31" s="47">
        <v>100.774</v>
      </c>
      <c r="K31" s="45">
        <v>98.8</v>
      </c>
      <c r="L31" s="49">
        <v>98.793000000000006</v>
      </c>
      <c r="M31" s="45">
        <v>98.75</v>
      </c>
      <c r="N31" s="52"/>
      <c r="O31" s="53"/>
    </row>
    <row r="32" spans="1:15">
      <c r="A32" s="42" t="s">
        <v>18</v>
      </c>
      <c r="B32" s="9"/>
      <c r="C32" s="47">
        <f t="shared" ref="C32:M32" si="4">C29-C31</f>
        <v>0</v>
      </c>
      <c r="D32" s="47">
        <f t="shared" si="4"/>
        <v>0</v>
      </c>
      <c r="E32" s="47">
        <f t="shared" si="4"/>
        <v>0.56199999999999761</v>
      </c>
      <c r="F32" s="47">
        <f t="shared" si="4"/>
        <v>0.5</v>
      </c>
      <c r="G32" s="47">
        <f t="shared" si="4"/>
        <v>0.5</v>
      </c>
      <c r="H32" s="47">
        <f t="shared" si="4"/>
        <v>0.5</v>
      </c>
      <c r="I32" s="47">
        <f t="shared" si="4"/>
        <v>0.5</v>
      </c>
      <c r="J32" s="47">
        <f t="shared" si="4"/>
        <v>0.72599999999999909</v>
      </c>
      <c r="K32" s="47">
        <f t="shared" si="4"/>
        <v>0.95000000000000284</v>
      </c>
      <c r="L32" s="47">
        <f t="shared" si="4"/>
        <v>0.80699999999998795</v>
      </c>
      <c r="M32" s="47">
        <f t="shared" si="4"/>
        <v>0</v>
      </c>
      <c r="N32" s="47"/>
      <c r="O32" s="51"/>
    </row>
    <row r="33" spans="1:16">
      <c r="A33" s="42" t="s">
        <v>5</v>
      </c>
      <c r="B33" s="9"/>
      <c r="C33" s="47">
        <f t="shared" ref="C33:M33" si="5">(C32+B32)/2*(C28-B28)</f>
        <v>0</v>
      </c>
      <c r="D33" s="47">
        <f t="shared" si="5"/>
        <v>0</v>
      </c>
      <c r="E33" s="47">
        <f t="shared" si="5"/>
        <v>0.33719999999999861</v>
      </c>
      <c r="F33" s="47">
        <f t="shared" si="5"/>
        <v>0.15929999999999955</v>
      </c>
      <c r="G33" s="47">
        <f t="shared" si="5"/>
        <v>0.60000000000000009</v>
      </c>
      <c r="H33" s="47">
        <f t="shared" si="5"/>
        <v>4.9999999999999822E-2</v>
      </c>
      <c r="I33" s="47">
        <f t="shared" si="5"/>
        <v>0.5</v>
      </c>
      <c r="J33" s="47">
        <f t="shared" si="5"/>
        <v>0.24520000000000003</v>
      </c>
      <c r="K33" s="47">
        <f t="shared" si="5"/>
        <v>2.9330000000000025</v>
      </c>
      <c r="L33" s="47">
        <f t="shared" si="5"/>
        <v>0.26354999999999923</v>
      </c>
      <c r="M33" s="47">
        <f t="shared" si="5"/>
        <v>0.68594999999998951</v>
      </c>
      <c r="N33" s="47"/>
      <c r="O33" s="21">
        <f>SUM(D33:N33)</f>
        <v>5.7741999999999898</v>
      </c>
      <c r="P33" s="31"/>
    </row>
    <row r="34" spans="1:16" ht="17.25">
      <c r="A34" s="54"/>
      <c r="B34" s="54"/>
      <c r="C34" s="54"/>
      <c r="D34" s="55"/>
      <c r="E34" s="55"/>
      <c r="F34" s="56"/>
      <c r="G34" s="56"/>
      <c r="H34" s="56"/>
      <c r="I34" s="57"/>
      <c r="K34" s="161" t="s">
        <v>19</v>
      </c>
      <c r="L34" s="162"/>
      <c r="M34" s="162"/>
      <c r="N34" s="163"/>
      <c r="O34" s="59">
        <f>O33</f>
        <v>5.7741999999999898</v>
      </c>
    </row>
    <row r="35" spans="1:16">
      <c r="A35" s="60"/>
      <c r="B35" s="60"/>
      <c r="C35" s="60"/>
      <c r="D35" s="61"/>
      <c r="E35" s="61"/>
      <c r="F35" s="61"/>
      <c r="G35" s="61"/>
      <c r="H35" s="61"/>
      <c r="I35" s="57"/>
      <c r="J35" s="61"/>
      <c r="K35" s="61"/>
      <c r="L35" s="61"/>
      <c r="M35" s="61"/>
      <c r="N35" s="61"/>
      <c r="O35" s="61"/>
    </row>
    <row r="36" spans="1:16">
      <c r="A36" s="60"/>
      <c r="B36" s="60"/>
      <c r="C36" s="60"/>
      <c r="D36" s="61"/>
      <c r="E36" s="61"/>
      <c r="F36" s="61"/>
      <c r="G36" s="61"/>
      <c r="H36" s="61"/>
      <c r="I36" s="57"/>
      <c r="J36" s="61"/>
      <c r="K36" s="61"/>
      <c r="L36" s="61"/>
      <c r="M36" s="61"/>
      <c r="N36" s="61"/>
      <c r="O36" s="61"/>
    </row>
    <row r="37" spans="1:16">
      <c r="A37" s="60"/>
      <c r="B37" s="60"/>
      <c r="C37" s="60"/>
      <c r="D37" s="61"/>
      <c r="E37" s="61"/>
      <c r="F37" s="61"/>
      <c r="G37" s="61"/>
      <c r="H37" s="61"/>
      <c r="I37" s="57"/>
      <c r="J37" s="61"/>
      <c r="K37" s="61"/>
      <c r="L37" s="61"/>
      <c r="M37" s="61"/>
      <c r="N37" s="61"/>
      <c r="O37" s="61"/>
    </row>
    <row r="38" spans="1:16">
      <c r="A38" s="60"/>
      <c r="B38" s="60"/>
      <c r="C38" s="60"/>
      <c r="D38" s="61"/>
      <c r="E38" s="61"/>
      <c r="F38" s="61"/>
      <c r="G38" s="61"/>
      <c r="H38" s="61"/>
      <c r="I38" s="57"/>
      <c r="J38" s="61"/>
      <c r="K38" s="61"/>
      <c r="L38" s="61"/>
      <c r="M38" s="61"/>
      <c r="N38" s="61"/>
      <c r="O38" s="61"/>
    </row>
    <row r="39" spans="1:16">
      <c r="A39" s="60"/>
      <c r="B39" s="60"/>
      <c r="C39" s="60"/>
      <c r="D39" s="61"/>
      <c r="E39" s="61"/>
      <c r="F39" s="61"/>
      <c r="G39" s="61"/>
      <c r="H39" s="61"/>
      <c r="I39" s="57"/>
      <c r="J39" s="61"/>
      <c r="K39" s="61"/>
      <c r="L39" s="61"/>
      <c r="M39" s="76" t="s">
        <v>22</v>
      </c>
      <c r="N39" s="76">
        <v>101.58</v>
      </c>
      <c r="O39" s="61"/>
    </row>
    <row r="40" spans="1:16">
      <c r="A40" s="60"/>
      <c r="B40" s="60"/>
      <c r="C40" s="60"/>
      <c r="D40" s="61"/>
      <c r="E40" s="61"/>
      <c r="F40" s="61"/>
      <c r="G40" s="61"/>
      <c r="H40" s="61"/>
      <c r="I40" s="57"/>
      <c r="J40" s="61"/>
      <c r="K40" s="61"/>
      <c r="L40" s="61"/>
      <c r="M40" s="76" t="s">
        <v>23</v>
      </c>
      <c r="N40" s="76">
        <v>100.36</v>
      </c>
      <c r="O40" s="61"/>
    </row>
    <row r="41" spans="1:16">
      <c r="A41" s="60"/>
      <c r="B41" s="60"/>
      <c r="C41" s="60"/>
      <c r="D41" s="61"/>
      <c r="E41" s="61"/>
      <c r="F41" s="61"/>
      <c r="G41" s="61"/>
      <c r="H41" s="61"/>
      <c r="I41" s="57"/>
      <c r="J41" s="61"/>
      <c r="K41" s="61"/>
      <c r="L41" s="61"/>
      <c r="M41" s="76" t="s">
        <v>24</v>
      </c>
      <c r="N41" s="76">
        <v>100</v>
      </c>
      <c r="O41" s="61"/>
    </row>
    <row r="42" spans="1:16">
      <c r="A42" s="60"/>
      <c r="B42" s="60"/>
      <c r="C42" s="60"/>
      <c r="D42" s="61"/>
      <c r="E42" s="61"/>
      <c r="F42" s="61"/>
      <c r="G42" s="61"/>
      <c r="H42" s="61"/>
      <c r="I42" s="57"/>
      <c r="J42" s="61"/>
      <c r="K42" s="61"/>
      <c r="L42" s="61"/>
      <c r="M42" s="76" t="s">
        <v>25</v>
      </c>
      <c r="N42" s="76">
        <v>99.34</v>
      </c>
      <c r="O42" s="61"/>
    </row>
    <row r="43" spans="1:16">
      <c r="A43" s="60"/>
      <c r="B43" s="60"/>
      <c r="C43" s="60"/>
      <c r="D43" s="61"/>
      <c r="E43" s="61"/>
      <c r="F43" s="61"/>
      <c r="G43" s="61"/>
      <c r="H43" s="61"/>
      <c r="I43" s="57"/>
      <c r="J43" s="61"/>
      <c r="K43" s="61"/>
      <c r="L43" s="61"/>
      <c r="M43" s="61"/>
      <c r="N43" s="61"/>
      <c r="O43" s="61"/>
    </row>
    <row r="44" spans="1:16">
      <c r="A44" s="60"/>
      <c r="B44" s="60"/>
      <c r="C44" s="60"/>
      <c r="D44" s="61"/>
      <c r="E44" s="61"/>
      <c r="F44" s="61"/>
      <c r="G44" s="61"/>
      <c r="H44" s="61"/>
      <c r="I44" s="57"/>
      <c r="J44" s="61"/>
      <c r="K44" s="61"/>
      <c r="L44" s="61"/>
      <c r="M44" s="61"/>
      <c r="N44" s="61"/>
      <c r="O44" s="61"/>
    </row>
    <row r="45" spans="1:16">
      <c r="A45" s="60"/>
      <c r="B45" s="60"/>
      <c r="C45" s="60"/>
      <c r="D45" s="61"/>
      <c r="E45" s="61"/>
      <c r="F45" s="61"/>
      <c r="G45" s="61"/>
      <c r="H45" s="61"/>
      <c r="I45" s="57"/>
      <c r="J45" s="61"/>
      <c r="K45" s="61"/>
      <c r="L45" s="61"/>
      <c r="M45" s="61"/>
      <c r="N45" s="61"/>
      <c r="O45" s="61"/>
    </row>
    <row r="46" spans="1:16">
      <c r="A46" s="60"/>
      <c r="B46" s="60"/>
      <c r="C46" s="60"/>
      <c r="D46" s="61"/>
      <c r="E46" s="61"/>
      <c r="F46" s="61"/>
      <c r="G46" s="61"/>
      <c r="H46" s="61"/>
      <c r="I46" s="57"/>
      <c r="J46" s="61"/>
      <c r="K46" s="61"/>
      <c r="L46" s="61"/>
      <c r="M46" s="61"/>
      <c r="N46" s="61"/>
      <c r="O46" s="61"/>
    </row>
    <row r="47" spans="1:16">
      <c r="A47" s="60"/>
      <c r="B47" s="60"/>
      <c r="C47" s="60"/>
      <c r="D47" s="61"/>
      <c r="E47" s="61"/>
      <c r="F47" s="61"/>
      <c r="G47" s="61"/>
      <c r="H47" s="61"/>
      <c r="I47" s="57"/>
      <c r="J47" s="61"/>
      <c r="K47" s="61"/>
      <c r="L47" s="61"/>
      <c r="M47" s="61"/>
      <c r="N47" s="61"/>
      <c r="O47" s="61"/>
    </row>
    <row r="48" spans="1:16">
      <c r="A48" s="60"/>
      <c r="B48" s="60"/>
      <c r="C48" s="60"/>
      <c r="D48" s="61"/>
      <c r="E48" s="61"/>
      <c r="F48" s="61"/>
      <c r="G48" s="61"/>
      <c r="H48" s="61"/>
      <c r="I48" s="57"/>
      <c r="J48" s="61"/>
      <c r="K48" s="61"/>
      <c r="L48" s="61"/>
      <c r="M48" s="61"/>
      <c r="N48" s="61"/>
      <c r="O48" s="61"/>
    </row>
    <row r="49" spans="1:16">
      <c r="A49" s="60"/>
      <c r="B49" s="60"/>
      <c r="C49" s="60"/>
      <c r="D49" s="61"/>
      <c r="E49" s="61"/>
      <c r="F49" s="61"/>
      <c r="G49" s="61"/>
      <c r="H49" s="61"/>
      <c r="I49" s="57"/>
      <c r="J49" s="61"/>
      <c r="K49" s="61"/>
      <c r="L49" s="61"/>
      <c r="M49" s="61"/>
      <c r="N49" s="61"/>
      <c r="O49" s="61"/>
    </row>
    <row r="50" spans="1:16" ht="17.25" customHeight="1">
      <c r="A50" s="176" t="s">
        <v>0</v>
      </c>
      <c r="B50" s="176"/>
      <c r="C50" s="176"/>
      <c r="D50" s="176"/>
      <c r="E50" s="176"/>
      <c r="F50" s="176"/>
      <c r="G50" s="176"/>
      <c r="H50" s="39">
        <v>80</v>
      </c>
      <c r="I50" s="40" t="s">
        <v>17</v>
      </c>
      <c r="J50" s="173"/>
      <c r="K50" s="174"/>
      <c r="L50" s="175"/>
      <c r="M50" s="41"/>
      <c r="N50" s="41"/>
      <c r="O50" s="41"/>
    </row>
    <row r="51" spans="1:16" ht="17.25" customHeight="1">
      <c r="A51" s="42" t="s">
        <v>1</v>
      </c>
      <c r="B51" s="43"/>
      <c r="C51" s="44">
        <v>0</v>
      </c>
      <c r="D51" s="45">
        <v>4.0999999999999996</v>
      </c>
      <c r="E51" s="45">
        <v>5.3</v>
      </c>
      <c r="F51" s="46">
        <v>5.6</v>
      </c>
      <c r="G51" s="46">
        <v>6.7</v>
      </c>
      <c r="H51" s="45">
        <v>6.8</v>
      </c>
      <c r="I51" s="47">
        <v>7.5</v>
      </c>
      <c r="J51" s="47">
        <v>8.3000000000000007</v>
      </c>
      <c r="K51" s="45">
        <v>12</v>
      </c>
      <c r="L51" s="49">
        <v>13</v>
      </c>
      <c r="M51" s="45">
        <v>15.2</v>
      </c>
      <c r="N51" s="47"/>
      <c r="O51" s="50"/>
    </row>
    <row r="52" spans="1:16" ht="17.25" customHeight="1">
      <c r="A52" s="42" t="s">
        <v>2</v>
      </c>
      <c r="B52" s="43"/>
      <c r="C52" s="44">
        <v>97.97</v>
      </c>
      <c r="D52" s="45">
        <v>100.7</v>
      </c>
      <c r="E52" s="45">
        <v>101.5</v>
      </c>
      <c r="F52" s="45">
        <v>101.5</v>
      </c>
      <c r="G52" s="45">
        <v>101.5</v>
      </c>
      <c r="H52" s="45">
        <v>101.5</v>
      </c>
      <c r="I52" s="45">
        <v>101.5</v>
      </c>
      <c r="J52" s="47">
        <v>101.5</v>
      </c>
      <c r="K52" s="45">
        <v>99.65</v>
      </c>
      <c r="L52" s="49">
        <v>99.15</v>
      </c>
      <c r="M52" s="45">
        <v>98.05</v>
      </c>
      <c r="N52" s="47"/>
      <c r="O52" s="51"/>
    </row>
    <row r="53" spans="1:16" ht="17.25" customHeight="1">
      <c r="A53" s="42" t="s">
        <v>1</v>
      </c>
      <c r="B53" s="43"/>
      <c r="C53" s="44">
        <v>0</v>
      </c>
      <c r="D53" s="45">
        <v>4.0999999999999996</v>
      </c>
      <c r="E53" s="45">
        <v>5.3</v>
      </c>
      <c r="F53" s="46">
        <v>5.6</v>
      </c>
      <c r="G53" s="46">
        <v>6.7</v>
      </c>
      <c r="H53" s="45">
        <v>6.8</v>
      </c>
      <c r="I53" s="47">
        <v>7.5</v>
      </c>
      <c r="J53" s="47">
        <v>8.3000000000000007</v>
      </c>
      <c r="K53" s="45">
        <v>12</v>
      </c>
      <c r="L53" s="49">
        <v>13</v>
      </c>
      <c r="M53" s="45">
        <v>15.2</v>
      </c>
      <c r="N53" s="47"/>
      <c r="O53" s="50"/>
    </row>
    <row r="54" spans="1:16" ht="17.25" customHeight="1">
      <c r="A54" s="42" t="s">
        <v>3</v>
      </c>
      <c r="B54" s="9"/>
      <c r="C54" s="44">
        <v>97.97</v>
      </c>
      <c r="D54" s="45">
        <v>100.7</v>
      </c>
      <c r="E54" s="45">
        <v>100.932</v>
      </c>
      <c r="F54" s="45">
        <v>100.99</v>
      </c>
      <c r="G54" s="45">
        <v>100.99</v>
      </c>
      <c r="H54" s="45">
        <v>100.99</v>
      </c>
      <c r="I54" s="45">
        <v>100.99</v>
      </c>
      <c r="J54" s="47">
        <v>100.56399999999999</v>
      </c>
      <c r="K54" s="45">
        <v>98.592749999999995</v>
      </c>
      <c r="L54" s="49">
        <v>98.06</v>
      </c>
      <c r="M54" s="45">
        <v>98.05</v>
      </c>
      <c r="N54" s="52"/>
      <c r="O54" s="53"/>
    </row>
    <row r="55" spans="1:16" ht="17.25" customHeight="1">
      <c r="A55" s="42" t="s">
        <v>18</v>
      </c>
      <c r="B55" s="9"/>
      <c r="C55" s="47">
        <f t="shared" ref="C55:M55" si="6">C52-C54</f>
        <v>0</v>
      </c>
      <c r="D55" s="47">
        <f t="shared" si="6"/>
        <v>0</v>
      </c>
      <c r="E55" s="47">
        <f t="shared" si="6"/>
        <v>0.56799999999999784</v>
      </c>
      <c r="F55" s="47">
        <f t="shared" si="6"/>
        <v>0.51000000000000512</v>
      </c>
      <c r="G55" s="47">
        <f t="shared" si="6"/>
        <v>0.51000000000000512</v>
      </c>
      <c r="H55" s="47">
        <f t="shared" si="6"/>
        <v>0.51000000000000512</v>
      </c>
      <c r="I55" s="47">
        <f t="shared" si="6"/>
        <v>0.51000000000000512</v>
      </c>
      <c r="J55" s="47">
        <f t="shared" si="6"/>
        <v>0.93600000000000705</v>
      </c>
      <c r="K55" s="47">
        <f t="shared" si="6"/>
        <v>1.0572500000000105</v>
      </c>
      <c r="L55" s="47">
        <f t="shared" si="6"/>
        <v>1.0900000000000034</v>
      </c>
      <c r="M55" s="47">
        <f t="shared" si="6"/>
        <v>0</v>
      </c>
      <c r="N55" s="47"/>
      <c r="O55" s="51"/>
    </row>
    <row r="56" spans="1:16" ht="17.25" customHeight="1">
      <c r="A56" s="42" t="s">
        <v>5</v>
      </c>
      <c r="B56" s="9"/>
      <c r="C56" s="47">
        <f t="shared" ref="C56:M56" si="7">(C55+B55)/2*(C51-B51)</f>
        <v>0</v>
      </c>
      <c r="D56" s="47">
        <f t="shared" si="7"/>
        <v>0</v>
      </c>
      <c r="E56" s="47">
        <f t="shared" si="7"/>
        <v>0.34079999999999877</v>
      </c>
      <c r="F56" s="47">
        <f t="shared" si="7"/>
        <v>0.16170000000000034</v>
      </c>
      <c r="G56" s="47">
        <f t="shared" si="7"/>
        <v>0.56100000000000594</v>
      </c>
      <c r="H56" s="47">
        <f t="shared" si="7"/>
        <v>5.100000000000033E-2</v>
      </c>
      <c r="I56" s="47">
        <f t="shared" si="7"/>
        <v>0.35700000000000365</v>
      </c>
      <c r="J56" s="47">
        <f t="shared" si="7"/>
        <v>0.57840000000000535</v>
      </c>
      <c r="K56" s="47">
        <f t="shared" si="7"/>
        <v>3.6875125000000315</v>
      </c>
      <c r="L56" s="47">
        <f t="shared" si="7"/>
        <v>1.0736250000000069</v>
      </c>
      <c r="M56" s="47">
        <f t="shared" si="7"/>
        <v>1.1990000000000034</v>
      </c>
      <c r="N56" s="47"/>
      <c r="O56" s="51">
        <f>SUM(C56:N56)</f>
        <v>8.0100375000000561</v>
      </c>
    </row>
    <row r="57" spans="1:16" ht="17.25" customHeight="1">
      <c r="A57" s="54"/>
      <c r="B57" s="54"/>
      <c r="C57" s="54"/>
      <c r="D57" s="55"/>
      <c r="E57" s="55"/>
      <c r="F57" s="56"/>
      <c r="G57" s="56"/>
      <c r="H57" s="56"/>
      <c r="I57" s="57"/>
      <c r="K57" s="161" t="s">
        <v>19</v>
      </c>
      <c r="L57" s="162"/>
      <c r="M57" s="162"/>
      <c r="N57" s="163"/>
      <c r="O57" s="59">
        <f>O56</f>
        <v>8.0100375000000561</v>
      </c>
      <c r="P57">
        <v>5.26</v>
      </c>
    </row>
    <row r="58" spans="1:16" ht="17.25" customHeight="1">
      <c r="A58" s="60"/>
      <c r="B58" s="60"/>
      <c r="C58" s="60"/>
      <c r="D58" s="61"/>
      <c r="E58" s="61"/>
      <c r="F58" s="61"/>
      <c r="G58" s="61"/>
      <c r="H58" s="61"/>
      <c r="I58" s="57"/>
      <c r="J58" s="61"/>
      <c r="K58" s="61"/>
      <c r="L58" s="61"/>
      <c r="M58" s="61"/>
      <c r="N58" s="61"/>
      <c r="O58" s="61"/>
    </row>
    <row r="59" spans="1:16" ht="17.25" customHeight="1">
      <c r="A59" s="60"/>
      <c r="B59" s="60"/>
      <c r="C59" s="60"/>
      <c r="D59" s="61"/>
      <c r="E59" s="61"/>
      <c r="F59" s="61"/>
      <c r="G59" s="61"/>
      <c r="H59" s="61"/>
      <c r="I59" s="57"/>
      <c r="J59" s="61"/>
      <c r="K59" s="61"/>
      <c r="L59" s="61"/>
      <c r="M59" s="61"/>
      <c r="N59" s="61"/>
      <c r="O59" s="61"/>
    </row>
    <row r="60" spans="1:16" ht="17.25" customHeight="1">
      <c r="A60" s="60"/>
      <c r="B60" s="60"/>
      <c r="C60" s="60"/>
      <c r="D60" s="61"/>
      <c r="E60" s="61"/>
      <c r="F60" s="61"/>
      <c r="G60" s="61"/>
      <c r="H60" s="61"/>
      <c r="I60" s="57"/>
      <c r="J60" s="61"/>
      <c r="K60" s="61"/>
      <c r="L60" s="61"/>
      <c r="M60" s="61"/>
      <c r="N60" s="61"/>
      <c r="O60" s="61"/>
    </row>
    <row r="61" spans="1:16" ht="17.25" customHeight="1">
      <c r="A61" s="60"/>
      <c r="B61" s="60"/>
      <c r="C61" s="60"/>
      <c r="D61" s="61"/>
      <c r="E61" s="61"/>
      <c r="F61" s="61"/>
      <c r="G61" s="61"/>
      <c r="H61" s="61"/>
      <c r="I61" s="57"/>
      <c r="J61" s="61"/>
      <c r="K61" s="61"/>
      <c r="L61" s="61"/>
      <c r="M61" s="76" t="s">
        <v>22</v>
      </c>
      <c r="N61" s="76">
        <v>101.58</v>
      </c>
      <c r="O61" s="61"/>
    </row>
    <row r="62" spans="1:16" ht="17.25" customHeight="1">
      <c r="A62" s="60"/>
      <c r="B62" s="60"/>
      <c r="C62" s="60"/>
      <c r="D62" s="61"/>
      <c r="E62" s="61"/>
      <c r="F62" s="61"/>
      <c r="G62" s="61"/>
      <c r="H62" s="61"/>
      <c r="I62" s="57"/>
      <c r="J62" s="61"/>
      <c r="K62" s="61"/>
      <c r="L62" s="61"/>
      <c r="M62" s="76" t="s">
        <v>23</v>
      </c>
      <c r="N62" s="76">
        <v>100.36</v>
      </c>
      <c r="O62" s="61"/>
    </row>
    <row r="63" spans="1:16" ht="17.25" customHeight="1">
      <c r="A63" s="60"/>
      <c r="B63" s="60"/>
      <c r="C63" s="60"/>
      <c r="D63" s="61"/>
      <c r="E63" s="61"/>
      <c r="F63" s="61"/>
      <c r="G63" s="61"/>
      <c r="H63" s="61"/>
      <c r="I63" s="57"/>
      <c r="J63" s="61"/>
      <c r="K63" s="61"/>
      <c r="L63" s="61"/>
      <c r="M63" s="76" t="s">
        <v>24</v>
      </c>
      <c r="N63" s="76">
        <v>100</v>
      </c>
      <c r="O63" s="61"/>
    </row>
    <row r="64" spans="1:16" ht="17.25" customHeight="1">
      <c r="A64" s="60"/>
      <c r="B64" s="60"/>
      <c r="C64" s="60"/>
      <c r="D64" s="61"/>
      <c r="E64" s="61"/>
      <c r="F64" s="61"/>
      <c r="G64" s="61"/>
      <c r="H64" s="61"/>
      <c r="I64" s="57"/>
      <c r="J64" s="61"/>
      <c r="K64" s="61"/>
      <c r="L64" s="61"/>
      <c r="M64" s="76" t="s">
        <v>25</v>
      </c>
      <c r="N64" s="76">
        <v>99.34</v>
      </c>
      <c r="O64" s="61"/>
    </row>
    <row r="65" spans="1:15" ht="17.25" customHeight="1">
      <c r="A65" s="60"/>
      <c r="B65" s="60"/>
      <c r="C65" s="60"/>
      <c r="D65" s="61"/>
      <c r="E65" s="61"/>
      <c r="F65" s="61"/>
      <c r="G65" s="61"/>
      <c r="H65" s="61"/>
      <c r="I65" s="57"/>
      <c r="J65" s="61"/>
      <c r="K65" s="61"/>
      <c r="L65" s="61"/>
      <c r="M65" s="61"/>
      <c r="N65" s="61"/>
      <c r="O65" s="61"/>
    </row>
    <row r="66" spans="1:15" ht="17.25" customHeight="1">
      <c r="A66" s="60"/>
      <c r="B66" s="60"/>
      <c r="C66" s="60"/>
      <c r="D66" s="61"/>
      <c r="E66" s="61"/>
      <c r="F66" s="61"/>
      <c r="G66" s="61"/>
      <c r="H66" s="61"/>
      <c r="I66" s="57"/>
      <c r="J66" s="61"/>
      <c r="K66" s="61"/>
      <c r="L66" s="61"/>
      <c r="M66" s="61"/>
      <c r="N66" s="61"/>
      <c r="O66" s="61"/>
    </row>
    <row r="67" spans="1:15" ht="17.25" customHeight="1">
      <c r="A67" s="60"/>
      <c r="B67" s="60"/>
      <c r="C67" s="60"/>
      <c r="D67" s="61"/>
      <c r="E67" s="61"/>
      <c r="F67" s="61"/>
      <c r="G67" s="61"/>
      <c r="H67" s="61"/>
      <c r="I67" s="57"/>
      <c r="J67" s="61"/>
      <c r="K67" s="61"/>
      <c r="L67" s="61"/>
      <c r="M67" s="61"/>
      <c r="N67" s="61"/>
      <c r="O67" s="61"/>
    </row>
    <row r="68" spans="1:15" ht="17.25" customHeight="1">
      <c r="A68" s="60"/>
      <c r="B68" s="60"/>
      <c r="C68" s="60"/>
      <c r="D68" s="61"/>
      <c r="E68" s="61"/>
      <c r="F68" s="61"/>
      <c r="G68" s="61"/>
      <c r="H68" s="61"/>
      <c r="I68" s="57"/>
      <c r="J68" s="61"/>
      <c r="K68" s="61"/>
      <c r="L68" s="61"/>
      <c r="M68" s="61"/>
      <c r="N68" s="61"/>
      <c r="O68" s="61"/>
    </row>
    <row r="69" spans="1:15" ht="17.25" customHeight="1">
      <c r="A69" s="60"/>
      <c r="B69" s="60"/>
      <c r="C69" s="60"/>
      <c r="D69" s="61"/>
      <c r="E69" s="61"/>
      <c r="F69" s="61"/>
      <c r="G69" s="61"/>
      <c r="H69" s="61"/>
      <c r="I69" s="57"/>
      <c r="J69" s="61"/>
      <c r="K69" s="61"/>
      <c r="L69" s="61"/>
      <c r="M69" s="61"/>
      <c r="N69" s="61"/>
      <c r="O69" s="61"/>
    </row>
    <row r="70" spans="1:15" ht="17.25" customHeight="1">
      <c r="A70" s="60"/>
      <c r="B70" s="60"/>
      <c r="C70" s="60"/>
      <c r="D70" s="61"/>
      <c r="E70" s="61"/>
      <c r="F70" s="61"/>
      <c r="G70" s="61"/>
      <c r="H70" s="61"/>
      <c r="I70" s="57"/>
      <c r="J70" s="61"/>
      <c r="K70" s="61"/>
      <c r="L70" s="61"/>
      <c r="M70" s="61"/>
      <c r="N70" s="61"/>
      <c r="O70" s="61"/>
    </row>
    <row r="71" spans="1:15" ht="17.25" customHeight="1">
      <c r="A71" s="60"/>
      <c r="B71" s="60"/>
      <c r="C71" s="60"/>
      <c r="D71" s="61"/>
      <c r="E71" s="61"/>
      <c r="F71" s="61"/>
      <c r="G71" s="61"/>
      <c r="H71" s="61"/>
      <c r="I71" s="57"/>
      <c r="J71" s="61"/>
      <c r="K71" s="61"/>
      <c r="L71" s="61"/>
      <c r="M71" s="61"/>
      <c r="N71" s="61"/>
      <c r="O71" s="61"/>
    </row>
    <row r="72" spans="1:15" ht="17.25" customHeight="1">
      <c r="A72" s="60"/>
      <c r="B72" s="60"/>
      <c r="C72" s="60"/>
      <c r="D72" s="61"/>
      <c r="E72" s="61"/>
      <c r="F72" s="61"/>
      <c r="G72" s="61"/>
      <c r="H72" s="61"/>
      <c r="I72" s="57"/>
      <c r="J72" s="61"/>
      <c r="K72" s="61"/>
      <c r="L72" s="61"/>
      <c r="M72" s="61"/>
      <c r="N72" s="61"/>
      <c r="O72" s="61"/>
    </row>
    <row r="73" spans="1:15" ht="17.25" customHeight="1">
      <c r="A73" s="60"/>
      <c r="B73" s="60"/>
      <c r="C73" s="60"/>
      <c r="D73" s="61"/>
      <c r="E73" s="61"/>
      <c r="F73" s="61"/>
      <c r="G73" s="61"/>
      <c r="H73" s="61"/>
      <c r="I73" s="57"/>
      <c r="J73" s="61"/>
      <c r="K73" s="61"/>
      <c r="L73" s="61"/>
      <c r="M73" s="61"/>
      <c r="N73" s="61"/>
      <c r="O73" s="61"/>
    </row>
    <row r="74" spans="1:15" ht="17.25" customHeight="1">
      <c r="A74" s="60"/>
      <c r="B74" s="60"/>
      <c r="C74" s="60"/>
      <c r="D74" s="61"/>
      <c r="E74" s="61"/>
      <c r="F74" s="61"/>
      <c r="G74" s="61"/>
      <c r="H74" s="61"/>
      <c r="I74" s="57"/>
      <c r="J74" s="61"/>
      <c r="K74" s="61"/>
      <c r="L74" s="61"/>
      <c r="M74" s="61"/>
      <c r="N74" s="61"/>
      <c r="O74" s="61"/>
    </row>
    <row r="75" spans="1:15" ht="17.25" customHeight="1">
      <c r="A75" s="60"/>
      <c r="B75" s="60"/>
      <c r="C75" s="60"/>
      <c r="D75" s="61"/>
      <c r="E75" s="61"/>
      <c r="F75" s="61"/>
      <c r="G75" s="61"/>
      <c r="H75" s="61"/>
      <c r="I75" s="57"/>
      <c r="J75" s="61"/>
      <c r="K75" s="61"/>
      <c r="L75" s="61"/>
      <c r="M75" s="61"/>
      <c r="N75" s="61"/>
      <c r="O75" s="61"/>
    </row>
    <row r="76" spans="1:15" ht="15.75">
      <c r="A76" s="60"/>
      <c r="B76" s="60"/>
      <c r="C76" s="166"/>
      <c r="D76" s="166"/>
      <c r="E76" s="166"/>
      <c r="F76" s="166"/>
      <c r="G76" s="25"/>
      <c r="H76" s="167"/>
      <c r="I76" s="167"/>
      <c r="J76" s="167"/>
      <c r="K76" s="7"/>
      <c r="L76" s="168"/>
      <c r="M76" s="168"/>
      <c r="N76" s="61"/>
      <c r="O76" s="61"/>
    </row>
    <row r="77" spans="1:15" ht="15.75">
      <c r="A77" s="60"/>
      <c r="B77" s="60"/>
      <c r="C77" s="169"/>
      <c r="D77" s="169"/>
      <c r="E77" s="169"/>
      <c r="F77" s="62"/>
      <c r="G77" s="26"/>
      <c r="H77" s="170"/>
      <c r="I77" s="170"/>
      <c r="J77" s="170"/>
      <c r="K77" s="25"/>
      <c r="L77" s="171"/>
      <c r="M77" s="171"/>
      <c r="N77" s="61"/>
      <c r="O77" s="61"/>
    </row>
    <row r="78" spans="1:15" ht="15.75">
      <c r="A78" s="60"/>
      <c r="B78" s="60"/>
      <c r="C78" s="62"/>
      <c r="D78" s="62"/>
      <c r="E78" s="62"/>
      <c r="F78" s="62"/>
      <c r="G78" s="26"/>
      <c r="H78" s="38"/>
      <c r="I78" s="38"/>
      <c r="J78" s="38"/>
      <c r="K78" s="25"/>
      <c r="L78" s="37"/>
      <c r="M78" s="37"/>
      <c r="N78" s="61"/>
      <c r="O78" s="61"/>
    </row>
    <row r="79" spans="1:15" ht="15.75">
      <c r="A79" s="60"/>
      <c r="B79" s="60"/>
      <c r="C79" s="62"/>
      <c r="D79" s="62"/>
      <c r="E79" s="62"/>
      <c r="F79" s="62"/>
      <c r="G79" s="26"/>
      <c r="H79" s="38"/>
      <c r="I79" s="38"/>
      <c r="J79" s="38"/>
      <c r="K79" s="25"/>
      <c r="L79" s="37"/>
      <c r="M79" s="37"/>
      <c r="N79" s="61"/>
      <c r="O79" s="61"/>
    </row>
    <row r="80" spans="1:15" ht="15.75">
      <c r="A80" s="60"/>
      <c r="B80" s="60"/>
      <c r="C80" s="62"/>
      <c r="D80" s="62"/>
      <c r="E80" s="62"/>
      <c r="F80" s="62"/>
      <c r="G80" s="26"/>
      <c r="H80" s="38"/>
      <c r="I80" s="38"/>
      <c r="J80" s="38"/>
      <c r="K80" s="25"/>
      <c r="L80" s="37"/>
      <c r="M80" s="37"/>
      <c r="N80" s="61"/>
      <c r="O80" s="61"/>
    </row>
    <row r="81" spans="1:16" ht="15.75">
      <c r="A81" s="60"/>
      <c r="B81" s="60"/>
      <c r="C81" s="62"/>
      <c r="D81" s="62"/>
      <c r="E81" s="62"/>
      <c r="F81" s="62"/>
      <c r="G81" s="26"/>
      <c r="H81" s="38"/>
      <c r="I81" s="38"/>
      <c r="J81" s="38"/>
      <c r="K81" s="25"/>
      <c r="L81" s="37"/>
      <c r="M81" s="37"/>
      <c r="N81" s="61"/>
      <c r="O81" s="61"/>
    </row>
    <row r="82" spans="1:16" ht="15.75">
      <c r="A82" s="60"/>
      <c r="B82" s="60"/>
      <c r="C82" s="62"/>
      <c r="D82" s="62"/>
      <c r="E82" s="62"/>
      <c r="F82" s="62"/>
      <c r="G82" s="26"/>
      <c r="H82" s="38"/>
      <c r="I82" s="38"/>
      <c r="J82" s="38"/>
      <c r="K82" s="25"/>
      <c r="L82" s="37"/>
      <c r="M82" s="37"/>
      <c r="N82" s="61"/>
      <c r="O82" s="61"/>
    </row>
    <row r="83" spans="1:16" ht="15.75">
      <c r="A83" s="60"/>
      <c r="B83" s="60"/>
      <c r="C83" s="62"/>
      <c r="D83" s="62"/>
      <c r="E83" s="62"/>
      <c r="F83" s="62"/>
      <c r="G83" s="26"/>
      <c r="H83" s="38"/>
      <c r="I83" s="38"/>
      <c r="J83" s="38"/>
      <c r="K83" s="25"/>
      <c r="L83" s="37"/>
      <c r="M83" s="37"/>
      <c r="N83" s="61"/>
      <c r="O83" s="61"/>
    </row>
    <row r="84" spans="1:16">
      <c r="A84" s="164" t="s">
        <v>0</v>
      </c>
      <c r="B84" s="165"/>
      <c r="C84" s="165"/>
      <c r="D84" s="165"/>
      <c r="E84" s="165"/>
      <c r="F84" s="165"/>
      <c r="G84" s="165"/>
      <c r="H84" s="39">
        <v>120</v>
      </c>
      <c r="I84" s="40" t="s">
        <v>17</v>
      </c>
      <c r="J84" s="63"/>
      <c r="K84" s="64"/>
      <c r="L84" s="63"/>
      <c r="M84" s="63"/>
      <c r="N84" s="63"/>
      <c r="O84" s="63"/>
    </row>
    <row r="85" spans="1:16" ht="17.25" customHeight="1">
      <c r="A85" s="42" t="s">
        <v>1</v>
      </c>
      <c r="B85" s="43"/>
      <c r="C85" s="44">
        <v>0</v>
      </c>
      <c r="D85" s="45">
        <v>4.2</v>
      </c>
      <c r="E85" s="45">
        <v>5.4</v>
      </c>
      <c r="F85" s="46">
        <v>5.7</v>
      </c>
      <c r="G85" s="46">
        <v>6.9</v>
      </c>
      <c r="H85" s="45">
        <v>7</v>
      </c>
      <c r="I85" s="47">
        <v>7.7</v>
      </c>
      <c r="J85" s="47">
        <v>8.4</v>
      </c>
      <c r="K85" s="45">
        <v>13.5</v>
      </c>
      <c r="L85" s="49">
        <v>14</v>
      </c>
      <c r="M85" s="45">
        <v>15.6</v>
      </c>
      <c r="N85" s="47"/>
      <c r="O85" s="50"/>
    </row>
    <row r="86" spans="1:16" ht="17.25" customHeight="1">
      <c r="A86" s="42" t="s">
        <v>2</v>
      </c>
      <c r="B86" s="43"/>
      <c r="C86" s="44">
        <v>97.88</v>
      </c>
      <c r="D86" s="45">
        <v>100.7</v>
      </c>
      <c r="E86" s="45">
        <v>101.5</v>
      </c>
      <c r="F86" s="45">
        <v>101.5</v>
      </c>
      <c r="G86" s="45">
        <v>101.5</v>
      </c>
      <c r="H86" s="45">
        <v>101.5</v>
      </c>
      <c r="I86" s="45">
        <v>101.5</v>
      </c>
      <c r="J86" s="47">
        <v>101.5</v>
      </c>
      <c r="K86" s="45">
        <v>98.932000000000002</v>
      </c>
      <c r="L86" s="49">
        <v>98.68</v>
      </c>
      <c r="M86" s="45">
        <v>97.88</v>
      </c>
      <c r="N86" s="47"/>
      <c r="O86" s="51"/>
    </row>
    <row r="87" spans="1:16" ht="17.25" customHeight="1">
      <c r="A87" s="42" t="s">
        <v>1</v>
      </c>
      <c r="B87" s="43"/>
      <c r="C87" s="44">
        <v>0</v>
      </c>
      <c r="D87" s="45">
        <v>4.2</v>
      </c>
      <c r="E87" s="45">
        <v>5.4</v>
      </c>
      <c r="F87" s="46">
        <v>5.7</v>
      </c>
      <c r="G87" s="46">
        <v>6.9</v>
      </c>
      <c r="H87" s="45">
        <v>7</v>
      </c>
      <c r="I87" s="47">
        <v>7.7</v>
      </c>
      <c r="J87" s="47">
        <v>8.4</v>
      </c>
      <c r="K87" s="45">
        <v>13.5</v>
      </c>
      <c r="L87" s="49">
        <v>14</v>
      </c>
      <c r="M87" s="45">
        <v>15.6</v>
      </c>
      <c r="N87" s="47"/>
      <c r="O87" s="50"/>
    </row>
    <row r="88" spans="1:16" ht="17.25" customHeight="1">
      <c r="A88" s="42" t="s">
        <v>3</v>
      </c>
      <c r="B88" s="9"/>
      <c r="C88" s="44">
        <v>97.88</v>
      </c>
      <c r="D88" s="45">
        <v>100.7</v>
      </c>
      <c r="E88" s="45">
        <v>100.94799999999999</v>
      </c>
      <c r="F88" s="45">
        <v>101.01</v>
      </c>
      <c r="G88" s="45">
        <v>101.01</v>
      </c>
      <c r="H88" s="45">
        <v>101.01</v>
      </c>
      <c r="I88" s="45">
        <v>101.01</v>
      </c>
      <c r="J88" s="47">
        <v>100.63200000000001</v>
      </c>
      <c r="K88" s="45">
        <v>97.88</v>
      </c>
      <c r="L88" s="49">
        <v>97.88</v>
      </c>
      <c r="M88" s="45">
        <v>97.88</v>
      </c>
      <c r="N88" s="52"/>
      <c r="O88" s="53"/>
    </row>
    <row r="89" spans="1:16" ht="17.25" customHeight="1">
      <c r="A89" s="42" t="s">
        <v>18</v>
      </c>
      <c r="B89" s="9"/>
      <c r="C89" s="47">
        <f t="shared" ref="C89:M89" si="8">C86-C88</f>
        <v>0</v>
      </c>
      <c r="D89" s="47">
        <f t="shared" si="8"/>
        <v>0</v>
      </c>
      <c r="E89" s="47">
        <f t="shared" si="8"/>
        <v>0.55200000000000671</v>
      </c>
      <c r="F89" s="47">
        <f t="shared" si="8"/>
        <v>0.48999999999999488</v>
      </c>
      <c r="G89" s="47">
        <f t="shared" si="8"/>
        <v>0.48999999999999488</v>
      </c>
      <c r="H89" s="47">
        <f t="shared" si="8"/>
        <v>0.48999999999999488</v>
      </c>
      <c r="I89" s="47">
        <f t="shared" si="8"/>
        <v>0.48999999999999488</v>
      </c>
      <c r="J89" s="47">
        <f t="shared" si="8"/>
        <v>0.867999999999995</v>
      </c>
      <c r="K89" s="47">
        <f t="shared" si="8"/>
        <v>1.0520000000000067</v>
      </c>
      <c r="L89" s="47">
        <f t="shared" si="8"/>
        <v>0.80000000000001137</v>
      </c>
      <c r="M89" s="47">
        <f t="shared" si="8"/>
        <v>0</v>
      </c>
      <c r="N89" s="47"/>
      <c r="O89" s="51"/>
    </row>
    <row r="90" spans="1:16" ht="17.25" customHeight="1">
      <c r="A90" s="42" t="s">
        <v>5</v>
      </c>
      <c r="B90" s="9"/>
      <c r="C90" s="47">
        <f t="shared" ref="C90:M90" si="9">(C89+B89)/2*(C85-B85)</f>
        <v>0</v>
      </c>
      <c r="D90" s="47">
        <f t="shared" si="9"/>
        <v>0</v>
      </c>
      <c r="E90" s="47">
        <f t="shared" si="9"/>
        <v>0.33120000000000405</v>
      </c>
      <c r="F90" s="47">
        <f t="shared" si="9"/>
        <v>0.15630000000000013</v>
      </c>
      <c r="G90" s="47">
        <f t="shared" si="9"/>
        <v>0.58799999999999397</v>
      </c>
      <c r="H90" s="47">
        <f t="shared" si="9"/>
        <v>4.8999999999999315E-2</v>
      </c>
      <c r="I90" s="47">
        <f t="shared" si="9"/>
        <v>0.34299999999999653</v>
      </c>
      <c r="J90" s="47">
        <f t="shared" si="9"/>
        <v>0.47529999999999656</v>
      </c>
      <c r="K90" s="47">
        <f t="shared" si="9"/>
        <v>4.8960000000000043</v>
      </c>
      <c r="L90" s="47">
        <f t="shared" si="9"/>
        <v>0.46300000000000452</v>
      </c>
      <c r="M90" s="47">
        <f t="shared" si="9"/>
        <v>0.64000000000000901</v>
      </c>
      <c r="N90" s="47"/>
      <c r="O90" s="51">
        <v>7.9409999999999998</v>
      </c>
    </row>
    <row r="91" spans="1:16" ht="17.25" customHeight="1">
      <c r="A91" s="54"/>
      <c r="B91" s="54"/>
      <c r="C91" s="54"/>
      <c r="D91" s="55"/>
      <c r="E91" s="55"/>
      <c r="F91" s="56"/>
      <c r="G91" s="56"/>
      <c r="H91" s="56"/>
      <c r="I91" s="57"/>
      <c r="K91" s="161" t="s">
        <v>19</v>
      </c>
      <c r="L91" s="162"/>
      <c r="M91" s="162"/>
      <c r="N91" s="163"/>
      <c r="O91" s="59">
        <f>O90</f>
        <v>7.9409999999999998</v>
      </c>
      <c r="P91">
        <v>7.9409999999999998</v>
      </c>
    </row>
    <row r="92" spans="1:16">
      <c r="A92" s="60"/>
      <c r="B92" s="60"/>
      <c r="C92" s="60"/>
      <c r="D92" s="61"/>
      <c r="E92" s="61"/>
      <c r="F92" s="61"/>
      <c r="G92" s="61"/>
      <c r="H92" s="61"/>
      <c r="I92" s="57"/>
      <c r="J92" s="61"/>
      <c r="K92" s="61"/>
      <c r="L92" s="61"/>
      <c r="M92" s="61"/>
      <c r="N92" s="61"/>
      <c r="O92" s="61"/>
    </row>
    <row r="93" spans="1:16">
      <c r="A93" s="60"/>
      <c r="B93" s="60"/>
      <c r="C93" s="60"/>
      <c r="D93" s="61"/>
      <c r="E93" s="61"/>
      <c r="F93" s="61"/>
      <c r="G93" s="61"/>
      <c r="H93" s="61"/>
      <c r="I93" s="57"/>
      <c r="J93" s="61"/>
      <c r="K93" s="61"/>
      <c r="L93" s="61"/>
      <c r="M93" s="61"/>
      <c r="N93" s="61"/>
      <c r="O93" s="61"/>
    </row>
    <row r="94" spans="1:16">
      <c r="A94" s="60"/>
      <c r="B94" s="60"/>
      <c r="C94" s="60"/>
      <c r="D94" s="61"/>
      <c r="E94" s="61"/>
      <c r="F94" s="61"/>
      <c r="G94" s="61"/>
      <c r="H94" s="61"/>
      <c r="I94" s="57"/>
      <c r="J94" s="61"/>
      <c r="K94" s="61"/>
      <c r="L94" s="61"/>
      <c r="M94" s="61"/>
      <c r="N94" s="61"/>
      <c r="O94" s="61"/>
    </row>
    <row r="95" spans="1:16">
      <c r="A95" s="60"/>
      <c r="B95" s="60"/>
      <c r="C95" s="60"/>
      <c r="D95" s="61"/>
      <c r="E95" s="61"/>
      <c r="F95" s="61"/>
      <c r="G95" s="61"/>
      <c r="H95" s="61"/>
      <c r="I95" s="57"/>
      <c r="J95" s="61"/>
      <c r="K95" s="61"/>
      <c r="L95" s="61"/>
      <c r="M95" s="61"/>
      <c r="N95" s="61"/>
      <c r="O95" s="61"/>
    </row>
    <row r="96" spans="1:16">
      <c r="A96" s="60"/>
      <c r="B96" s="60"/>
      <c r="C96" s="60"/>
      <c r="D96" s="61"/>
      <c r="E96" s="61"/>
      <c r="F96" s="61"/>
      <c r="G96" s="61"/>
      <c r="H96" s="61"/>
      <c r="I96" s="57"/>
      <c r="J96" s="61"/>
      <c r="K96" s="61"/>
      <c r="L96" s="61"/>
      <c r="M96" s="61"/>
      <c r="N96" s="61"/>
      <c r="O96" s="61"/>
    </row>
    <row r="97" spans="1:15">
      <c r="A97" s="60"/>
      <c r="B97" s="60"/>
      <c r="C97" s="60"/>
      <c r="D97" s="61"/>
      <c r="E97" s="61"/>
      <c r="F97" s="61"/>
      <c r="G97" s="61"/>
      <c r="H97" s="61"/>
      <c r="I97" s="57"/>
      <c r="J97" s="61"/>
      <c r="K97" s="61"/>
      <c r="L97" s="61"/>
      <c r="M97" s="76" t="s">
        <v>22</v>
      </c>
      <c r="N97" s="76">
        <v>101.58</v>
      </c>
      <c r="O97" s="61"/>
    </row>
    <row r="98" spans="1:15">
      <c r="A98" s="60"/>
      <c r="B98" s="60"/>
      <c r="C98" s="60"/>
      <c r="D98" s="61"/>
      <c r="E98" s="61"/>
      <c r="F98" s="61"/>
      <c r="G98" s="61"/>
      <c r="H98" s="61"/>
      <c r="I98" s="57"/>
      <c r="J98" s="61"/>
      <c r="K98" s="61"/>
      <c r="L98" s="61"/>
      <c r="M98" s="76" t="s">
        <v>23</v>
      </c>
      <c r="N98" s="76">
        <v>100.36</v>
      </c>
      <c r="O98" s="61"/>
    </row>
    <row r="99" spans="1:15">
      <c r="A99" s="60"/>
      <c r="B99" s="60"/>
      <c r="C99" s="60"/>
      <c r="D99" s="61"/>
      <c r="E99" s="61"/>
      <c r="F99" s="61"/>
      <c r="G99" s="61"/>
      <c r="H99" s="61"/>
      <c r="I99" s="57"/>
      <c r="J99" s="61"/>
      <c r="K99" s="61"/>
      <c r="L99" s="61"/>
      <c r="M99" s="76" t="s">
        <v>24</v>
      </c>
      <c r="N99" s="76">
        <v>100</v>
      </c>
      <c r="O99" s="61"/>
    </row>
    <row r="100" spans="1:15">
      <c r="A100" s="60"/>
      <c r="B100" s="60"/>
      <c r="C100" s="60"/>
      <c r="D100" s="61"/>
      <c r="E100" s="61"/>
      <c r="F100" s="61"/>
      <c r="G100" s="61"/>
      <c r="H100" s="61"/>
      <c r="I100" s="57"/>
      <c r="J100" s="61"/>
      <c r="K100" s="61"/>
      <c r="L100" s="61"/>
      <c r="M100" s="76" t="s">
        <v>25</v>
      </c>
      <c r="N100" s="76">
        <v>99.34</v>
      </c>
      <c r="O100" s="61"/>
    </row>
    <row r="101" spans="1:15">
      <c r="A101" s="60"/>
      <c r="B101" s="60"/>
      <c r="C101" s="60"/>
      <c r="D101" s="61"/>
      <c r="E101" s="61"/>
      <c r="F101" s="61"/>
      <c r="G101" s="61"/>
      <c r="H101" s="61"/>
      <c r="I101" s="57"/>
      <c r="J101" s="61"/>
      <c r="K101" s="61"/>
      <c r="L101" s="61"/>
      <c r="M101" s="61"/>
      <c r="N101" s="61"/>
      <c r="O101" s="61"/>
    </row>
    <row r="102" spans="1:15">
      <c r="A102" s="60"/>
      <c r="B102" s="60"/>
      <c r="C102" s="60"/>
      <c r="D102" s="61"/>
      <c r="E102" s="61"/>
      <c r="F102" s="61"/>
      <c r="G102" s="61"/>
      <c r="H102" s="61"/>
      <c r="I102" s="57"/>
      <c r="J102" s="61"/>
      <c r="K102" s="61"/>
      <c r="L102" s="61"/>
      <c r="M102" s="61"/>
      <c r="N102" s="61"/>
      <c r="O102" s="61"/>
    </row>
    <row r="103" spans="1:15">
      <c r="A103" s="60"/>
      <c r="B103" s="60"/>
      <c r="C103" s="60"/>
      <c r="D103" s="61"/>
      <c r="E103" s="61"/>
      <c r="F103" s="61"/>
      <c r="G103" s="61"/>
      <c r="H103" s="61"/>
      <c r="I103" s="57"/>
      <c r="J103" s="61"/>
      <c r="K103" s="61"/>
      <c r="L103" s="61"/>
      <c r="M103" s="61"/>
      <c r="N103" s="61"/>
      <c r="O103" s="61"/>
    </row>
    <row r="104" spans="1:15">
      <c r="A104" s="60"/>
      <c r="B104" s="60"/>
      <c r="C104" s="60"/>
      <c r="D104" s="61"/>
      <c r="E104" s="61"/>
      <c r="F104" s="61"/>
      <c r="G104" s="61"/>
      <c r="H104" s="61"/>
      <c r="I104" s="57"/>
      <c r="J104" s="61"/>
      <c r="K104" s="61"/>
      <c r="L104" s="61"/>
      <c r="M104" s="61"/>
      <c r="N104" s="61"/>
      <c r="O104" s="61"/>
    </row>
    <row r="105" spans="1:15">
      <c r="A105" s="60"/>
      <c r="B105" s="60"/>
      <c r="C105" s="60"/>
      <c r="D105" s="61"/>
      <c r="E105" s="61"/>
      <c r="F105" s="61"/>
      <c r="G105" s="61"/>
      <c r="H105" s="61"/>
      <c r="I105" s="57"/>
      <c r="J105" s="61"/>
      <c r="K105" s="61"/>
      <c r="L105" s="61"/>
      <c r="M105" s="61"/>
      <c r="N105" s="61"/>
      <c r="O105" s="61"/>
    </row>
    <row r="106" spans="1:15">
      <c r="A106" s="60"/>
      <c r="B106" s="60"/>
      <c r="C106" s="60"/>
      <c r="D106" s="61"/>
      <c r="E106" s="61"/>
      <c r="F106" s="61"/>
      <c r="G106" s="61"/>
      <c r="H106" s="61"/>
      <c r="I106" s="57"/>
      <c r="J106" s="61"/>
      <c r="K106" s="61"/>
      <c r="L106" s="61"/>
      <c r="M106" s="61"/>
      <c r="N106" s="61"/>
      <c r="O106" s="61"/>
    </row>
    <row r="107" spans="1:15">
      <c r="A107" s="60"/>
      <c r="B107" s="60"/>
      <c r="C107" s="60"/>
      <c r="D107" s="61"/>
      <c r="E107" s="61"/>
      <c r="F107" s="61"/>
      <c r="G107" s="61"/>
      <c r="H107" s="61"/>
      <c r="I107" s="57"/>
      <c r="J107" s="61"/>
      <c r="K107" s="61"/>
      <c r="L107" s="61"/>
      <c r="M107" s="61"/>
      <c r="N107" s="61"/>
      <c r="O107" s="61"/>
    </row>
    <row r="108" spans="1:15">
      <c r="A108" s="60"/>
      <c r="B108" s="60"/>
      <c r="C108" s="60"/>
      <c r="D108" s="61"/>
      <c r="E108" s="61"/>
      <c r="F108" s="61"/>
      <c r="G108" s="61"/>
      <c r="H108" s="61"/>
      <c r="I108" s="57"/>
      <c r="J108" s="61"/>
      <c r="K108" s="61"/>
      <c r="L108" s="61"/>
      <c r="M108" s="61"/>
      <c r="N108" s="61"/>
      <c r="O108" s="61"/>
    </row>
    <row r="109" spans="1:15">
      <c r="A109" s="60"/>
      <c r="B109" s="60"/>
      <c r="C109" s="60"/>
      <c r="D109" s="61"/>
      <c r="E109" s="61"/>
      <c r="F109" s="61"/>
      <c r="G109" s="61"/>
      <c r="H109" s="61"/>
      <c r="I109" s="57"/>
      <c r="J109" s="61"/>
      <c r="K109" s="61"/>
      <c r="L109" s="61"/>
      <c r="M109" s="61"/>
      <c r="N109" s="61"/>
      <c r="O109" s="61"/>
    </row>
    <row r="110" spans="1:15">
      <c r="A110" s="164" t="s">
        <v>0</v>
      </c>
      <c r="B110" s="165"/>
      <c r="C110" s="165"/>
      <c r="D110" s="165"/>
      <c r="E110" s="165"/>
      <c r="F110" s="165"/>
      <c r="G110" s="165"/>
      <c r="H110" s="39">
        <v>160</v>
      </c>
      <c r="I110" s="40" t="s">
        <v>17</v>
      </c>
      <c r="J110" s="63"/>
      <c r="K110" s="64"/>
      <c r="L110" s="63"/>
      <c r="M110" s="63"/>
      <c r="N110" s="63"/>
      <c r="O110" s="63"/>
    </row>
    <row r="111" spans="1:15" ht="17.25" customHeight="1">
      <c r="A111" s="42" t="s">
        <v>1</v>
      </c>
      <c r="B111" s="43"/>
      <c r="C111" s="44">
        <v>0</v>
      </c>
      <c r="D111" s="45">
        <v>7.1</v>
      </c>
      <c r="E111" s="45">
        <v>8.1</v>
      </c>
      <c r="F111" s="46">
        <v>8.4</v>
      </c>
      <c r="G111" s="46">
        <v>9.5</v>
      </c>
      <c r="H111" s="45">
        <v>9.6</v>
      </c>
      <c r="I111" s="47">
        <v>10</v>
      </c>
      <c r="J111" s="47">
        <v>11.1</v>
      </c>
      <c r="K111" s="45">
        <v>14</v>
      </c>
      <c r="L111" s="49">
        <v>14.6</v>
      </c>
      <c r="M111" s="45">
        <v>16.5</v>
      </c>
      <c r="N111" s="47"/>
      <c r="O111" s="50"/>
    </row>
    <row r="112" spans="1:15" ht="17.25" customHeight="1">
      <c r="A112" s="42" t="s">
        <v>2</v>
      </c>
      <c r="B112" s="43"/>
      <c r="C112" s="44">
        <v>96.08</v>
      </c>
      <c r="D112" s="45">
        <v>100.83</v>
      </c>
      <c r="E112" s="45">
        <v>101.5</v>
      </c>
      <c r="F112" s="45">
        <v>101.5</v>
      </c>
      <c r="G112" s="45">
        <v>101.5</v>
      </c>
      <c r="H112" s="45">
        <v>101.5</v>
      </c>
      <c r="I112" s="45">
        <v>101.5</v>
      </c>
      <c r="J112" s="47">
        <v>101.5</v>
      </c>
      <c r="K112" s="45">
        <v>100.04</v>
      </c>
      <c r="L112" s="49">
        <v>99.738</v>
      </c>
      <c r="M112" s="45">
        <v>98.78</v>
      </c>
      <c r="N112" s="47"/>
      <c r="O112" s="51"/>
    </row>
    <row r="113" spans="1:15" ht="17.25" customHeight="1">
      <c r="A113" s="42" t="s">
        <v>1</v>
      </c>
      <c r="B113" s="43"/>
      <c r="C113" s="44">
        <v>0</v>
      </c>
      <c r="D113" s="45">
        <v>7.1</v>
      </c>
      <c r="E113" s="45">
        <v>8.1</v>
      </c>
      <c r="F113" s="46">
        <v>8.4</v>
      </c>
      <c r="G113" s="46">
        <v>9.5</v>
      </c>
      <c r="H113" s="45">
        <v>9.6</v>
      </c>
      <c r="I113" s="47">
        <v>10</v>
      </c>
      <c r="J113" s="47">
        <v>11.1</v>
      </c>
      <c r="K113" s="45">
        <v>14</v>
      </c>
      <c r="L113" s="49">
        <v>14.6</v>
      </c>
      <c r="M113" s="45">
        <v>16.5</v>
      </c>
      <c r="N113" s="47"/>
      <c r="O113" s="50"/>
    </row>
    <row r="114" spans="1:15" ht="17.25" customHeight="1">
      <c r="A114" s="42" t="s">
        <v>3</v>
      </c>
      <c r="B114" s="9"/>
      <c r="C114" s="44">
        <v>96.08</v>
      </c>
      <c r="D114" s="45">
        <v>100.83</v>
      </c>
      <c r="E114" s="45">
        <v>100.998</v>
      </c>
      <c r="F114" s="45">
        <v>101.05</v>
      </c>
      <c r="G114" s="45">
        <v>101.05</v>
      </c>
      <c r="H114" s="45">
        <v>101.05</v>
      </c>
      <c r="I114" s="45">
        <v>101.05</v>
      </c>
      <c r="J114" s="47">
        <v>100.51</v>
      </c>
      <c r="K114" s="45">
        <v>99.084999999999994</v>
      </c>
      <c r="L114" s="49">
        <v>98.79</v>
      </c>
      <c r="M114" s="45">
        <v>98.78</v>
      </c>
      <c r="N114" s="52"/>
      <c r="O114" s="53"/>
    </row>
    <row r="115" spans="1:15" ht="17.25" customHeight="1">
      <c r="A115" s="42" t="s">
        <v>18</v>
      </c>
      <c r="B115" s="9"/>
      <c r="C115" s="47">
        <f t="shared" ref="C115:M115" si="10">C112-C114</f>
        <v>0</v>
      </c>
      <c r="D115" s="47">
        <f t="shared" si="10"/>
        <v>0</v>
      </c>
      <c r="E115" s="47">
        <f t="shared" si="10"/>
        <v>0.50199999999999534</v>
      </c>
      <c r="F115" s="47">
        <f t="shared" si="10"/>
        <v>0.45000000000000284</v>
      </c>
      <c r="G115" s="47">
        <f t="shared" si="10"/>
        <v>0.45000000000000284</v>
      </c>
      <c r="H115" s="47">
        <f t="shared" si="10"/>
        <v>0.45000000000000284</v>
      </c>
      <c r="I115" s="47">
        <f t="shared" si="10"/>
        <v>0.45000000000000284</v>
      </c>
      <c r="J115" s="47">
        <f t="shared" si="10"/>
        <v>0.98999999999999488</v>
      </c>
      <c r="K115" s="47">
        <f t="shared" si="10"/>
        <v>0.95500000000001251</v>
      </c>
      <c r="L115" s="47">
        <f t="shared" si="10"/>
        <v>0.94799999999999329</v>
      </c>
      <c r="M115" s="47">
        <f t="shared" si="10"/>
        <v>0</v>
      </c>
      <c r="N115" s="47"/>
      <c r="O115" s="51"/>
    </row>
    <row r="116" spans="1:15" ht="17.25" customHeight="1">
      <c r="A116" s="42" t="s">
        <v>5</v>
      </c>
      <c r="B116" s="9"/>
      <c r="C116" s="47">
        <f t="shared" ref="C116:M116" si="11">(C115+B115)/2*(C111-B111)</f>
        <v>0</v>
      </c>
      <c r="D116" s="47">
        <f t="shared" si="11"/>
        <v>0</v>
      </c>
      <c r="E116" s="47">
        <f t="shared" si="11"/>
        <v>0.25099999999999767</v>
      </c>
      <c r="F116" s="47">
        <f t="shared" si="11"/>
        <v>0.14280000000000007</v>
      </c>
      <c r="G116" s="47">
        <f t="shared" si="11"/>
        <v>0.49500000000000299</v>
      </c>
      <c r="H116" s="47">
        <f t="shared" si="11"/>
        <v>4.5000000000000123E-2</v>
      </c>
      <c r="I116" s="47">
        <f t="shared" si="11"/>
        <v>0.1800000000000013</v>
      </c>
      <c r="J116" s="47">
        <f t="shared" si="11"/>
        <v>0.79199999999999848</v>
      </c>
      <c r="K116" s="47">
        <f t="shared" si="11"/>
        <v>2.8202500000000112</v>
      </c>
      <c r="L116" s="47">
        <f t="shared" si="11"/>
        <v>0.57090000000000141</v>
      </c>
      <c r="M116" s="47">
        <f t="shared" si="11"/>
        <v>0.90059999999999385</v>
      </c>
      <c r="N116" s="47"/>
      <c r="O116" s="51">
        <f>SUM(C116:N116)</f>
        <v>6.1975500000000068</v>
      </c>
    </row>
    <row r="117" spans="1:15" ht="17.25" customHeight="1">
      <c r="A117" s="54"/>
      <c r="B117" s="54"/>
      <c r="C117" s="54"/>
      <c r="D117" s="55"/>
      <c r="E117" s="55"/>
      <c r="F117" s="56"/>
      <c r="G117" s="56"/>
      <c r="H117" s="56"/>
      <c r="I117" s="57"/>
      <c r="K117" s="161" t="s">
        <v>19</v>
      </c>
      <c r="L117" s="162"/>
      <c r="M117" s="162"/>
      <c r="N117" s="163"/>
      <c r="O117" s="59">
        <f>O116</f>
        <v>6.1975500000000068</v>
      </c>
    </row>
    <row r="118" spans="1:15">
      <c r="A118" s="60"/>
      <c r="B118" s="60"/>
      <c r="C118" s="60"/>
      <c r="D118" s="61"/>
      <c r="E118" s="61"/>
      <c r="F118" s="61"/>
      <c r="G118" s="61"/>
      <c r="H118" s="61"/>
      <c r="I118" s="57"/>
      <c r="J118" s="61"/>
      <c r="K118" s="61"/>
      <c r="L118" s="61"/>
      <c r="M118" s="61"/>
      <c r="N118" s="61"/>
      <c r="O118" s="61"/>
    </row>
    <row r="119" spans="1:15">
      <c r="A119" s="60"/>
      <c r="B119" s="60"/>
      <c r="C119" s="60"/>
      <c r="D119" s="61"/>
      <c r="E119" s="61"/>
      <c r="F119" s="61"/>
      <c r="G119" s="61"/>
      <c r="H119" s="61"/>
      <c r="I119" s="57"/>
      <c r="J119" s="61"/>
      <c r="K119" s="61"/>
      <c r="L119" s="61"/>
      <c r="M119" s="61"/>
      <c r="N119" s="61"/>
      <c r="O119" s="61"/>
    </row>
    <row r="120" spans="1:15">
      <c r="A120" s="60"/>
      <c r="B120" s="60"/>
      <c r="C120" s="60"/>
      <c r="D120" s="61"/>
      <c r="E120" s="61"/>
      <c r="F120" s="61"/>
      <c r="G120" s="61"/>
      <c r="H120" s="61"/>
      <c r="I120" s="57"/>
      <c r="J120" s="61"/>
      <c r="K120" s="61"/>
      <c r="L120" s="61"/>
      <c r="M120" s="61"/>
      <c r="N120" s="61"/>
      <c r="O120" s="61"/>
    </row>
    <row r="121" spans="1:15">
      <c r="A121" s="60"/>
      <c r="B121" s="60"/>
      <c r="C121" s="60"/>
      <c r="D121" s="61"/>
      <c r="E121" s="61"/>
      <c r="F121" s="61"/>
      <c r="G121" s="61"/>
      <c r="H121" s="61"/>
      <c r="I121" s="57"/>
      <c r="J121" s="61"/>
      <c r="K121" s="61"/>
      <c r="L121" s="61"/>
      <c r="M121" s="61"/>
      <c r="N121" s="61"/>
      <c r="O121" s="61"/>
    </row>
    <row r="122" spans="1:15">
      <c r="A122" s="60"/>
      <c r="B122" s="60"/>
      <c r="C122" s="60"/>
      <c r="D122" s="61"/>
      <c r="E122" s="61"/>
      <c r="F122" s="61"/>
      <c r="G122" s="61"/>
      <c r="H122" s="61"/>
      <c r="I122" s="57"/>
      <c r="J122" s="61"/>
      <c r="K122" s="61"/>
      <c r="L122" s="61"/>
      <c r="M122" s="76" t="s">
        <v>22</v>
      </c>
      <c r="N122" s="76">
        <v>101.58</v>
      </c>
      <c r="O122" s="61"/>
    </row>
    <row r="123" spans="1:15">
      <c r="A123" s="60"/>
      <c r="B123" s="60"/>
      <c r="C123" s="60"/>
      <c r="D123" s="61"/>
      <c r="E123" s="61"/>
      <c r="F123" s="61"/>
      <c r="G123" s="61"/>
      <c r="H123" s="61"/>
      <c r="I123" s="57"/>
      <c r="J123" s="61"/>
      <c r="K123" s="61"/>
      <c r="L123" s="61"/>
      <c r="M123" s="76" t="s">
        <v>23</v>
      </c>
      <c r="N123" s="76">
        <v>100.36</v>
      </c>
      <c r="O123" s="61"/>
    </row>
    <row r="124" spans="1:15">
      <c r="A124" s="60"/>
      <c r="B124" s="60"/>
      <c r="C124" s="60"/>
      <c r="D124" s="61"/>
      <c r="E124" s="61"/>
      <c r="F124" s="61"/>
      <c r="G124" s="61"/>
      <c r="H124" s="61"/>
      <c r="I124" s="57"/>
      <c r="J124" s="61"/>
      <c r="K124" s="61"/>
      <c r="L124" s="61"/>
      <c r="M124" s="76" t="s">
        <v>24</v>
      </c>
      <c r="N124" s="76">
        <v>100</v>
      </c>
      <c r="O124" s="61"/>
    </row>
    <row r="125" spans="1:15">
      <c r="A125" s="60"/>
      <c r="B125" s="60"/>
      <c r="C125" s="60"/>
      <c r="D125" s="61"/>
      <c r="E125" s="61"/>
      <c r="F125" s="61"/>
      <c r="G125" s="61"/>
      <c r="H125" s="61"/>
      <c r="I125" s="57"/>
      <c r="J125" s="61"/>
      <c r="K125" s="61"/>
      <c r="L125" s="61"/>
      <c r="M125" s="76" t="s">
        <v>25</v>
      </c>
      <c r="N125" s="76">
        <v>99.34</v>
      </c>
      <c r="O125" s="61"/>
    </row>
    <row r="126" spans="1:15">
      <c r="A126" s="60"/>
      <c r="B126" s="60"/>
      <c r="C126" s="60"/>
      <c r="D126" s="61"/>
      <c r="E126" s="61"/>
      <c r="F126" s="61"/>
      <c r="G126" s="61"/>
      <c r="H126" s="61"/>
      <c r="I126" s="57"/>
      <c r="J126" s="61"/>
      <c r="K126" s="61"/>
      <c r="L126" s="61"/>
      <c r="M126" s="61"/>
      <c r="N126" s="61"/>
      <c r="O126" s="61"/>
    </row>
    <row r="127" spans="1:15">
      <c r="A127" s="60"/>
      <c r="B127" s="60"/>
      <c r="C127" s="60"/>
      <c r="D127" s="61"/>
      <c r="E127" s="61"/>
      <c r="F127" s="61"/>
      <c r="G127" s="61"/>
      <c r="H127" s="61"/>
      <c r="I127" s="57"/>
      <c r="J127" s="61"/>
      <c r="K127" s="61"/>
      <c r="L127" s="61"/>
      <c r="M127" s="61"/>
      <c r="N127" s="61"/>
      <c r="O127" s="61"/>
    </row>
    <row r="128" spans="1:15">
      <c r="A128" s="60"/>
      <c r="B128" s="60"/>
      <c r="C128" s="60"/>
      <c r="D128" s="61"/>
      <c r="E128" s="61"/>
      <c r="F128" s="61"/>
      <c r="G128" s="61"/>
      <c r="H128" s="61"/>
      <c r="I128" s="57"/>
      <c r="J128" s="61"/>
      <c r="K128" s="61"/>
      <c r="L128" s="61"/>
      <c r="M128" s="61"/>
      <c r="N128" s="61"/>
      <c r="O128" s="61"/>
    </row>
    <row r="129" spans="1:15">
      <c r="A129" s="60"/>
      <c r="B129" s="60"/>
      <c r="C129" s="60"/>
      <c r="D129" s="61"/>
      <c r="E129" s="61"/>
      <c r="F129" s="61"/>
      <c r="G129" s="61"/>
      <c r="H129" s="61"/>
      <c r="I129" s="57"/>
      <c r="J129" s="61"/>
      <c r="K129" s="61"/>
      <c r="L129" s="61"/>
      <c r="M129" s="61"/>
      <c r="N129" s="61"/>
      <c r="O129" s="61"/>
    </row>
    <row r="130" spans="1:15">
      <c r="A130" s="60"/>
      <c r="B130" s="60"/>
      <c r="C130" s="60"/>
      <c r="D130" s="61"/>
      <c r="E130" s="61"/>
      <c r="F130" s="61"/>
      <c r="G130" s="61"/>
      <c r="H130" s="61"/>
      <c r="I130" s="57"/>
      <c r="J130" s="61"/>
      <c r="K130" s="61"/>
      <c r="L130" s="61"/>
      <c r="M130" s="61"/>
      <c r="N130" s="61"/>
      <c r="O130" s="61"/>
    </row>
    <row r="131" spans="1:15">
      <c r="A131" s="60"/>
      <c r="B131" s="60"/>
      <c r="C131" s="60"/>
      <c r="D131" s="61"/>
      <c r="E131" s="61"/>
      <c r="F131" s="61"/>
      <c r="G131" s="61"/>
      <c r="H131" s="61"/>
      <c r="I131" s="57"/>
      <c r="J131" s="61"/>
      <c r="K131" s="61"/>
      <c r="L131" s="61"/>
      <c r="M131" s="61"/>
      <c r="N131" s="61"/>
      <c r="O131" s="61"/>
    </row>
    <row r="132" spans="1:15">
      <c r="A132" s="60"/>
      <c r="B132" s="60"/>
      <c r="C132" s="60"/>
      <c r="D132" s="61"/>
      <c r="E132" s="61"/>
      <c r="F132" s="61"/>
      <c r="G132" s="61"/>
      <c r="H132" s="61"/>
      <c r="I132" s="57"/>
      <c r="J132" s="61"/>
      <c r="K132" s="61"/>
      <c r="L132" s="61"/>
      <c r="M132" s="61"/>
      <c r="N132" s="61"/>
      <c r="O132" s="61"/>
    </row>
    <row r="133" spans="1:15">
      <c r="A133" s="60"/>
      <c r="B133" s="60"/>
      <c r="C133" s="60"/>
      <c r="D133" s="61"/>
      <c r="E133" s="61"/>
      <c r="F133" s="61"/>
      <c r="G133" s="61"/>
      <c r="H133" s="61"/>
      <c r="I133" s="57"/>
      <c r="J133" s="61"/>
      <c r="K133" s="61"/>
      <c r="L133" s="61"/>
      <c r="M133" s="61"/>
      <c r="N133" s="61"/>
      <c r="O133" s="61"/>
    </row>
    <row r="134" spans="1:15">
      <c r="A134" s="60"/>
      <c r="B134" s="60"/>
      <c r="C134" s="60"/>
      <c r="D134" s="61"/>
      <c r="E134" s="61"/>
      <c r="F134" s="61"/>
      <c r="G134" s="61"/>
      <c r="H134" s="61"/>
      <c r="I134" s="57"/>
      <c r="J134" s="61"/>
      <c r="K134" s="61"/>
      <c r="L134" s="61"/>
      <c r="M134" s="61"/>
      <c r="N134" s="61"/>
      <c r="O134" s="61"/>
    </row>
    <row r="135" spans="1:15">
      <c r="A135" s="164" t="s">
        <v>0</v>
      </c>
      <c r="B135" s="165"/>
      <c r="C135" s="165"/>
      <c r="D135" s="165"/>
      <c r="E135" s="165"/>
      <c r="F135" s="165"/>
      <c r="G135" s="165"/>
      <c r="H135" s="39">
        <v>200</v>
      </c>
      <c r="I135" s="40" t="s">
        <v>17</v>
      </c>
      <c r="J135" s="63"/>
      <c r="K135" s="64"/>
      <c r="L135" s="63"/>
      <c r="M135" s="63"/>
      <c r="N135" s="63"/>
      <c r="O135" s="63"/>
    </row>
    <row r="136" spans="1:15" ht="17.25" customHeight="1">
      <c r="A136" s="42" t="s">
        <v>1</v>
      </c>
      <c r="B136" s="43"/>
      <c r="C136" s="44">
        <v>0</v>
      </c>
      <c r="D136" s="45">
        <v>5.0999999999999996</v>
      </c>
      <c r="E136" s="45">
        <v>6.8</v>
      </c>
      <c r="F136" s="46">
        <v>7.1</v>
      </c>
      <c r="G136" s="46">
        <v>8.3000000000000007</v>
      </c>
      <c r="H136" s="45">
        <v>8.4</v>
      </c>
      <c r="I136" s="47">
        <v>9.1</v>
      </c>
      <c r="J136" s="47">
        <v>9.8000000000000007</v>
      </c>
      <c r="K136" s="45">
        <v>13.8</v>
      </c>
      <c r="L136" s="49">
        <v>14</v>
      </c>
      <c r="M136" s="45">
        <v>16.100000000000001</v>
      </c>
      <c r="N136" s="47"/>
      <c r="O136" s="50"/>
    </row>
    <row r="137" spans="1:15" ht="17.25" customHeight="1">
      <c r="A137" s="42" t="s">
        <v>2</v>
      </c>
      <c r="B137" s="43"/>
      <c r="C137" s="44">
        <v>96.95</v>
      </c>
      <c r="D137" s="45">
        <v>100.36</v>
      </c>
      <c r="E137" s="45">
        <v>101.5</v>
      </c>
      <c r="F137" s="45">
        <v>101.5</v>
      </c>
      <c r="G137" s="45">
        <v>101.5</v>
      </c>
      <c r="H137" s="45">
        <v>101.5</v>
      </c>
      <c r="I137" s="45">
        <v>101.5</v>
      </c>
      <c r="J137" s="47">
        <v>101.5</v>
      </c>
      <c r="K137" s="45">
        <v>99.5</v>
      </c>
      <c r="L137" s="49">
        <v>99.4</v>
      </c>
      <c r="M137" s="45">
        <v>98.35</v>
      </c>
      <c r="N137" s="47"/>
      <c r="O137" s="51"/>
    </row>
    <row r="138" spans="1:15" ht="17.25" customHeight="1">
      <c r="A138" s="42" t="s">
        <v>1</v>
      </c>
      <c r="B138" s="43"/>
      <c r="C138" s="44">
        <v>0</v>
      </c>
      <c r="D138" s="45">
        <v>5.0999999999999996</v>
      </c>
      <c r="E138" s="45">
        <v>6.8</v>
      </c>
      <c r="F138" s="46">
        <v>7.1</v>
      </c>
      <c r="G138" s="46">
        <v>8.3000000000000007</v>
      </c>
      <c r="H138" s="45">
        <v>8.4</v>
      </c>
      <c r="I138" s="47">
        <v>9.1</v>
      </c>
      <c r="J138" s="47">
        <v>9.8000000000000007</v>
      </c>
      <c r="K138" s="45">
        <v>13.8</v>
      </c>
      <c r="L138" s="49">
        <v>14</v>
      </c>
      <c r="M138" s="45">
        <v>16.100000000000001</v>
      </c>
      <c r="N138" s="47"/>
      <c r="O138" s="50"/>
    </row>
    <row r="139" spans="1:15" ht="17.25" customHeight="1">
      <c r="A139" s="42" t="s">
        <v>3</v>
      </c>
      <c r="B139" s="9"/>
      <c r="C139" s="44">
        <v>96.95</v>
      </c>
      <c r="D139" s="45">
        <v>100.36</v>
      </c>
      <c r="E139" s="45">
        <v>100.904</v>
      </c>
      <c r="F139" s="45">
        <v>101</v>
      </c>
      <c r="G139" s="45">
        <v>101</v>
      </c>
      <c r="H139" s="45">
        <v>101</v>
      </c>
      <c r="I139" s="45">
        <v>101</v>
      </c>
      <c r="J139" s="47">
        <v>100.605</v>
      </c>
      <c r="K139" s="45">
        <v>98.35</v>
      </c>
      <c r="L139" s="49">
        <v>98.35</v>
      </c>
      <c r="M139" s="45">
        <v>98.35</v>
      </c>
      <c r="N139" s="52"/>
      <c r="O139" s="53"/>
    </row>
    <row r="140" spans="1:15" ht="17.25" customHeight="1">
      <c r="A140" s="42" t="s">
        <v>18</v>
      </c>
      <c r="B140" s="9"/>
      <c r="C140" s="47">
        <f t="shared" ref="C140:M140" si="12">C137-C139</f>
        <v>0</v>
      </c>
      <c r="D140" s="47">
        <f t="shared" si="12"/>
        <v>0</v>
      </c>
      <c r="E140" s="47">
        <f t="shared" si="12"/>
        <v>0.59600000000000364</v>
      </c>
      <c r="F140" s="47">
        <f t="shared" si="12"/>
        <v>0.5</v>
      </c>
      <c r="G140" s="47">
        <f t="shared" si="12"/>
        <v>0.5</v>
      </c>
      <c r="H140" s="47">
        <f t="shared" si="12"/>
        <v>0.5</v>
      </c>
      <c r="I140" s="47">
        <f t="shared" si="12"/>
        <v>0.5</v>
      </c>
      <c r="J140" s="47">
        <f t="shared" si="12"/>
        <v>0.89499999999999602</v>
      </c>
      <c r="K140" s="47">
        <f t="shared" si="12"/>
        <v>1.1500000000000057</v>
      </c>
      <c r="L140" s="47">
        <f t="shared" si="12"/>
        <v>1.0500000000000114</v>
      </c>
      <c r="M140" s="47">
        <f t="shared" si="12"/>
        <v>0</v>
      </c>
      <c r="N140" s="47"/>
      <c r="O140" s="51"/>
    </row>
    <row r="141" spans="1:15" ht="17.25" customHeight="1">
      <c r="A141" s="42" t="s">
        <v>5</v>
      </c>
      <c r="B141" s="9"/>
      <c r="C141" s="47">
        <f t="shared" ref="C141:M141" si="13">(C140+B140)/2*(C136-B136)</f>
        <v>0</v>
      </c>
      <c r="D141" s="47">
        <f t="shared" si="13"/>
        <v>0</v>
      </c>
      <c r="E141" s="47">
        <f t="shared" si="13"/>
        <v>0.50660000000000316</v>
      </c>
      <c r="F141" s="47">
        <f t="shared" si="13"/>
        <v>0.16440000000000043</v>
      </c>
      <c r="G141" s="47">
        <f t="shared" si="13"/>
        <v>0.60000000000000053</v>
      </c>
      <c r="H141" s="47">
        <f t="shared" si="13"/>
        <v>4.9999999999999822E-2</v>
      </c>
      <c r="I141" s="47">
        <f t="shared" si="13"/>
        <v>0.34999999999999964</v>
      </c>
      <c r="J141" s="47">
        <f t="shared" si="13"/>
        <v>0.48824999999999935</v>
      </c>
      <c r="K141" s="47">
        <f t="shared" si="13"/>
        <v>4.0900000000000034</v>
      </c>
      <c r="L141" s="47">
        <f t="shared" si="13"/>
        <v>0.22000000000000092</v>
      </c>
      <c r="M141" s="47">
        <f t="shared" si="13"/>
        <v>1.1025000000000127</v>
      </c>
      <c r="N141" s="47"/>
      <c r="O141" s="51">
        <f>SUM(C141:N141)</f>
        <v>7.5717500000000193</v>
      </c>
    </row>
    <row r="142" spans="1:15" ht="17.25" customHeight="1">
      <c r="A142" s="54"/>
      <c r="B142" s="54"/>
      <c r="C142" s="54"/>
      <c r="D142" s="55"/>
      <c r="E142" s="55"/>
      <c r="F142" s="56"/>
      <c r="G142" s="56"/>
      <c r="H142" s="56"/>
      <c r="I142" s="57"/>
      <c r="K142" s="161" t="s">
        <v>19</v>
      </c>
      <c r="L142" s="162"/>
      <c r="M142" s="162"/>
      <c r="N142" s="163"/>
      <c r="O142" s="59">
        <f>O141</f>
        <v>7.5717500000000193</v>
      </c>
    </row>
    <row r="143" spans="1:15">
      <c r="A143" s="60"/>
      <c r="B143" s="60"/>
      <c r="C143" s="60"/>
      <c r="D143" s="61"/>
      <c r="E143" s="61"/>
      <c r="F143" s="61"/>
      <c r="G143" s="61"/>
      <c r="H143" s="61"/>
      <c r="I143" s="57"/>
      <c r="J143" s="61"/>
      <c r="K143" s="61"/>
      <c r="L143" s="61"/>
      <c r="M143" s="61"/>
      <c r="N143" s="61"/>
      <c r="O143" s="61"/>
    </row>
    <row r="144" spans="1:15">
      <c r="A144" s="60"/>
      <c r="B144" s="60"/>
      <c r="C144" s="60"/>
      <c r="D144" s="61"/>
      <c r="E144" s="61"/>
      <c r="F144" s="61"/>
      <c r="G144" s="61"/>
      <c r="H144" s="61"/>
      <c r="I144" s="57"/>
      <c r="J144" s="61"/>
      <c r="K144" s="61"/>
      <c r="L144" s="61"/>
      <c r="M144" s="61"/>
      <c r="N144" s="61"/>
      <c r="O144" s="61"/>
    </row>
    <row r="145" spans="1:15">
      <c r="A145" s="60"/>
      <c r="B145" s="60"/>
      <c r="C145" s="60"/>
      <c r="D145" s="61"/>
      <c r="E145" s="61"/>
      <c r="F145" s="61"/>
      <c r="G145" s="61"/>
      <c r="H145" s="61"/>
      <c r="I145" s="57"/>
      <c r="J145" s="61"/>
      <c r="K145" s="61"/>
      <c r="L145" s="61"/>
      <c r="M145" s="61"/>
      <c r="N145" s="61"/>
      <c r="O145" s="61"/>
    </row>
    <row r="146" spans="1:15">
      <c r="A146" s="60"/>
      <c r="B146" s="60"/>
      <c r="C146" s="60"/>
      <c r="D146" s="61"/>
      <c r="E146" s="61"/>
      <c r="F146" s="61"/>
      <c r="G146" s="61"/>
      <c r="H146" s="61"/>
      <c r="I146" s="57"/>
      <c r="J146" s="61"/>
      <c r="K146" s="61"/>
      <c r="L146" s="61"/>
      <c r="M146" s="61"/>
      <c r="N146" s="61"/>
      <c r="O146" s="61"/>
    </row>
    <row r="147" spans="1:15">
      <c r="A147" s="60"/>
      <c r="B147" s="60"/>
      <c r="C147" s="60"/>
      <c r="D147" s="61"/>
      <c r="E147" s="61"/>
      <c r="F147" s="61"/>
      <c r="G147" s="61"/>
      <c r="H147" s="61"/>
      <c r="I147" s="57"/>
      <c r="J147" s="61"/>
      <c r="K147" s="61"/>
      <c r="L147" s="61"/>
      <c r="M147" s="61"/>
      <c r="N147" s="61"/>
      <c r="O147" s="61"/>
    </row>
    <row r="148" spans="1:15">
      <c r="A148" s="60"/>
      <c r="B148" s="60"/>
      <c r="C148" s="60"/>
      <c r="D148" s="61"/>
      <c r="E148" s="61"/>
      <c r="F148" s="61"/>
      <c r="G148" s="61"/>
      <c r="H148" s="61"/>
      <c r="I148" s="57"/>
      <c r="J148" s="61"/>
      <c r="K148" s="61"/>
      <c r="L148" s="61"/>
      <c r="M148" s="76" t="s">
        <v>22</v>
      </c>
      <c r="N148" s="76">
        <v>101.58</v>
      </c>
      <c r="O148" s="61"/>
    </row>
    <row r="149" spans="1:15">
      <c r="A149" s="60"/>
      <c r="B149" s="60"/>
      <c r="C149" s="60"/>
      <c r="D149" s="61"/>
      <c r="E149" s="61"/>
      <c r="F149" s="61"/>
      <c r="G149" s="61"/>
      <c r="H149" s="61"/>
      <c r="I149" s="57"/>
      <c r="J149" s="61"/>
      <c r="K149" s="61"/>
      <c r="L149" s="61"/>
      <c r="M149" s="76" t="s">
        <v>23</v>
      </c>
      <c r="N149" s="76">
        <v>100.36</v>
      </c>
      <c r="O149" s="61"/>
    </row>
    <row r="150" spans="1:15">
      <c r="A150" s="60"/>
      <c r="B150" s="60"/>
      <c r="C150" s="60"/>
      <c r="D150" s="61"/>
      <c r="E150" s="61"/>
      <c r="F150" s="61"/>
      <c r="G150" s="61"/>
      <c r="H150" s="61"/>
      <c r="I150" s="57"/>
      <c r="J150" s="61"/>
      <c r="K150" s="61"/>
      <c r="L150" s="61"/>
      <c r="M150" s="76" t="s">
        <v>24</v>
      </c>
      <c r="N150" s="76">
        <v>100</v>
      </c>
      <c r="O150" s="61"/>
    </row>
    <row r="151" spans="1:15">
      <c r="A151" s="60"/>
      <c r="B151" s="60"/>
      <c r="C151" s="60"/>
      <c r="D151" s="61"/>
      <c r="E151" s="61"/>
      <c r="F151" s="61"/>
      <c r="G151" s="61"/>
      <c r="H151" s="61"/>
      <c r="I151" s="57"/>
      <c r="J151" s="61"/>
      <c r="K151" s="61"/>
      <c r="L151" s="61"/>
      <c r="M151" s="76" t="s">
        <v>25</v>
      </c>
      <c r="N151" s="76">
        <v>99.34</v>
      </c>
      <c r="O151" s="61"/>
    </row>
    <row r="152" spans="1:15">
      <c r="A152" s="60"/>
      <c r="B152" s="60"/>
      <c r="C152" s="60"/>
      <c r="D152" s="61"/>
      <c r="E152" s="61"/>
      <c r="F152" s="61"/>
      <c r="G152" s="61"/>
      <c r="H152" s="61"/>
      <c r="I152" s="57"/>
      <c r="J152" s="61"/>
      <c r="K152" s="61"/>
      <c r="L152" s="61"/>
      <c r="M152" s="61"/>
      <c r="N152" s="61"/>
      <c r="O152" s="61"/>
    </row>
    <row r="153" spans="1:15">
      <c r="A153" s="60"/>
      <c r="B153" s="60"/>
      <c r="C153" s="60"/>
      <c r="D153" s="61"/>
      <c r="E153" s="61"/>
      <c r="F153" s="61"/>
      <c r="G153" s="61"/>
      <c r="H153" s="61"/>
      <c r="I153" s="57"/>
      <c r="J153" s="61"/>
      <c r="K153" s="61"/>
      <c r="L153" s="61"/>
      <c r="M153" s="61"/>
      <c r="N153" s="61"/>
      <c r="O153" s="61"/>
    </row>
    <row r="154" spans="1:15">
      <c r="A154" s="60"/>
      <c r="B154" s="60"/>
      <c r="C154" s="60"/>
      <c r="D154" s="61"/>
      <c r="E154" s="61"/>
      <c r="F154" s="61"/>
      <c r="G154" s="61"/>
      <c r="H154" s="61"/>
      <c r="I154" s="57"/>
      <c r="J154" s="61"/>
      <c r="K154" s="61"/>
      <c r="L154" s="61"/>
      <c r="M154" s="61"/>
      <c r="N154" s="61"/>
      <c r="O154" s="61"/>
    </row>
    <row r="155" spans="1:15">
      <c r="A155" s="60"/>
      <c r="B155" s="60"/>
      <c r="C155" s="60"/>
      <c r="D155" s="61"/>
      <c r="E155" s="61"/>
      <c r="F155" s="61"/>
      <c r="G155" s="61"/>
      <c r="H155" s="61"/>
      <c r="I155" s="57"/>
      <c r="J155" s="61"/>
      <c r="K155" s="61"/>
      <c r="L155" s="61"/>
      <c r="M155" s="61"/>
      <c r="N155" s="61"/>
      <c r="O155" s="61"/>
    </row>
    <row r="156" spans="1:15">
      <c r="A156" s="60"/>
      <c r="B156" s="60"/>
      <c r="C156" s="60"/>
      <c r="D156" s="61"/>
      <c r="E156" s="61"/>
      <c r="F156" s="61"/>
      <c r="G156" s="61"/>
      <c r="H156" s="61"/>
      <c r="I156" s="57"/>
      <c r="J156" s="61"/>
      <c r="K156" s="61"/>
      <c r="L156" s="61"/>
      <c r="M156" s="61"/>
      <c r="N156" s="61"/>
      <c r="O156" s="61"/>
    </row>
    <row r="157" spans="1:15">
      <c r="A157" s="60"/>
      <c r="B157" s="60"/>
      <c r="C157" s="60"/>
      <c r="D157" s="61"/>
      <c r="E157" s="61"/>
      <c r="F157" s="61"/>
      <c r="G157" s="61"/>
      <c r="H157" s="61"/>
      <c r="I157" s="57"/>
      <c r="J157" s="61"/>
      <c r="K157" s="61"/>
      <c r="L157" s="61"/>
      <c r="M157" s="61"/>
      <c r="N157" s="61"/>
      <c r="O157" s="61"/>
    </row>
    <row r="158" spans="1:15">
      <c r="A158" s="60"/>
      <c r="B158" s="60"/>
      <c r="C158" s="60"/>
      <c r="D158" s="61"/>
      <c r="E158" s="61"/>
      <c r="F158" s="61"/>
      <c r="G158" s="61"/>
      <c r="H158" s="61"/>
      <c r="I158" s="57"/>
      <c r="J158" s="61"/>
      <c r="K158" s="61"/>
      <c r="L158" s="61"/>
      <c r="M158" s="61"/>
      <c r="N158" s="61"/>
      <c r="O158" s="61"/>
    </row>
    <row r="159" spans="1:15">
      <c r="A159" s="60"/>
      <c r="B159" s="60"/>
      <c r="C159" s="60"/>
      <c r="D159" s="61"/>
      <c r="E159" s="61"/>
      <c r="F159" s="61"/>
      <c r="G159" s="61"/>
      <c r="H159" s="61"/>
      <c r="I159" s="57"/>
      <c r="J159" s="61"/>
      <c r="K159" s="61"/>
      <c r="L159" s="61"/>
      <c r="M159" s="61"/>
      <c r="N159" s="61"/>
      <c r="O159" s="61"/>
    </row>
    <row r="160" spans="1:15">
      <c r="A160" s="60"/>
      <c r="B160" s="60"/>
      <c r="C160" s="60"/>
      <c r="D160" s="61"/>
      <c r="E160" s="61"/>
      <c r="F160" s="61"/>
      <c r="G160" s="61"/>
      <c r="H160" s="61"/>
      <c r="I160" s="57"/>
      <c r="J160" s="61"/>
      <c r="K160" s="61"/>
      <c r="L160" s="61"/>
      <c r="M160" s="61"/>
      <c r="N160" s="61"/>
      <c r="O160" s="61"/>
    </row>
    <row r="161" spans="1:15">
      <c r="A161" s="60"/>
      <c r="B161" s="60"/>
      <c r="C161" s="60"/>
      <c r="D161" s="61"/>
      <c r="E161" s="61"/>
      <c r="F161" s="61"/>
      <c r="G161" s="61"/>
      <c r="H161" s="61"/>
      <c r="I161" s="57"/>
      <c r="J161" s="61"/>
      <c r="K161" s="61"/>
      <c r="L161" s="61"/>
      <c r="M161" s="61"/>
      <c r="N161" s="61"/>
      <c r="O161" s="61"/>
    </row>
    <row r="162" spans="1:15">
      <c r="A162" s="60"/>
      <c r="B162" s="60"/>
      <c r="C162" s="60"/>
      <c r="D162" s="61"/>
      <c r="E162" s="61"/>
      <c r="F162" s="61"/>
      <c r="G162" s="61"/>
      <c r="H162" s="61"/>
      <c r="I162" s="57"/>
      <c r="J162" s="61"/>
      <c r="K162" s="61"/>
      <c r="L162" s="61"/>
      <c r="M162" s="61"/>
      <c r="N162" s="61"/>
      <c r="O162" s="61"/>
    </row>
    <row r="163" spans="1:15">
      <c r="A163" s="60"/>
      <c r="B163" s="60"/>
      <c r="C163" s="60"/>
      <c r="D163" s="61"/>
      <c r="E163" s="61"/>
      <c r="F163" s="61"/>
      <c r="G163" s="61"/>
      <c r="H163" s="61"/>
      <c r="I163" s="57"/>
      <c r="J163" s="61"/>
      <c r="K163" s="61"/>
      <c r="L163" s="61"/>
      <c r="M163" s="61"/>
      <c r="N163" s="61"/>
      <c r="O163" s="61"/>
    </row>
    <row r="164" spans="1:15">
      <c r="A164" s="60"/>
      <c r="B164" s="60"/>
      <c r="C164" s="60"/>
      <c r="D164" s="61"/>
      <c r="E164" s="61"/>
      <c r="F164" s="61"/>
      <c r="G164" s="61"/>
      <c r="H164" s="61"/>
      <c r="I164" s="57"/>
      <c r="J164" s="61"/>
      <c r="K164" s="61"/>
      <c r="L164" s="61"/>
      <c r="M164" s="61"/>
      <c r="N164" s="61"/>
      <c r="O164" s="61"/>
    </row>
    <row r="165" spans="1:15">
      <c r="A165" s="60"/>
      <c r="B165" s="60"/>
      <c r="C165" s="60"/>
      <c r="D165" s="61"/>
      <c r="E165" s="61"/>
      <c r="F165" s="61"/>
      <c r="G165" s="61"/>
      <c r="H165" s="61"/>
      <c r="I165" s="57"/>
      <c r="J165" s="61"/>
      <c r="K165" s="61"/>
      <c r="L165" s="61"/>
      <c r="M165" s="61"/>
      <c r="N165" s="61"/>
      <c r="O165" s="61"/>
    </row>
    <row r="166" spans="1:15">
      <c r="A166" s="60"/>
      <c r="B166" s="60"/>
      <c r="C166" s="60"/>
      <c r="D166" s="61"/>
      <c r="E166" s="61"/>
      <c r="F166" s="61"/>
      <c r="G166" s="61"/>
      <c r="H166" s="61"/>
      <c r="I166" s="57"/>
      <c r="J166" s="61"/>
      <c r="K166" s="61"/>
      <c r="L166" s="61"/>
      <c r="M166" s="61"/>
      <c r="N166" s="61"/>
      <c r="O166" s="61"/>
    </row>
    <row r="167" spans="1:15">
      <c r="A167" s="60"/>
      <c r="B167" s="60"/>
      <c r="C167" s="60"/>
      <c r="D167" s="61"/>
      <c r="E167" s="61"/>
      <c r="F167" s="61"/>
      <c r="G167" s="61"/>
      <c r="H167" s="61"/>
      <c r="I167" s="57"/>
      <c r="J167" s="61"/>
      <c r="K167" s="61"/>
      <c r="L167" s="61"/>
      <c r="M167" s="61"/>
      <c r="N167" s="61"/>
      <c r="O167" s="61"/>
    </row>
    <row r="168" spans="1:15">
      <c r="A168" s="60"/>
      <c r="B168" s="60"/>
      <c r="C168" s="60"/>
      <c r="D168" s="61"/>
      <c r="E168" s="61"/>
      <c r="F168" s="61"/>
      <c r="G168" s="61"/>
      <c r="H168" s="61"/>
      <c r="I168" s="57"/>
      <c r="J168" s="61"/>
      <c r="K168" s="61"/>
      <c r="L168" s="61"/>
      <c r="M168" s="61"/>
      <c r="N168" s="61"/>
      <c r="O168" s="61"/>
    </row>
    <row r="169" spans="1:15">
      <c r="A169" s="60"/>
      <c r="B169" s="60"/>
      <c r="C169" s="60"/>
      <c r="D169" s="61"/>
      <c r="E169" s="61"/>
      <c r="F169" s="61"/>
      <c r="G169" s="61"/>
      <c r="H169" s="61"/>
      <c r="I169" s="57"/>
      <c r="J169" s="61"/>
      <c r="K169" s="61"/>
      <c r="L169" s="61"/>
      <c r="M169" s="61"/>
      <c r="N169" s="61"/>
      <c r="O169" s="61"/>
    </row>
    <row r="170" spans="1:15">
      <c r="A170" s="60"/>
      <c r="B170" s="60"/>
      <c r="C170" s="60"/>
      <c r="D170" s="61"/>
      <c r="E170" s="61"/>
      <c r="F170" s="61"/>
      <c r="G170" s="61"/>
      <c r="H170" s="61"/>
      <c r="I170" s="57"/>
      <c r="J170" s="61"/>
      <c r="K170" s="61"/>
      <c r="L170" s="61"/>
      <c r="M170" s="61"/>
      <c r="N170" s="61"/>
      <c r="O170" s="61"/>
    </row>
    <row r="171" spans="1:15">
      <c r="A171" s="164" t="s">
        <v>0</v>
      </c>
      <c r="B171" s="165"/>
      <c r="C171" s="165"/>
      <c r="D171" s="165"/>
      <c r="E171" s="165"/>
      <c r="F171" s="165"/>
      <c r="G171" s="165"/>
      <c r="H171" s="39">
        <v>240</v>
      </c>
      <c r="I171" s="40" t="s">
        <v>17</v>
      </c>
      <c r="J171" s="63"/>
      <c r="K171" s="64"/>
      <c r="L171" s="63"/>
      <c r="M171" s="63"/>
      <c r="N171" s="63"/>
      <c r="O171" s="63"/>
    </row>
    <row r="172" spans="1:15" ht="17.25" customHeight="1">
      <c r="A172" s="42" t="s">
        <v>1</v>
      </c>
      <c r="B172" s="43"/>
      <c r="C172" s="43"/>
      <c r="D172" s="44">
        <v>0</v>
      </c>
      <c r="E172" s="45">
        <v>4.2</v>
      </c>
      <c r="F172" s="45">
        <v>5.7</v>
      </c>
      <c r="G172" s="46">
        <v>6</v>
      </c>
      <c r="H172" s="46">
        <v>7.1</v>
      </c>
      <c r="I172" s="45">
        <v>7.2</v>
      </c>
      <c r="J172" s="47">
        <v>8</v>
      </c>
      <c r="K172" s="47">
        <v>8.6999999999999993</v>
      </c>
      <c r="L172" s="45">
        <v>13.6</v>
      </c>
      <c r="M172" s="49">
        <v>14</v>
      </c>
      <c r="N172" s="45">
        <v>16</v>
      </c>
      <c r="O172" s="47"/>
    </row>
    <row r="173" spans="1:15" ht="17.25" customHeight="1">
      <c r="A173" s="42" t="s">
        <v>2</v>
      </c>
      <c r="B173" s="43"/>
      <c r="C173" s="43"/>
      <c r="D173" s="44">
        <v>97.69</v>
      </c>
      <c r="E173" s="45">
        <v>100.5</v>
      </c>
      <c r="F173" s="45">
        <v>101.5</v>
      </c>
      <c r="G173" s="45">
        <v>101.5</v>
      </c>
      <c r="H173" s="45">
        <v>101.5</v>
      </c>
      <c r="I173" s="45">
        <v>101.5</v>
      </c>
      <c r="J173" s="45">
        <v>101.5</v>
      </c>
      <c r="K173" s="47">
        <v>101.5</v>
      </c>
      <c r="L173" s="45">
        <v>99.05</v>
      </c>
      <c r="M173" s="49">
        <v>98.85</v>
      </c>
      <c r="N173" s="45">
        <v>97.85</v>
      </c>
      <c r="O173" s="47"/>
    </row>
    <row r="174" spans="1:15" ht="17.25" customHeight="1">
      <c r="A174" s="42" t="s">
        <v>1</v>
      </c>
      <c r="B174" s="43"/>
      <c r="C174" s="43"/>
      <c r="D174" s="44">
        <v>0</v>
      </c>
      <c r="E174" s="45">
        <v>4.2</v>
      </c>
      <c r="F174" s="45">
        <v>5.7</v>
      </c>
      <c r="G174" s="46">
        <v>6</v>
      </c>
      <c r="H174" s="46">
        <v>7.1</v>
      </c>
      <c r="I174" s="45">
        <v>7.2</v>
      </c>
      <c r="J174" s="47">
        <v>8</v>
      </c>
      <c r="K174" s="47">
        <v>8.6999999999999993</v>
      </c>
      <c r="L174" s="45">
        <v>13.6</v>
      </c>
      <c r="M174" s="49">
        <v>14</v>
      </c>
      <c r="N174" s="45">
        <v>16</v>
      </c>
      <c r="O174" s="47"/>
    </row>
    <row r="175" spans="1:15" ht="17.25" customHeight="1">
      <c r="A175" s="42" t="s">
        <v>3</v>
      </c>
      <c r="B175" s="9"/>
      <c r="C175" s="43"/>
      <c r="D175" s="44">
        <v>97.69</v>
      </c>
      <c r="E175" s="45">
        <v>100.5</v>
      </c>
      <c r="F175" s="45">
        <v>100.908</v>
      </c>
      <c r="G175" s="45">
        <v>100.99</v>
      </c>
      <c r="H175" s="45">
        <v>100.99</v>
      </c>
      <c r="I175" s="45">
        <v>100.99</v>
      </c>
      <c r="J175" s="45">
        <v>100.99</v>
      </c>
      <c r="K175" s="47">
        <v>100.598</v>
      </c>
      <c r="L175" s="45">
        <v>97.85</v>
      </c>
      <c r="M175" s="45">
        <v>97.85</v>
      </c>
      <c r="N175" s="45">
        <v>97.85</v>
      </c>
      <c r="O175" s="52"/>
    </row>
    <row r="176" spans="1:15" ht="17.25" customHeight="1">
      <c r="A176" s="42" t="s">
        <v>18</v>
      </c>
      <c r="B176" s="9"/>
      <c r="C176" s="43"/>
      <c r="D176" s="47">
        <f t="shared" ref="D176:N176" si="14">D173-D175</f>
        <v>0</v>
      </c>
      <c r="E176" s="47">
        <f t="shared" si="14"/>
        <v>0</v>
      </c>
      <c r="F176" s="47">
        <f t="shared" si="14"/>
        <v>0.59199999999999875</v>
      </c>
      <c r="G176" s="47">
        <f t="shared" si="14"/>
        <v>0.51000000000000512</v>
      </c>
      <c r="H176" s="47">
        <f t="shared" si="14"/>
        <v>0.51000000000000512</v>
      </c>
      <c r="I176" s="47">
        <f t="shared" si="14"/>
        <v>0.51000000000000512</v>
      </c>
      <c r="J176" s="47">
        <f t="shared" si="14"/>
        <v>0.51000000000000512</v>
      </c>
      <c r="K176" s="47">
        <f t="shared" si="14"/>
        <v>0.90200000000000102</v>
      </c>
      <c r="L176" s="47">
        <f t="shared" si="14"/>
        <v>1.2000000000000028</v>
      </c>
      <c r="M176" s="47">
        <f t="shared" si="14"/>
        <v>1</v>
      </c>
      <c r="N176" s="47">
        <f t="shared" si="14"/>
        <v>0</v>
      </c>
      <c r="O176" s="47"/>
    </row>
    <row r="177" spans="1:15" ht="17.25" customHeight="1">
      <c r="A177" s="42" t="s">
        <v>5</v>
      </c>
      <c r="B177" s="9"/>
      <c r="C177" s="43"/>
      <c r="D177" s="47">
        <f t="shared" ref="D177:N177" si="15">(D176+C176)/2*(D172-C172)</f>
        <v>0</v>
      </c>
      <c r="E177" s="47">
        <f t="shared" si="15"/>
        <v>0</v>
      </c>
      <c r="F177" s="47">
        <f t="shared" si="15"/>
        <v>0.44399999999999906</v>
      </c>
      <c r="G177" s="47">
        <f t="shared" si="15"/>
        <v>0.16530000000000047</v>
      </c>
      <c r="H177" s="47">
        <f t="shared" si="15"/>
        <v>0.56100000000000549</v>
      </c>
      <c r="I177" s="47">
        <f t="shared" si="15"/>
        <v>5.1000000000000781E-2</v>
      </c>
      <c r="J177" s="47">
        <f t="shared" si="15"/>
        <v>0.40800000000000403</v>
      </c>
      <c r="K177" s="47">
        <f t="shared" si="15"/>
        <v>0.49420000000000164</v>
      </c>
      <c r="L177" s="47">
        <f t="shared" si="15"/>
        <v>5.1499000000000095</v>
      </c>
      <c r="M177" s="47">
        <f t="shared" si="15"/>
        <v>0.44000000000000095</v>
      </c>
      <c r="N177" s="47">
        <f t="shared" si="15"/>
        <v>1</v>
      </c>
      <c r="O177" s="47">
        <f>SUM(C177:N177)</f>
        <v>8.7134000000000214</v>
      </c>
    </row>
    <row r="178" spans="1:15" ht="17.25" customHeight="1">
      <c r="A178" s="54"/>
      <c r="B178" s="54"/>
      <c r="C178" s="54"/>
      <c r="D178" s="55"/>
      <c r="E178" s="55"/>
      <c r="F178" s="56"/>
      <c r="G178" s="56"/>
      <c r="H178" s="56"/>
      <c r="I178" s="57"/>
      <c r="K178" s="161" t="s">
        <v>19</v>
      </c>
      <c r="L178" s="162"/>
      <c r="M178" s="162"/>
      <c r="N178" s="163"/>
      <c r="O178" s="59">
        <f>C177:O177</f>
        <v>8.7134000000000214</v>
      </c>
    </row>
    <row r="179" spans="1:15">
      <c r="A179" s="60"/>
      <c r="B179" s="60"/>
      <c r="C179" s="60"/>
      <c r="D179" s="61"/>
      <c r="E179" s="61"/>
      <c r="F179" s="61"/>
      <c r="G179" s="61"/>
      <c r="H179" s="61"/>
      <c r="I179" s="57"/>
      <c r="J179" s="61"/>
      <c r="K179" s="61"/>
      <c r="L179" s="61"/>
      <c r="M179" s="61"/>
      <c r="N179" s="61"/>
      <c r="O179" s="61"/>
    </row>
    <row r="180" spans="1:15">
      <c r="A180" s="60"/>
      <c r="B180" s="60"/>
      <c r="C180" s="60"/>
      <c r="D180" s="61"/>
      <c r="E180" s="61"/>
      <c r="F180" s="61"/>
      <c r="G180" s="61"/>
      <c r="H180" s="61"/>
      <c r="I180" s="57"/>
      <c r="J180" s="61"/>
      <c r="K180" s="61"/>
      <c r="L180" s="61"/>
      <c r="M180" s="61"/>
      <c r="N180" s="61"/>
      <c r="O180" s="61"/>
    </row>
    <row r="181" spans="1:15">
      <c r="A181" s="60"/>
      <c r="B181" s="60"/>
      <c r="C181" s="60"/>
      <c r="D181" s="61"/>
      <c r="E181" s="61"/>
      <c r="F181" s="61"/>
      <c r="G181" s="61"/>
      <c r="H181" s="61"/>
      <c r="I181" s="57"/>
      <c r="J181" s="61"/>
      <c r="K181" s="61"/>
      <c r="L181" s="61"/>
      <c r="M181" s="61"/>
      <c r="N181" s="61"/>
      <c r="O181" s="61"/>
    </row>
    <row r="182" spans="1:15">
      <c r="A182" s="60"/>
      <c r="B182" s="60"/>
      <c r="C182" s="60"/>
      <c r="D182" s="61"/>
      <c r="E182" s="61"/>
      <c r="F182" s="61"/>
      <c r="G182" s="61"/>
      <c r="H182" s="61"/>
      <c r="I182" s="57"/>
      <c r="J182" s="61"/>
      <c r="K182" s="61"/>
      <c r="L182" s="61"/>
      <c r="M182" s="61"/>
      <c r="N182" s="61"/>
      <c r="O182" s="61"/>
    </row>
    <row r="183" spans="1:15">
      <c r="A183" s="60"/>
      <c r="B183" s="60"/>
      <c r="C183" s="60"/>
      <c r="D183" s="61"/>
      <c r="E183" s="61"/>
      <c r="F183" s="61"/>
      <c r="G183" s="61"/>
      <c r="H183" s="61"/>
      <c r="I183" s="57"/>
      <c r="J183" s="61"/>
      <c r="K183" s="61"/>
      <c r="L183" s="61"/>
      <c r="M183" s="61"/>
      <c r="N183" s="61"/>
      <c r="O183" s="61"/>
    </row>
    <row r="184" spans="1:15">
      <c r="A184" s="60"/>
      <c r="B184" s="60"/>
      <c r="C184" s="60"/>
      <c r="D184" s="61"/>
      <c r="E184" s="61"/>
      <c r="F184" s="61"/>
      <c r="G184" s="61"/>
      <c r="H184" s="61"/>
      <c r="I184" s="57"/>
      <c r="J184" s="61"/>
      <c r="K184" s="61"/>
      <c r="L184" s="61"/>
      <c r="M184" s="61"/>
      <c r="N184" s="61"/>
      <c r="O184" s="61"/>
    </row>
    <row r="185" spans="1:15">
      <c r="A185" s="60"/>
      <c r="B185" s="60"/>
      <c r="C185" s="60"/>
      <c r="D185" s="61"/>
      <c r="E185" s="61"/>
      <c r="F185" s="61"/>
      <c r="G185" s="61"/>
      <c r="H185" s="61"/>
      <c r="I185" s="57"/>
      <c r="J185" s="61"/>
      <c r="K185" s="61"/>
      <c r="L185" s="61"/>
      <c r="M185" s="76" t="s">
        <v>22</v>
      </c>
      <c r="N185" s="76">
        <v>101.58</v>
      </c>
      <c r="O185" s="61"/>
    </row>
    <row r="186" spans="1:15">
      <c r="A186" s="60"/>
      <c r="B186" s="60"/>
      <c r="C186" s="60"/>
      <c r="D186" s="61"/>
      <c r="E186" s="61"/>
      <c r="F186" s="61"/>
      <c r="G186" s="61"/>
      <c r="H186" s="61"/>
      <c r="I186" s="57"/>
      <c r="J186" s="61"/>
      <c r="K186" s="61"/>
      <c r="L186" s="61"/>
      <c r="M186" s="76" t="s">
        <v>23</v>
      </c>
      <c r="N186" s="76">
        <v>100.36</v>
      </c>
      <c r="O186" s="61"/>
    </row>
    <row r="187" spans="1:15">
      <c r="A187" s="60"/>
      <c r="B187" s="60"/>
      <c r="C187" s="60"/>
      <c r="D187" s="61"/>
      <c r="E187" s="61"/>
      <c r="F187" s="61"/>
      <c r="G187" s="61"/>
      <c r="H187" s="61"/>
      <c r="I187" s="57"/>
      <c r="J187" s="61"/>
      <c r="K187" s="61"/>
      <c r="L187" s="61"/>
      <c r="M187" s="76" t="s">
        <v>24</v>
      </c>
      <c r="N187" s="76">
        <v>100</v>
      </c>
      <c r="O187" s="61"/>
    </row>
    <row r="188" spans="1:15">
      <c r="A188" s="60"/>
      <c r="B188" s="60"/>
      <c r="C188" s="60"/>
      <c r="D188" s="61"/>
      <c r="E188" s="61"/>
      <c r="F188" s="61"/>
      <c r="G188" s="61"/>
      <c r="H188" s="61"/>
      <c r="I188" s="57"/>
      <c r="J188" s="61"/>
      <c r="K188" s="61"/>
      <c r="L188" s="61"/>
      <c r="M188" s="76" t="s">
        <v>25</v>
      </c>
      <c r="N188" s="76">
        <v>99.34</v>
      </c>
      <c r="O188" s="61"/>
    </row>
    <row r="189" spans="1:15">
      <c r="A189" s="60"/>
      <c r="B189" s="60"/>
      <c r="C189" s="60"/>
      <c r="D189" s="61"/>
      <c r="E189" s="61"/>
      <c r="F189" s="61"/>
      <c r="G189" s="61"/>
      <c r="H189" s="61"/>
      <c r="I189" s="57"/>
      <c r="J189" s="61"/>
      <c r="K189" s="61"/>
      <c r="L189" s="61"/>
      <c r="M189" s="61"/>
      <c r="N189" s="61"/>
      <c r="O189" s="61"/>
    </row>
    <row r="190" spans="1:15">
      <c r="A190" s="60"/>
      <c r="B190" s="60"/>
      <c r="C190" s="60"/>
      <c r="D190" s="61"/>
      <c r="E190" s="61"/>
      <c r="F190" s="61"/>
      <c r="G190" s="61"/>
      <c r="H190" s="61"/>
      <c r="I190" s="57"/>
      <c r="J190" s="61"/>
      <c r="K190" s="61"/>
      <c r="L190" s="61"/>
      <c r="M190" s="61"/>
      <c r="N190" s="61"/>
      <c r="O190" s="61"/>
    </row>
    <row r="191" spans="1:15">
      <c r="A191" s="60"/>
      <c r="B191" s="60"/>
      <c r="C191" s="60"/>
      <c r="D191" s="61"/>
      <c r="E191" s="61"/>
      <c r="F191" s="61"/>
      <c r="G191" s="61"/>
      <c r="H191" s="61"/>
      <c r="I191" s="57"/>
      <c r="J191" s="61"/>
      <c r="K191" s="61"/>
      <c r="L191" s="61"/>
      <c r="M191" s="61"/>
      <c r="N191" s="61"/>
      <c r="O191" s="61"/>
    </row>
    <row r="192" spans="1:15">
      <c r="A192" s="60"/>
      <c r="B192" s="60"/>
      <c r="C192" s="60"/>
      <c r="D192" s="61"/>
      <c r="E192" s="61"/>
      <c r="F192" s="61"/>
      <c r="G192" s="61"/>
      <c r="H192" s="61"/>
      <c r="I192" s="57"/>
      <c r="J192" s="61"/>
      <c r="K192" s="61"/>
      <c r="L192" s="61"/>
      <c r="M192" s="61"/>
      <c r="N192" s="61"/>
      <c r="O192" s="61"/>
    </row>
    <row r="193" spans="1:15">
      <c r="A193" s="60"/>
      <c r="B193" s="60"/>
      <c r="C193" s="60"/>
      <c r="D193" s="61"/>
      <c r="E193" s="61"/>
      <c r="F193" s="61"/>
      <c r="G193" s="61"/>
      <c r="H193" s="61"/>
      <c r="I193" s="57"/>
      <c r="J193" s="61"/>
      <c r="K193" s="61"/>
      <c r="L193" s="61"/>
      <c r="M193" s="61"/>
      <c r="N193" s="61"/>
      <c r="O193" s="61"/>
    </row>
    <row r="194" spans="1:15">
      <c r="A194" s="60"/>
      <c r="B194" s="60"/>
      <c r="C194" s="60"/>
      <c r="D194" s="61"/>
      <c r="E194" s="61"/>
      <c r="F194" s="61"/>
      <c r="G194" s="61"/>
      <c r="H194" s="61"/>
      <c r="I194" s="57"/>
      <c r="J194" s="61"/>
      <c r="K194" s="61"/>
      <c r="L194" s="61"/>
      <c r="M194" s="61"/>
      <c r="N194" s="61"/>
      <c r="O194" s="61"/>
    </row>
    <row r="195" spans="1:15">
      <c r="A195" s="60"/>
      <c r="B195" s="60"/>
      <c r="C195" s="60"/>
      <c r="D195" s="61"/>
      <c r="E195" s="61"/>
      <c r="F195" s="61"/>
      <c r="G195" s="61"/>
      <c r="H195" s="61"/>
      <c r="I195" s="57"/>
      <c r="J195" s="61"/>
      <c r="K195" s="61"/>
      <c r="L195" s="61"/>
      <c r="M195" s="61"/>
      <c r="N195" s="61"/>
      <c r="O195" s="61"/>
    </row>
    <row r="196" spans="1:15">
      <c r="A196" s="60"/>
      <c r="B196" s="60"/>
      <c r="C196" s="60"/>
      <c r="D196" s="61"/>
      <c r="E196" s="61"/>
      <c r="F196" s="61"/>
      <c r="G196" s="61"/>
      <c r="H196" s="61"/>
      <c r="I196" s="57"/>
      <c r="J196" s="61"/>
      <c r="K196" s="61"/>
      <c r="L196" s="61"/>
      <c r="M196" s="61"/>
      <c r="N196" s="61"/>
      <c r="O196" s="61"/>
    </row>
    <row r="197" spans="1:15">
      <c r="A197" s="164" t="s">
        <v>0</v>
      </c>
      <c r="B197" s="165"/>
      <c r="C197" s="165"/>
      <c r="D197" s="165"/>
      <c r="E197" s="165"/>
      <c r="F197" s="165"/>
      <c r="G197" s="165"/>
      <c r="H197" s="39">
        <v>280</v>
      </c>
      <c r="I197" s="40" t="s">
        <v>17</v>
      </c>
      <c r="J197" s="63"/>
      <c r="K197" s="64"/>
      <c r="L197" s="63"/>
      <c r="M197" s="63"/>
      <c r="N197" s="63"/>
      <c r="O197" s="63"/>
    </row>
    <row r="198" spans="1:15" ht="17.25" customHeight="1">
      <c r="A198" s="42" t="s">
        <v>1</v>
      </c>
      <c r="B198" s="43"/>
      <c r="C198" s="44">
        <v>0</v>
      </c>
      <c r="D198" s="45">
        <v>4</v>
      </c>
      <c r="E198" s="45">
        <v>5.3</v>
      </c>
      <c r="F198" s="46">
        <v>5.6</v>
      </c>
      <c r="G198" s="46">
        <v>6.8</v>
      </c>
      <c r="H198" s="45">
        <v>6.9</v>
      </c>
      <c r="I198" s="47">
        <v>7.5</v>
      </c>
      <c r="J198" s="47">
        <v>8.3000000000000007</v>
      </c>
      <c r="K198" s="45">
        <v>12</v>
      </c>
      <c r="L198" s="49">
        <v>14.6</v>
      </c>
      <c r="M198" s="45"/>
      <c r="N198" s="47"/>
      <c r="O198" s="50"/>
    </row>
    <row r="199" spans="1:15" ht="17.25" customHeight="1">
      <c r="A199" s="42" t="s">
        <v>2</v>
      </c>
      <c r="B199" s="43"/>
      <c r="C199" s="44">
        <v>97.95</v>
      </c>
      <c r="D199" s="45">
        <v>100.63</v>
      </c>
      <c r="E199" s="45">
        <v>101.5</v>
      </c>
      <c r="F199" s="45">
        <v>101.5</v>
      </c>
      <c r="G199" s="45">
        <v>101.5</v>
      </c>
      <c r="H199" s="45">
        <v>101.5</v>
      </c>
      <c r="I199" s="45">
        <v>101.5</v>
      </c>
      <c r="J199" s="47">
        <v>101.5</v>
      </c>
      <c r="K199" s="45">
        <v>99.66</v>
      </c>
      <c r="L199" s="49">
        <v>98.37</v>
      </c>
      <c r="M199" s="45"/>
      <c r="N199" s="47"/>
      <c r="O199" s="51"/>
    </row>
    <row r="200" spans="1:15" ht="17.25" customHeight="1">
      <c r="A200" s="42" t="s">
        <v>1</v>
      </c>
      <c r="B200" s="43"/>
      <c r="C200" s="44">
        <v>0</v>
      </c>
      <c r="D200" s="45">
        <v>4.2</v>
      </c>
      <c r="E200" s="45">
        <v>5.7</v>
      </c>
      <c r="F200" s="46">
        <v>6</v>
      </c>
      <c r="G200" s="46">
        <v>7.1</v>
      </c>
      <c r="H200" s="45">
        <v>7.2</v>
      </c>
      <c r="I200" s="47">
        <v>8</v>
      </c>
      <c r="J200" s="47">
        <v>8.6999999999999993</v>
      </c>
      <c r="K200" s="45">
        <v>13.6</v>
      </c>
      <c r="L200" s="49">
        <v>14.6</v>
      </c>
      <c r="M200" s="45"/>
      <c r="N200" s="47"/>
      <c r="O200" s="50"/>
    </row>
    <row r="201" spans="1:15" ht="17.25" customHeight="1">
      <c r="A201" s="42" t="s">
        <v>3</v>
      </c>
      <c r="B201" s="9"/>
      <c r="C201" s="44">
        <v>97.95</v>
      </c>
      <c r="D201" s="45">
        <v>100.63</v>
      </c>
      <c r="E201" s="45">
        <v>100.937</v>
      </c>
      <c r="F201" s="45">
        <v>101.01</v>
      </c>
      <c r="G201" s="45">
        <v>101.01</v>
      </c>
      <c r="H201" s="45">
        <v>101.01</v>
      </c>
      <c r="I201" s="45">
        <v>101.01</v>
      </c>
      <c r="J201" s="47">
        <v>100.541</v>
      </c>
      <c r="K201" s="45">
        <v>98.37</v>
      </c>
      <c r="L201" s="49">
        <v>98.37</v>
      </c>
      <c r="M201" s="45"/>
      <c r="N201" s="47"/>
      <c r="O201" s="53"/>
    </row>
    <row r="202" spans="1:15" ht="17.25" customHeight="1">
      <c r="A202" s="42" t="s">
        <v>18</v>
      </c>
      <c r="B202" s="9"/>
      <c r="C202" s="47">
        <f t="shared" ref="C202:L202" si="16">C199-C201</f>
        <v>0</v>
      </c>
      <c r="D202" s="47">
        <f t="shared" si="16"/>
        <v>0</v>
      </c>
      <c r="E202" s="47">
        <f t="shared" si="16"/>
        <v>0.56300000000000239</v>
      </c>
      <c r="F202" s="47">
        <f t="shared" si="16"/>
        <v>0.48999999999999488</v>
      </c>
      <c r="G202" s="47">
        <f t="shared" si="16"/>
        <v>0.48999999999999488</v>
      </c>
      <c r="H202" s="47">
        <f t="shared" si="16"/>
        <v>0.48999999999999488</v>
      </c>
      <c r="I202" s="47">
        <f t="shared" si="16"/>
        <v>0.48999999999999488</v>
      </c>
      <c r="J202" s="47">
        <f t="shared" si="16"/>
        <v>0.95900000000000318</v>
      </c>
      <c r="K202" s="47">
        <f t="shared" si="16"/>
        <v>1.289999999999992</v>
      </c>
      <c r="L202" s="47">
        <f t="shared" si="16"/>
        <v>0</v>
      </c>
      <c r="M202" s="47"/>
      <c r="N202" s="47"/>
      <c r="O202" s="51"/>
    </row>
    <row r="203" spans="1:15" ht="17.25" customHeight="1">
      <c r="A203" s="42" t="s">
        <v>5</v>
      </c>
      <c r="B203" s="9"/>
      <c r="C203" s="47">
        <f t="shared" ref="C203:L203" si="17">(C202+B202)/2*(C198-B198)</f>
        <v>0</v>
      </c>
      <c r="D203" s="47">
        <f t="shared" si="17"/>
        <v>0</v>
      </c>
      <c r="E203" s="47">
        <f t="shared" si="17"/>
        <v>0.3659500000000015</v>
      </c>
      <c r="F203" s="47">
        <f t="shared" si="17"/>
        <v>0.15794999999999951</v>
      </c>
      <c r="G203" s="47">
        <f t="shared" si="17"/>
        <v>0.58799999999999397</v>
      </c>
      <c r="H203" s="47">
        <f t="shared" si="17"/>
        <v>4.8999999999999752E-2</v>
      </c>
      <c r="I203" s="47">
        <f t="shared" si="17"/>
        <v>0.29399999999999676</v>
      </c>
      <c r="J203" s="47">
        <f t="shared" si="17"/>
        <v>0.57959999999999978</v>
      </c>
      <c r="K203" s="47">
        <f t="shared" si="17"/>
        <v>4.1606499999999906</v>
      </c>
      <c r="L203" s="47">
        <f t="shared" si="17"/>
        <v>1.6769999999999894</v>
      </c>
      <c r="M203" s="47"/>
      <c r="N203" s="47"/>
      <c r="O203" s="51">
        <f>SUM(C203:N203)</f>
        <v>7.8721499999999711</v>
      </c>
    </row>
    <row r="204" spans="1:15" ht="17.25" customHeight="1">
      <c r="A204" s="54"/>
      <c r="B204" s="54"/>
      <c r="C204" s="54"/>
      <c r="D204" s="55"/>
      <c r="E204" s="55"/>
      <c r="F204" s="56"/>
      <c r="G204" s="56"/>
      <c r="H204" s="56"/>
      <c r="I204" s="57"/>
      <c r="K204" s="161" t="s">
        <v>19</v>
      </c>
      <c r="L204" s="162"/>
      <c r="M204" s="162"/>
      <c r="N204" s="163"/>
      <c r="O204" s="59">
        <f>O203</f>
        <v>7.8721499999999711</v>
      </c>
    </row>
    <row r="205" spans="1:15">
      <c r="A205" s="60"/>
      <c r="B205" s="60"/>
      <c r="C205" s="60"/>
      <c r="D205" s="61"/>
      <c r="E205" s="61"/>
      <c r="F205" s="61"/>
      <c r="G205" s="61"/>
      <c r="H205" s="61"/>
      <c r="I205" s="57"/>
      <c r="J205" s="61"/>
      <c r="K205" s="61"/>
      <c r="L205" s="61"/>
      <c r="M205" s="61"/>
      <c r="N205" s="61"/>
      <c r="O205" s="61"/>
    </row>
    <row r="206" spans="1:15">
      <c r="A206" s="60"/>
      <c r="B206" s="60"/>
      <c r="C206" s="60"/>
      <c r="D206" s="61"/>
      <c r="E206" s="61"/>
      <c r="F206" s="61"/>
      <c r="G206" s="61"/>
      <c r="H206" s="61"/>
      <c r="I206" s="57"/>
      <c r="J206" s="61"/>
      <c r="K206" s="61"/>
      <c r="L206" s="61"/>
      <c r="M206" s="61"/>
      <c r="N206" s="61"/>
      <c r="O206" s="61"/>
    </row>
    <row r="207" spans="1:15">
      <c r="A207" s="60"/>
      <c r="B207" s="60"/>
      <c r="C207" s="60"/>
      <c r="D207" s="61"/>
      <c r="E207" s="61"/>
      <c r="F207" s="61"/>
      <c r="G207" s="61"/>
      <c r="H207" s="61"/>
      <c r="I207" s="57"/>
      <c r="J207" s="61"/>
      <c r="K207" s="61"/>
      <c r="L207" s="61"/>
      <c r="M207" s="61"/>
      <c r="N207" s="61"/>
      <c r="O207" s="61"/>
    </row>
    <row r="208" spans="1:15">
      <c r="A208" s="60"/>
      <c r="B208" s="60"/>
      <c r="C208" s="60"/>
      <c r="D208" s="61"/>
      <c r="E208" s="61"/>
      <c r="F208" s="61"/>
      <c r="G208" s="61"/>
      <c r="H208" s="61"/>
      <c r="I208" s="57"/>
      <c r="J208" s="61"/>
      <c r="K208" s="61"/>
      <c r="L208" s="61"/>
      <c r="M208" s="61"/>
      <c r="N208" s="61"/>
      <c r="O208" s="61"/>
    </row>
    <row r="209" spans="1:15">
      <c r="A209" s="60"/>
      <c r="B209" s="60"/>
      <c r="C209" s="60"/>
      <c r="D209" s="61"/>
      <c r="E209" s="61"/>
      <c r="F209" s="61"/>
      <c r="G209" s="61"/>
      <c r="H209" s="61"/>
      <c r="I209" s="57"/>
      <c r="J209" s="61"/>
      <c r="K209" s="61"/>
      <c r="L209" s="61"/>
      <c r="M209" s="61"/>
      <c r="N209" s="61"/>
      <c r="O209" s="61"/>
    </row>
    <row r="210" spans="1:15">
      <c r="A210" s="60"/>
      <c r="B210" s="60"/>
      <c r="C210" s="60"/>
      <c r="D210" s="61"/>
      <c r="E210" s="61"/>
      <c r="F210" s="61"/>
      <c r="G210" s="61"/>
      <c r="H210" s="61"/>
      <c r="I210" s="57"/>
      <c r="J210" s="61"/>
      <c r="K210" s="61"/>
      <c r="L210" s="61"/>
      <c r="M210" s="61"/>
      <c r="N210" s="61"/>
      <c r="O210" s="61"/>
    </row>
    <row r="211" spans="1:15">
      <c r="A211" s="60"/>
      <c r="B211" s="60"/>
      <c r="C211" s="60"/>
      <c r="D211" s="61"/>
      <c r="E211" s="61"/>
      <c r="F211" s="61"/>
      <c r="G211" s="61"/>
      <c r="H211" s="61"/>
      <c r="I211" s="57"/>
      <c r="J211" s="61"/>
      <c r="K211" s="61"/>
      <c r="L211" s="61"/>
      <c r="M211" s="76" t="s">
        <v>22</v>
      </c>
      <c r="N211" s="76">
        <v>101.58</v>
      </c>
      <c r="O211" s="61"/>
    </row>
    <row r="212" spans="1:15">
      <c r="A212" s="60"/>
      <c r="B212" s="60"/>
      <c r="C212" s="60"/>
      <c r="D212" s="61"/>
      <c r="E212" s="61"/>
      <c r="F212" s="61"/>
      <c r="G212" s="61"/>
      <c r="H212" s="61"/>
      <c r="I212" s="57"/>
      <c r="J212" s="61"/>
      <c r="K212" s="61"/>
      <c r="L212" s="61"/>
      <c r="M212" s="76" t="s">
        <v>23</v>
      </c>
      <c r="N212" s="76">
        <v>100.36</v>
      </c>
      <c r="O212" s="61"/>
    </row>
    <row r="213" spans="1:15">
      <c r="A213" s="60"/>
      <c r="B213" s="60"/>
      <c r="C213" s="60"/>
      <c r="D213" s="61"/>
      <c r="E213" s="61"/>
      <c r="F213" s="61"/>
      <c r="G213" s="61"/>
      <c r="H213" s="61"/>
      <c r="I213" s="57"/>
      <c r="J213" s="61"/>
      <c r="K213" s="61"/>
      <c r="L213" s="61"/>
      <c r="M213" s="76" t="s">
        <v>24</v>
      </c>
      <c r="N213" s="76">
        <v>100</v>
      </c>
      <c r="O213" s="61"/>
    </row>
    <row r="214" spans="1:15">
      <c r="A214" s="60"/>
      <c r="B214" s="60"/>
      <c r="C214" s="60"/>
      <c r="D214" s="61"/>
      <c r="E214" s="61"/>
      <c r="F214" s="61"/>
      <c r="G214" s="61"/>
      <c r="H214" s="61"/>
      <c r="I214" s="57"/>
      <c r="J214" s="61"/>
      <c r="K214" s="61"/>
      <c r="L214" s="61"/>
      <c r="M214" s="76" t="s">
        <v>25</v>
      </c>
      <c r="N214" s="76">
        <v>99.34</v>
      </c>
      <c r="O214" s="61"/>
    </row>
    <row r="215" spans="1:15">
      <c r="A215" s="60"/>
      <c r="B215" s="60"/>
      <c r="C215" s="60"/>
      <c r="D215" s="61"/>
      <c r="E215" s="61"/>
      <c r="F215" s="61"/>
      <c r="G215" s="61"/>
      <c r="H215" s="61"/>
      <c r="I215" s="57"/>
      <c r="J215" s="61"/>
      <c r="K215" s="61"/>
      <c r="L215" s="61"/>
      <c r="M215" s="61"/>
      <c r="N215" s="61"/>
      <c r="O215" s="61"/>
    </row>
    <row r="216" spans="1:15">
      <c r="A216" s="60"/>
      <c r="B216" s="60"/>
      <c r="C216" s="60"/>
      <c r="D216" s="61"/>
      <c r="E216" s="61"/>
      <c r="F216" s="61"/>
      <c r="G216" s="61"/>
      <c r="H216" s="61"/>
      <c r="I216" s="57"/>
      <c r="J216" s="61"/>
      <c r="K216" s="61"/>
      <c r="L216" s="61"/>
      <c r="M216" s="61"/>
      <c r="N216" s="61"/>
      <c r="O216" s="61"/>
    </row>
    <row r="217" spans="1:15">
      <c r="A217" s="60"/>
      <c r="B217" s="60"/>
      <c r="C217" s="60"/>
      <c r="D217" s="61"/>
      <c r="E217" s="61"/>
      <c r="F217" s="61"/>
      <c r="G217" s="61"/>
      <c r="H217" s="61"/>
      <c r="I217" s="57"/>
      <c r="J217" s="61"/>
      <c r="K217" s="61"/>
      <c r="L217" s="61"/>
      <c r="M217" s="61"/>
      <c r="N217" s="61"/>
      <c r="O217" s="61"/>
    </row>
    <row r="218" spans="1:15">
      <c r="A218" s="60"/>
      <c r="B218" s="60"/>
      <c r="C218" s="60"/>
      <c r="D218" s="61"/>
      <c r="E218" s="61"/>
      <c r="F218" s="61"/>
      <c r="G218" s="61"/>
      <c r="H218" s="61"/>
      <c r="I218" s="57"/>
      <c r="J218" s="61"/>
      <c r="K218" s="61"/>
      <c r="L218" s="61"/>
      <c r="M218" s="61"/>
      <c r="N218" s="61"/>
      <c r="O218" s="61"/>
    </row>
    <row r="219" spans="1:15">
      <c r="A219" s="60"/>
      <c r="B219" s="60"/>
      <c r="C219" s="60"/>
      <c r="D219" s="61"/>
      <c r="E219" s="61"/>
      <c r="F219" s="61"/>
      <c r="G219" s="61"/>
      <c r="H219" s="61"/>
      <c r="I219" s="57"/>
      <c r="J219" s="61"/>
      <c r="K219" s="61"/>
      <c r="L219" s="61"/>
      <c r="M219" s="61"/>
      <c r="N219" s="61"/>
      <c r="O219" s="61"/>
    </row>
    <row r="220" spans="1:15">
      <c r="A220" s="60"/>
      <c r="B220" s="60"/>
      <c r="C220" s="60"/>
      <c r="D220" s="61"/>
      <c r="E220" s="61"/>
      <c r="F220" s="61"/>
      <c r="G220" s="61"/>
      <c r="H220" s="61"/>
      <c r="I220" s="57"/>
      <c r="J220" s="61"/>
      <c r="K220" s="61"/>
      <c r="L220" s="61"/>
      <c r="M220" s="61"/>
      <c r="N220" s="61"/>
      <c r="O220" s="61"/>
    </row>
    <row r="221" spans="1:15">
      <c r="A221" s="60"/>
      <c r="B221" s="60"/>
      <c r="C221" s="60"/>
      <c r="D221" s="61"/>
      <c r="E221" s="61"/>
      <c r="F221" s="61"/>
      <c r="G221" s="61"/>
      <c r="H221" s="61"/>
      <c r="I221" s="57"/>
      <c r="J221" s="61"/>
      <c r="K221" s="61"/>
      <c r="L221" s="61"/>
      <c r="M221" s="61"/>
      <c r="N221" s="61"/>
      <c r="O221" s="61"/>
    </row>
    <row r="222" spans="1:15">
      <c r="A222" s="164" t="s">
        <v>0</v>
      </c>
      <c r="B222" s="165"/>
      <c r="C222" s="165"/>
      <c r="D222" s="165"/>
      <c r="E222" s="165"/>
      <c r="F222" s="165"/>
      <c r="G222" s="165"/>
      <c r="H222" s="39">
        <v>320</v>
      </c>
      <c r="I222" s="40" t="s">
        <v>17</v>
      </c>
      <c r="J222" s="63"/>
      <c r="K222" s="64"/>
      <c r="L222" s="63"/>
      <c r="M222" s="63"/>
      <c r="N222" s="63"/>
      <c r="O222" s="63"/>
    </row>
    <row r="223" spans="1:15" ht="17.25" customHeight="1">
      <c r="A223" s="42" t="s">
        <v>1</v>
      </c>
      <c r="B223" s="43"/>
      <c r="C223" s="44">
        <v>0</v>
      </c>
      <c r="D223" s="45">
        <v>5.2</v>
      </c>
      <c r="E223" s="45">
        <v>6.3</v>
      </c>
      <c r="F223" s="46">
        <v>6.6</v>
      </c>
      <c r="G223" s="46">
        <v>7.7</v>
      </c>
      <c r="H223" s="45">
        <v>7.8</v>
      </c>
      <c r="I223" s="47">
        <v>8.5</v>
      </c>
      <c r="J223" s="47">
        <v>9.3000000000000007</v>
      </c>
      <c r="K223" s="45">
        <v>13</v>
      </c>
      <c r="L223" s="49">
        <v>13.2</v>
      </c>
      <c r="M223" s="45">
        <v>15.5</v>
      </c>
      <c r="N223" s="47"/>
      <c r="O223" s="50"/>
    </row>
    <row r="224" spans="1:15" ht="17.25" customHeight="1">
      <c r="A224" s="42" t="s">
        <v>2</v>
      </c>
      <c r="B224" s="43"/>
      <c r="C224" s="44">
        <v>97.31</v>
      </c>
      <c r="D224" s="45">
        <v>100.77</v>
      </c>
      <c r="E224" s="45">
        <v>101.5</v>
      </c>
      <c r="F224" s="45">
        <v>101.5</v>
      </c>
      <c r="G224" s="45">
        <v>101.5</v>
      </c>
      <c r="H224" s="45">
        <v>101.5</v>
      </c>
      <c r="I224" s="45">
        <v>101.5</v>
      </c>
      <c r="J224" s="47">
        <v>101.5</v>
      </c>
      <c r="K224" s="45">
        <v>99.66</v>
      </c>
      <c r="L224" s="49">
        <v>99.56</v>
      </c>
      <c r="M224" s="45">
        <v>98.41</v>
      </c>
      <c r="N224" s="47"/>
      <c r="O224" s="51"/>
    </row>
    <row r="225" spans="1:15" ht="17.25" customHeight="1">
      <c r="A225" s="42" t="s">
        <v>1</v>
      </c>
      <c r="B225" s="43"/>
      <c r="C225" s="44">
        <v>0</v>
      </c>
      <c r="D225" s="45">
        <v>5.2</v>
      </c>
      <c r="E225" s="45">
        <v>6.3</v>
      </c>
      <c r="F225" s="46">
        <v>6.6</v>
      </c>
      <c r="G225" s="46">
        <v>7.7</v>
      </c>
      <c r="H225" s="45">
        <v>7.8</v>
      </c>
      <c r="I225" s="47">
        <v>8.5</v>
      </c>
      <c r="J225" s="47">
        <v>9.3000000000000007</v>
      </c>
      <c r="K225" s="45">
        <v>13</v>
      </c>
      <c r="L225" s="49">
        <v>13.2</v>
      </c>
      <c r="M225" s="45">
        <v>15.5</v>
      </c>
      <c r="N225" s="47"/>
      <c r="O225" s="50"/>
    </row>
    <row r="226" spans="1:15" ht="17.25" customHeight="1">
      <c r="A226" s="42" t="s">
        <v>3</v>
      </c>
      <c r="B226" s="9"/>
      <c r="C226" s="44">
        <v>97.31</v>
      </c>
      <c r="D226" s="45">
        <v>100.77</v>
      </c>
      <c r="E226" s="45">
        <v>100.99</v>
      </c>
      <c r="F226" s="45">
        <v>101.05</v>
      </c>
      <c r="G226" s="45">
        <v>101.05</v>
      </c>
      <c r="H226" s="45">
        <v>101.05</v>
      </c>
      <c r="I226" s="45">
        <v>101.05</v>
      </c>
      <c r="J226" s="47">
        <v>100.602</v>
      </c>
      <c r="K226" s="45">
        <v>98.531999999999996</v>
      </c>
      <c r="L226" s="49">
        <v>98.42</v>
      </c>
      <c r="M226" s="45">
        <v>98.41</v>
      </c>
      <c r="N226" s="47"/>
      <c r="O226" s="53"/>
    </row>
    <row r="227" spans="1:15" ht="17.25" customHeight="1">
      <c r="A227" s="42" t="s">
        <v>18</v>
      </c>
      <c r="B227" s="9"/>
      <c r="C227" s="47">
        <f t="shared" ref="C227:L227" si="18">C224-C226</f>
        <v>0</v>
      </c>
      <c r="D227" s="47">
        <f t="shared" si="18"/>
        <v>0</v>
      </c>
      <c r="E227" s="47">
        <f t="shared" si="18"/>
        <v>0.51000000000000512</v>
      </c>
      <c r="F227" s="47">
        <f t="shared" si="18"/>
        <v>0.45000000000000284</v>
      </c>
      <c r="G227" s="47">
        <f t="shared" si="18"/>
        <v>0.45000000000000284</v>
      </c>
      <c r="H227" s="47">
        <f t="shared" si="18"/>
        <v>0.45000000000000284</v>
      </c>
      <c r="I227" s="47">
        <f t="shared" si="18"/>
        <v>0.45000000000000284</v>
      </c>
      <c r="J227" s="47">
        <f t="shared" si="18"/>
        <v>0.89799999999999613</v>
      </c>
      <c r="K227" s="47">
        <f t="shared" si="18"/>
        <v>1.1280000000000001</v>
      </c>
      <c r="L227" s="47">
        <f t="shared" si="18"/>
        <v>1.1400000000000006</v>
      </c>
      <c r="M227" s="47">
        <f t="shared" ref="M227" si="19">M224-M226</f>
        <v>0</v>
      </c>
      <c r="N227" s="47"/>
      <c r="O227" s="51"/>
    </row>
    <row r="228" spans="1:15" ht="17.25" customHeight="1">
      <c r="A228" s="42" t="s">
        <v>5</v>
      </c>
      <c r="B228" s="9"/>
      <c r="C228" s="47">
        <f t="shared" ref="C228" si="20">(C227+B227)/2*(C223-B223)</f>
        <v>0</v>
      </c>
      <c r="D228" s="47">
        <f t="shared" ref="D228" si="21">(D227+C227)/2*(D223-C223)</f>
        <v>0</v>
      </c>
      <c r="E228" s="47">
        <f t="shared" ref="E228" si="22">(E227+D227)/2*(E223-D223)</f>
        <v>0.28050000000000275</v>
      </c>
      <c r="F228" s="47">
        <f t="shared" ref="F228" si="23">(F227+E227)/2*(F223-E223)</f>
        <v>0.1440000000000011</v>
      </c>
      <c r="G228" s="47">
        <f t="shared" ref="G228" si="24">(G227+F227)/2*(G223-F223)</f>
        <v>0.49500000000000338</v>
      </c>
      <c r="H228" s="47">
        <f t="shared" ref="H228" si="25">(H227+G227)/2*(H223-G223)</f>
        <v>4.5000000000000123E-2</v>
      </c>
      <c r="I228" s="47">
        <f t="shared" ref="I228" si="26">(I227+H227)/2*(I223-H223)</f>
        <v>0.31500000000000206</v>
      </c>
      <c r="J228" s="47">
        <f t="shared" ref="J228" si="27">(J227+I227)/2*(J223-I223)</f>
        <v>0.53920000000000012</v>
      </c>
      <c r="K228" s="47">
        <f t="shared" ref="K228" si="28">(K227+J227)/2*(K223-J223)</f>
        <v>3.7480999999999924</v>
      </c>
      <c r="L228" s="47">
        <f t="shared" ref="L228:M228" si="29">(L227+K227)/2*(L223-K223)</f>
        <v>0.22679999999999925</v>
      </c>
      <c r="M228" s="47">
        <f t="shared" si="29"/>
        <v>1.3110000000000011</v>
      </c>
      <c r="N228" s="47"/>
      <c r="O228" s="51">
        <f>SUM(C228:N228)</f>
        <v>7.1046000000000022</v>
      </c>
    </row>
    <row r="229" spans="1:15" ht="17.25" customHeight="1">
      <c r="A229" s="54"/>
      <c r="B229" s="54"/>
      <c r="C229" s="54"/>
      <c r="D229" s="55"/>
      <c r="E229" s="55"/>
      <c r="F229" s="56"/>
      <c r="G229" s="56"/>
      <c r="H229" s="56"/>
      <c r="I229" s="57"/>
      <c r="K229" s="161" t="s">
        <v>19</v>
      </c>
      <c r="L229" s="162"/>
      <c r="M229" s="162"/>
      <c r="N229" s="163"/>
      <c r="O229" s="59">
        <f>O228</f>
        <v>7.1046000000000022</v>
      </c>
    </row>
    <row r="230" spans="1:15">
      <c r="A230" s="60"/>
      <c r="B230" s="60"/>
      <c r="C230" s="60"/>
      <c r="D230" s="61"/>
      <c r="E230" s="61"/>
      <c r="F230" s="61"/>
      <c r="G230" s="61"/>
      <c r="H230" s="61"/>
      <c r="I230" s="57"/>
      <c r="J230" s="61"/>
      <c r="K230" s="61"/>
      <c r="L230" s="61"/>
      <c r="M230" s="61"/>
      <c r="N230" s="61"/>
      <c r="O230" s="61"/>
    </row>
    <row r="231" spans="1:15">
      <c r="A231" s="60"/>
      <c r="B231" s="60"/>
      <c r="C231" s="60"/>
      <c r="D231" s="61"/>
      <c r="E231" s="61"/>
      <c r="F231" s="61"/>
      <c r="G231" s="61"/>
      <c r="H231" s="61"/>
      <c r="I231" s="57"/>
      <c r="J231" s="61"/>
      <c r="K231" s="61"/>
      <c r="L231" s="61"/>
      <c r="M231" s="61"/>
      <c r="N231" s="61"/>
      <c r="O231" s="61"/>
    </row>
    <row r="232" spans="1:15">
      <c r="A232" s="60"/>
      <c r="B232" s="60"/>
      <c r="C232" s="60"/>
      <c r="D232" s="61"/>
      <c r="E232" s="61"/>
      <c r="F232" s="61"/>
      <c r="G232" s="61"/>
      <c r="H232" s="61"/>
      <c r="I232" s="57"/>
      <c r="J232" s="61"/>
      <c r="K232" s="61"/>
      <c r="L232" s="61"/>
      <c r="M232" s="61"/>
      <c r="N232" s="61"/>
      <c r="O232" s="61"/>
    </row>
    <row r="233" spans="1:15">
      <c r="A233" s="60"/>
      <c r="B233" s="60"/>
      <c r="C233" s="60"/>
      <c r="D233" s="61"/>
      <c r="E233" s="61"/>
      <c r="F233" s="61"/>
      <c r="G233" s="61"/>
      <c r="H233" s="61"/>
      <c r="I233" s="57"/>
      <c r="J233" s="61"/>
      <c r="K233" s="61"/>
      <c r="L233" s="61"/>
      <c r="M233" s="61"/>
      <c r="N233" s="61"/>
      <c r="O233" s="61"/>
    </row>
    <row r="234" spans="1:15">
      <c r="A234" s="60"/>
      <c r="B234" s="60"/>
      <c r="C234" s="60"/>
      <c r="D234" s="61"/>
      <c r="E234" s="61"/>
      <c r="F234" s="61"/>
      <c r="G234" s="61"/>
      <c r="H234" s="61"/>
      <c r="I234" s="57"/>
      <c r="J234" s="61"/>
      <c r="K234" s="61"/>
      <c r="L234" s="61"/>
      <c r="M234" s="61"/>
      <c r="N234" s="61"/>
      <c r="O234" s="61"/>
    </row>
    <row r="235" spans="1:15">
      <c r="A235" s="60"/>
      <c r="B235" s="60"/>
      <c r="C235" s="60"/>
      <c r="D235" s="61"/>
      <c r="E235" s="61"/>
      <c r="F235" s="61"/>
      <c r="G235" s="61"/>
      <c r="H235" s="61"/>
      <c r="I235" s="57"/>
      <c r="J235" s="61"/>
      <c r="K235" s="61"/>
      <c r="L235" s="61"/>
      <c r="M235" s="76" t="s">
        <v>22</v>
      </c>
      <c r="N235" s="76">
        <v>101.58</v>
      </c>
      <c r="O235" s="61"/>
    </row>
    <row r="236" spans="1:15">
      <c r="A236" s="60"/>
      <c r="B236" s="60"/>
      <c r="C236" s="60"/>
      <c r="D236" s="61"/>
      <c r="E236" s="61"/>
      <c r="F236" s="61"/>
      <c r="G236" s="61"/>
      <c r="H236" s="61"/>
      <c r="I236" s="57"/>
      <c r="J236" s="61"/>
      <c r="K236" s="61"/>
      <c r="L236" s="61"/>
      <c r="M236" s="76" t="s">
        <v>23</v>
      </c>
      <c r="N236" s="76">
        <v>100.36</v>
      </c>
      <c r="O236" s="61"/>
    </row>
    <row r="237" spans="1:15">
      <c r="A237" s="60"/>
      <c r="B237" s="60"/>
      <c r="C237" s="60"/>
      <c r="D237" s="61"/>
      <c r="E237" s="61"/>
      <c r="F237" s="61"/>
      <c r="G237" s="61"/>
      <c r="H237" s="61"/>
      <c r="I237" s="57"/>
      <c r="J237" s="61"/>
      <c r="K237" s="61"/>
      <c r="L237" s="61"/>
      <c r="M237" s="76" t="s">
        <v>24</v>
      </c>
      <c r="N237" s="76">
        <v>100</v>
      </c>
      <c r="O237" s="61"/>
    </row>
    <row r="238" spans="1:15">
      <c r="A238" s="60"/>
      <c r="B238" s="60"/>
      <c r="C238" s="60"/>
      <c r="D238" s="61"/>
      <c r="E238" s="61"/>
      <c r="F238" s="61"/>
      <c r="G238" s="61"/>
      <c r="H238" s="61"/>
      <c r="I238" s="57"/>
      <c r="J238" s="61"/>
      <c r="K238" s="61"/>
      <c r="L238" s="61"/>
      <c r="M238" s="76" t="s">
        <v>25</v>
      </c>
      <c r="N238" s="76">
        <v>99.34</v>
      </c>
      <c r="O238" s="61"/>
    </row>
    <row r="239" spans="1:15">
      <c r="A239" s="60"/>
      <c r="B239" s="60"/>
      <c r="C239" s="60"/>
      <c r="D239" s="61"/>
      <c r="E239" s="61"/>
      <c r="F239" s="61"/>
      <c r="G239" s="61"/>
      <c r="H239" s="61"/>
      <c r="I239" s="57"/>
      <c r="J239" s="61"/>
      <c r="K239" s="61"/>
      <c r="L239" s="61"/>
      <c r="M239" s="61"/>
      <c r="N239" s="61"/>
      <c r="O239" s="61"/>
    </row>
    <row r="240" spans="1:15">
      <c r="A240" s="60"/>
      <c r="B240" s="60"/>
      <c r="C240" s="60"/>
      <c r="D240" s="61"/>
      <c r="E240" s="61"/>
      <c r="F240" s="61"/>
      <c r="G240" s="61"/>
      <c r="H240" s="61"/>
      <c r="I240" s="57"/>
      <c r="J240" s="61"/>
      <c r="K240" s="61"/>
      <c r="L240" s="61"/>
      <c r="M240" s="61"/>
      <c r="N240" s="61"/>
      <c r="O240" s="61"/>
    </row>
    <row r="241" spans="1:15">
      <c r="A241" s="60"/>
      <c r="B241" s="60"/>
      <c r="C241" s="60"/>
      <c r="D241" s="61"/>
      <c r="E241" s="61"/>
      <c r="F241" s="61"/>
      <c r="G241" s="61"/>
      <c r="H241" s="61"/>
      <c r="I241" s="57"/>
      <c r="J241" s="61"/>
      <c r="K241" s="61"/>
      <c r="L241" s="61"/>
      <c r="M241" s="61"/>
      <c r="N241" s="61"/>
      <c r="O241" s="61"/>
    </row>
    <row r="242" spans="1:15">
      <c r="A242" s="60"/>
      <c r="B242" s="60"/>
      <c r="C242" s="60"/>
      <c r="D242" s="61"/>
      <c r="E242" s="61"/>
      <c r="F242" s="61"/>
      <c r="G242" s="61"/>
      <c r="H242" s="61"/>
      <c r="I242" s="57"/>
      <c r="J242" s="61"/>
      <c r="K242" s="61"/>
      <c r="L242" s="61"/>
      <c r="M242" s="61"/>
      <c r="N242" s="61"/>
      <c r="O242" s="61"/>
    </row>
    <row r="243" spans="1:15">
      <c r="A243" s="60"/>
      <c r="B243" s="60"/>
      <c r="C243" s="60"/>
      <c r="D243" s="61"/>
      <c r="E243" s="61"/>
      <c r="F243" s="61"/>
      <c r="G243" s="61"/>
      <c r="H243" s="61"/>
      <c r="I243" s="57"/>
      <c r="J243" s="61"/>
      <c r="K243" s="61"/>
      <c r="L243" s="61"/>
      <c r="M243" s="61"/>
      <c r="N243" s="61"/>
      <c r="O243" s="61"/>
    </row>
    <row r="244" spans="1:15">
      <c r="A244" s="60"/>
      <c r="B244" s="60"/>
      <c r="C244" s="60"/>
      <c r="D244" s="61"/>
      <c r="E244" s="61"/>
      <c r="F244" s="61"/>
      <c r="G244" s="61"/>
      <c r="H244" s="61"/>
      <c r="I244" s="57"/>
      <c r="J244" s="61"/>
      <c r="K244" s="61"/>
      <c r="L244" s="61"/>
      <c r="M244" s="61"/>
      <c r="N244" s="61"/>
      <c r="O244" s="61"/>
    </row>
    <row r="245" spans="1:15">
      <c r="A245" s="60"/>
      <c r="B245" s="60"/>
      <c r="C245" s="60"/>
      <c r="D245" s="61"/>
      <c r="E245" s="61"/>
      <c r="F245" s="61"/>
      <c r="G245" s="61"/>
      <c r="H245" s="61"/>
      <c r="I245" s="57"/>
      <c r="J245" s="61"/>
      <c r="K245" s="61"/>
      <c r="L245" s="61"/>
      <c r="M245" s="61"/>
      <c r="N245" s="61"/>
      <c r="O245" s="61"/>
    </row>
    <row r="246" spans="1:15">
      <c r="A246" s="60"/>
      <c r="B246" s="60"/>
      <c r="C246" s="60"/>
      <c r="D246" s="61"/>
      <c r="E246" s="61"/>
      <c r="F246" s="61"/>
      <c r="G246" s="61"/>
      <c r="H246" s="61"/>
      <c r="I246" s="57"/>
      <c r="J246" s="61"/>
      <c r="K246" s="61"/>
      <c r="L246" s="61"/>
      <c r="M246" s="61"/>
      <c r="N246" s="61"/>
      <c r="O246" s="61"/>
    </row>
    <row r="247" spans="1:15">
      <c r="A247" s="60"/>
      <c r="B247" s="60"/>
      <c r="C247" s="60"/>
      <c r="D247" s="61"/>
      <c r="E247" s="61"/>
      <c r="F247" s="61"/>
      <c r="G247" s="61"/>
      <c r="H247" s="61"/>
      <c r="I247" s="57"/>
      <c r="J247" s="61"/>
      <c r="K247" s="61"/>
      <c r="L247" s="61"/>
      <c r="M247" s="61"/>
      <c r="N247" s="61"/>
      <c r="O247" s="61"/>
    </row>
    <row r="248" spans="1:15">
      <c r="A248" s="60"/>
      <c r="B248" s="60"/>
      <c r="C248" s="60"/>
      <c r="D248" s="61"/>
      <c r="E248" s="61"/>
      <c r="F248" s="61"/>
      <c r="G248" s="61"/>
      <c r="H248" s="61"/>
      <c r="I248" s="57"/>
      <c r="J248" s="61"/>
      <c r="K248" s="61"/>
      <c r="L248" s="61"/>
      <c r="M248" s="61"/>
      <c r="N248" s="61"/>
      <c r="O248" s="61"/>
    </row>
    <row r="249" spans="1:15">
      <c r="A249" s="60"/>
      <c r="B249" s="60"/>
      <c r="C249" s="60"/>
      <c r="D249" s="61"/>
      <c r="E249" s="61"/>
      <c r="F249" s="61"/>
      <c r="G249" s="61"/>
      <c r="H249" s="61"/>
      <c r="I249" s="57"/>
      <c r="J249" s="61"/>
      <c r="K249" s="61"/>
      <c r="L249" s="61"/>
      <c r="M249" s="61"/>
      <c r="N249" s="61"/>
      <c r="O249" s="61"/>
    </row>
    <row r="250" spans="1:15" ht="15.75" customHeight="1">
      <c r="A250"/>
      <c r="B250" s="166"/>
      <c r="C250" s="166"/>
      <c r="D250" s="166"/>
      <c r="E250" s="166"/>
      <c r="F250" s="25"/>
      <c r="G250" s="167"/>
      <c r="H250" s="167"/>
      <c r="I250" s="167"/>
      <c r="J250" s="7"/>
      <c r="K250" s="168"/>
      <c r="L250" s="168"/>
      <c r="M250"/>
      <c r="N250"/>
      <c r="O250"/>
    </row>
    <row r="251" spans="1:15" ht="15.75">
      <c r="A251"/>
      <c r="B251" s="169"/>
      <c r="C251" s="169"/>
      <c r="D251" s="169"/>
      <c r="E251" s="62"/>
      <c r="F251" s="26"/>
      <c r="G251" s="170"/>
      <c r="H251" s="170"/>
      <c r="I251" s="170"/>
      <c r="J251" s="25"/>
      <c r="K251" s="170"/>
      <c r="L251" s="170"/>
      <c r="M251"/>
      <c r="N251"/>
      <c r="O251"/>
    </row>
    <row r="252" spans="1:15" ht="15.75">
      <c r="A252"/>
      <c r="B252" s="62"/>
      <c r="C252" s="62"/>
      <c r="D252" s="62"/>
      <c r="E252" s="62"/>
      <c r="F252" s="26"/>
      <c r="G252" s="38"/>
      <c r="H252" s="38"/>
      <c r="I252" s="38"/>
      <c r="J252" s="25"/>
      <c r="K252" s="38"/>
      <c r="L252" s="38"/>
      <c r="M252"/>
      <c r="N252"/>
      <c r="O252"/>
    </row>
    <row r="253" spans="1:15" ht="15.75">
      <c r="A253"/>
      <c r="B253" s="62"/>
      <c r="C253" s="62"/>
      <c r="D253" s="62"/>
      <c r="E253" s="62"/>
      <c r="F253" s="26"/>
      <c r="G253" s="38"/>
      <c r="H253" s="38"/>
      <c r="I253" s="38"/>
      <c r="J253" s="25"/>
      <c r="K253" s="38"/>
      <c r="L253" s="38"/>
      <c r="M253"/>
      <c r="N253"/>
      <c r="O253"/>
    </row>
    <row r="254" spans="1:15" ht="15.75">
      <c r="A254"/>
      <c r="B254" s="62"/>
      <c r="C254" s="62"/>
      <c r="D254" s="62"/>
      <c r="E254" s="62"/>
      <c r="F254" s="26"/>
      <c r="G254" s="38"/>
      <c r="H254" s="38"/>
      <c r="I254" s="38"/>
      <c r="J254" s="25"/>
      <c r="K254" s="38"/>
      <c r="L254" s="38"/>
      <c r="M254"/>
      <c r="N254"/>
      <c r="O254"/>
    </row>
    <row r="255" spans="1:15" ht="15.75">
      <c r="A255"/>
      <c r="B255" s="62"/>
      <c r="C255" s="62"/>
      <c r="D255" s="62"/>
      <c r="E255" s="62"/>
      <c r="F255" s="26"/>
      <c r="G255" s="38"/>
      <c r="H255" s="38"/>
      <c r="I255" s="38"/>
      <c r="J255" s="25"/>
      <c r="K255" s="38"/>
      <c r="L255" s="38"/>
      <c r="M255"/>
      <c r="N255"/>
      <c r="O255"/>
    </row>
    <row r="256" spans="1:15" ht="16.5" customHeight="1">
      <c r="A256"/>
      <c r="B256" s="62"/>
      <c r="C256" s="62"/>
      <c r="D256" s="62"/>
      <c r="E256" s="62"/>
      <c r="F256" s="26"/>
      <c r="G256" s="38"/>
      <c r="H256" s="38"/>
      <c r="I256" s="38"/>
      <c r="J256" s="25"/>
      <c r="K256" s="38"/>
      <c r="L256" s="38"/>
      <c r="M256"/>
      <c r="N256"/>
      <c r="O256"/>
    </row>
    <row r="257" spans="1:16" ht="9" customHeight="1">
      <c r="A257"/>
      <c r="B257" s="62"/>
      <c r="C257" s="62"/>
      <c r="D257" s="62"/>
      <c r="E257" s="62"/>
      <c r="F257" s="26"/>
      <c r="G257" s="38"/>
      <c r="H257" s="38"/>
      <c r="I257" s="38"/>
      <c r="J257" s="25"/>
      <c r="K257" s="38"/>
      <c r="L257" s="38"/>
      <c r="M257"/>
      <c r="N257"/>
      <c r="O257"/>
    </row>
    <row r="258" spans="1:16" ht="21.75" customHeight="1">
      <c r="A258" s="164" t="s">
        <v>0</v>
      </c>
      <c r="B258" s="165"/>
      <c r="C258" s="165"/>
      <c r="D258" s="165"/>
      <c r="E258" s="165"/>
      <c r="F258" s="165"/>
      <c r="G258" s="172"/>
      <c r="H258" s="39">
        <v>360</v>
      </c>
      <c r="I258" s="40" t="s">
        <v>17</v>
      </c>
      <c r="J258" s="173"/>
      <c r="K258" s="174"/>
      <c r="L258" s="175"/>
      <c r="M258" s="41"/>
      <c r="N258" s="41"/>
      <c r="O258" s="41"/>
    </row>
    <row r="259" spans="1:16">
      <c r="A259" s="42" t="s">
        <v>1</v>
      </c>
      <c r="B259" s="43"/>
      <c r="C259" s="44">
        <v>0</v>
      </c>
      <c r="D259" s="45">
        <v>5</v>
      </c>
      <c r="E259" s="45">
        <v>6.1</v>
      </c>
      <c r="F259" s="46">
        <v>6.4</v>
      </c>
      <c r="G259" s="46">
        <v>7.6</v>
      </c>
      <c r="H259" s="45">
        <v>7.7</v>
      </c>
      <c r="I259" s="47">
        <v>8.5</v>
      </c>
      <c r="J259" s="47">
        <v>9.1</v>
      </c>
      <c r="K259" s="45">
        <v>13</v>
      </c>
      <c r="L259" s="49">
        <v>13.5</v>
      </c>
      <c r="M259" s="45">
        <v>15.8</v>
      </c>
      <c r="N259" s="47"/>
      <c r="O259" s="50"/>
    </row>
    <row r="260" spans="1:16">
      <c r="A260" s="42" t="s">
        <v>2</v>
      </c>
      <c r="B260" s="43"/>
      <c r="C260" s="44">
        <v>97.45</v>
      </c>
      <c r="D260" s="45">
        <v>100.77</v>
      </c>
      <c r="E260" s="45">
        <v>101.5</v>
      </c>
      <c r="F260" s="45">
        <v>101.5</v>
      </c>
      <c r="G260" s="45">
        <v>101.5</v>
      </c>
      <c r="H260" s="45">
        <v>101.5</v>
      </c>
      <c r="I260" s="45">
        <v>101.5</v>
      </c>
      <c r="J260" s="47">
        <v>101.5</v>
      </c>
      <c r="K260" s="45">
        <v>99.55</v>
      </c>
      <c r="L260" s="49">
        <v>99.3</v>
      </c>
      <c r="M260" s="45">
        <v>98.15</v>
      </c>
      <c r="N260" s="47"/>
      <c r="O260" s="51"/>
    </row>
    <row r="261" spans="1:16">
      <c r="A261" s="42" t="s">
        <v>1</v>
      </c>
      <c r="B261" s="43"/>
      <c r="C261" s="44">
        <v>0</v>
      </c>
      <c r="D261" s="45">
        <v>5</v>
      </c>
      <c r="E261" s="45">
        <v>6.1</v>
      </c>
      <c r="F261" s="46">
        <v>6.4</v>
      </c>
      <c r="G261" s="46">
        <v>7.6</v>
      </c>
      <c r="H261" s="45">
        <v>7.7</v>
      </c>
      <c r="I261" s="47">
        <v>8.5</v>
      </c>
      <c r="J261" s="47">
        <v>9.1</v>
      </c>
      <c r="K261" s="45">
        <v>13</v>
      </c>
      <c r="L261" s="49">
        <v>13.5</v>
      </c>
      <c r="M261" s="45">
        <v>15.8</v>
      </c>
      <c r="N261" s="47"/>
      <c r="O261" s="50"/>
    </row>
    <row r="262" spans="1:16">
      <c r="A262" s="42" t="s">
        <v>3</v>
      </c>
      <c r="B262" s="9"/>
      <c r="C262" s="44">
        <v>97.45</v>
      </c>
      <c r="D262" s="45">
        <v>100.77</v>
      </c>
      <c r="E262" s="45">
        <v>100.95099999999999</v>
      </c>
      <c r="F262" s="45">
        <v>101</v>
      </c>
      <c r="G262" s="45">
        <v>101</v>
      </c>
      <c r="H262" s="45">
        <v>101</v>
      </c>
      <c r="I262" s="45">
        <v>101</v>
      </c>
      <c r="J262" s="47">
        <v>100.658</v>
      </c>
      <c r="K262" s="45">
        <v>98.435000000000002</v>
      </c>
      <c r="L262" s="49">
        <v>98.15</v>
      </c>
      <c r="M262" s="45">
        <v>98.15</v>
      </c>
      <c r="N262" s="47"/>
      <c r="O262" s="53"/>
    </row>
    <row r="263" spans="1:16">
      <c r="A263" s="42" t="s">
        <v>18</v>
      </c>
      <c r="B263" s="9"/>
      <c r="C263" s="47">
        <f t="shared" ref="C263:M263" si="30">C260-C262</f>
        <v>0</v>
      </c>
      <c r="D263" s="47">
        <f t="shared" si="30"/>
        <v>0</v>
      </c>
      <c r="E263" s="47">
        <f t="shared" si="30"/>
        <v>0.54900000000000659</v>
      </c>
      <c r="F263" s="47">
        <f t="shared" si="30"/>
        <v>0.5</v>
      </c>
      <c r="G263" s="47">
        <f t="shared" si="30"/>
        <v>0.5</v>
      </c>
      <c r="H263" s="47">
        <f t="shared" si="30"/>
        <v>0.5</v>
      </c>
      <c r="I263" s="47">
        <f t="shared" si="30"/>
        <v>0.5</v>
      </c>
      <c r="J263" s="47">
        <f t="shared" si="30"/>
        <v>0.84199999999999875</v>
      </c>
      <c r="K263" s="47">
        <f t="shared" si="30"/>
        <v>1.1149999999999949</v>
      </c>
      <c r="L263" s="47">
        <f t="shared" si="30"/>
        <v>1.1499999999999915</v>
      </c>
      <c r="M263" s="47">
        <f t="shared" si="30"/>
        <v>0</v>
      </c>
      <c r="N263" s="47"/>
      <c r="O263" s="51"/>
    </row>
    <row r="264" spans="1:16">
      <c r="A264" s="42" t="s">
        <v>5</v>
      </c>
      <c r="B264" s="9"/>
      <c r="C264" s="47">
        <f t="shared" ref="C264" si="31">(C263+B263)/2*(C259-B259)</f>
        <v>0</v>
      </c>
      <c r="D264" s="47">
        <f t="shared" ref="D264" si="32">(D263+C263)/2*(D259-C259)</f>
        <v>0</v>
      </c>
      <c r="E264" s="47">
        <f t="shared" ref="E264" si="33">(E263+D263)/2*(E259-D259)</f>
        <v>0.30195000000000355</v>
      </c>
      <c r="F264" s="47">
        <f t="shared" ref="F264" si="34">(F263+E263)/2*(F259-E259)</f>
        <v>0.15735000000000135</v>
      </c>
      <c r="G264" s="47">
        <f t="shared" ref="G264" si="35">(G263+F263)/2*(G259-F259)</f>
        <v>0.59999999999999964</v>
      </c>
      <c r="H264" s="47">
        <f t="shared" ref="H264" si="36">(H263+G263)/2*(H259-G259)</f>
        <v>5.0000000000000266E-2</v>
      </c>
      <c r="I264" s="47">
        <f t="shared" ref="I264" si="37">(I263+H263)/2*(I259-H259)</f>
        <v>0.39999999999999991</v>
      </c>
      <c r="J264" s="47">
        <f t="shared" ref="J264" si="38">(J263+I263)/2*(J259-I259)</f>
        <v>0.4025999999999994</v>
      </c>
      <c r="K264" s="47">
        <f t="shared" ref="K264" si="39">(K263+J263)/2*(K259-J259)</f>
        <v>3.8161499999999879</v>
      </c>
      <c r="L264" s="47">
        <f t="shared" ref="L264" si="40">(L263+K263)/2*(L259-K259)</f>
        <v>0.56624999999999659</v>
      </c>
      <c r="M264" s="47">
        <f t="shared" ref="M264" si="41">(M263+L263)/2*(M259-L259)</f>
        <v>1.3224999999999907</v>
      </c>
      <c r="N264" s="47"/>
      <c r="O264" s="21">
        <v>7.6159999999999997</v>
      </c>
      <c r="P264" s="31"/>
    </row>
    <row r="265" spans="1:16" ht="17.25">
      <c r="A265" s="54"/>
      <c r="B265" s="54"/>
      <c r="C265" s="54"/>
      <c r="D265" s="55"/>
      <c r="E265" s="55"/>
      <c r="F265" s="56"/>
      <c r="G265" s="56"/>
      <c r="H265" s="56"/>
      <c r="I265" s="57"/>
      <c r="K265" s="161" t="s">
        <v>19</v>
      </c>
      <c r="L265" s="162"/>
      <c r="M265" s="162"/>
      <c r="N265" s="163"/>
      <c r="O265" s="59">
        <f>O264</f>
        <v>7.6159999999999997</v>
      </c>
      <c r="P265">
        <v>7.6159999999999997</v>
      </c>
    </row>
    <row r="266" spans="1:16">
      <c r="A266" s="60"/>
      <c r="B266" s="60"/>
      <c r="C266" s="60"/>
      <c r="D266" s="61"/>
      <c r="E266" s="61"/>
      <c r="F266" s="61"/>
      <c r="G266" s="61"/>
      <c r="H266" s="61"/>
      <c r="I266" s="57"/>
      <c r="J266" s="61"/>
      <c r="K266" s="61"/>
      <c r="L266" s="61"/>
      <c r="M266" s="61"/>
      <c r="N266" s="61"/>
      <c r="O266" s="61"/>
    </row>
    <row r="267" spans="1:16">
      <c r="A267" s="60"/>
      <c r="B267" s="60"/>
      <c r="C267" s="60"/>
      <c r="D267" s="61"/>
      <c r="E267" s="61"/>
      <c r="F267" s="61"/>
      <c r="G267" s="61"/>
      <c r="H267" s="61"/>
      <c r="I267" s="57"/>
      <c r="J267" s="61"/>
      <c r="K267" s="61"/>
      <c r="L267" s="61"/>
      <c r="M267" s="61"/>
      <c r="N267" s="61"/>
      <c r="O267" s="61"/>
    </row>
    <row r="268" spans="1:16">
      <c r="A268" s="60"/>
      <c r="B268" s="60"/>
      <c r="C268" s="60"/>
      <c r="D268" s="61"/>
      <c r="E268" s="61"/>
      <c r="F268" s="61"/>
      <c r="G268" s="61"/>
      <c r="H268" s="61"/>
      <c r="I268" s="57"/>
      <c r="J268" s="61"/>
      <c r="K268" s="61"/>
      <c r="L268" s="61"/>
      <c r="M268" s="61"/>
      <c r="N268" s="61"/>
      <c r="O268" s="61"/>
    </row>
    <row r="269" spans="1:16">
      <c r="A269" s="60"/>
      <c r="B269" s="60"/>
      <c r="C269" s="60"/>
      <c r="D269" s="61"/>
      <c r="E269" s="61"/>
      <c r="F269" s="61"/>
      <c r="G269" s="61"/>
      <c r="H269" s="61"/>
      <c r="I269" s="57"/>
      <c r="J269" s="61"/>
      <c r="K269" s="61"/>
      <c r="L269" s="61"/>
      <c r="M269" s="61"/>
      <c r="N269" s="61"/>
      <c r="O269" s="61"/>
    </row>
    <row r="270" spans="1:16">
      <c r="A270" s="60"/>
      <c r="B270" s="60"/>
      <c r="C270" s="60"/>
      <c r="D270" s="61"/>
      <c r="E270" s="61"/>
      <c r="F270" s="61"/>
      <c r="G270" s="61"/>
      <c r="H270" s="61"/>
      <c r="I270" s="57"/>
      <c r="J270" s="61"/>
      <c r="K270" s="61"/>
      <c r="L270" s="61"/>
      <c r="M270" s="61"/>
      <c r="N270" s="61"/>
      <c r="O270" s="61"/>
    </row>
    <row r="271" spans="1:16">
      <c r="A271" s="60"/>
      <c r="B271" s="60"/>
      <c r="C271" s="60"/>
      <c r="D271" s="61"/>
      <c r="E271" s="61"/>
      <c r="F271" s="61"/>
      <c r="G271" s="61"/>
      <c r="H271" s="61"/>
      <c r="I271" s="57"/>
      <c r="J271" s="61"/>
      <c r="K271" s="61"/>
      <c r="L271" s="61"/>
      <c r="M271" s="61"/>
      <c r="N271" s="61"/>
      <c r="O271" s="61"/>
    </row>
    <row r="272" spans="1:16">
      <c r="A272" s="60"/>
      <c r="B272" s="60"/>
      <c r="C272" s="60"/>
      <c r="D272" s="61"/>
      <c r="E272" s="61"/>
      <c r="F272" s="61"/>
      <c r="G272" s="61"/>
      <c r="H272" s="61"/>
      <c r="I272" s="57"/>
      <c r="J272" s="61"/>
      <c r="K272" s="61"/>
      <c r="L272" s="61"/>
      <c r="M272" s="76" t="s">
        <v>22</v>
      </c>
      <c r="N272" s="76">
        <v>101.58</v>
      </c>
      <c r="O272" s="61"/>
    </row>
    <row r="273" spans="1:15">
      <c r="A273" s="60"/>
      <c r="B273" s="60"/>
      <c r="C273" s="60"/>
      <c r="D273" s="61"/>
      <c r="E273" s="61"/>
      <c r="F273" s="61"/>
      <c r="G273" s="61"/>
      <c r="H273" s="61"/>
      <c r="I273" s="57"/>
      <c r="J273" s="61"/>
      <c r="K273" s="61"/>
      <c r="L273" s="61"/>
      <c r="M273" s="76" t="s">
        <v>23</v>
      </c>
      <c r="N273" s="76">
        <v>100.36</v>
      </c>
      <c r="O273" s="61"/>
    </row>
    <row r="274" spans="1:15">
      <c r="A274" s="60"/>
      <c r="B274" s="60"/>
      <c r="C274" s="60"/>
      <c r="D274" s="61"/>
      <c r="E274" s="61"/>
      <c r="F274" s="61"/>
      <c r="G274" s="61"/>
      <c r="H274" s="61"/>
      <c r="I274" s="57"/>
      <c r="J274" s="61"/>
      <c r="K274" s="61"/>
      <c r="L274" s="61"/>
      <c r="M274" s="76" t="s">
        <v>24</v>
      </c>
      <c r="N274" s="76">
        <v>100</v>
      </c>
      <c r="O274" s="61"/>
    </row>
    <row r="275" spans="1:15">
      <c r="A275" s="60"/>
      <c r="B275" s="60"/>
      <c r="C275" s="60"/>
      <c r="D275" s="61"/>
      <c r="E275" s="61"/>
      <c r="F275" s="61"/>
      <c r="G275" s="61"/>
      <c r="H275" s="61"/>
      <c r="I275" s="57"/>
      <c r="J275" s="61"/>
      <c r="K275" s="61"/>
      <c r="L275" s="61"/>
      <c r="M275" s="76" t="s">
        <v>25</v>
      </c>
      <c r="N275" s="76">
        <v>99.34</v>
      </c>
      <c r="O275" s="61"/>
    </row>
    <row r="276" spans="1:15">
      <c r="A276" s="60"/>
      <c r="B276" s="60"/>
      <c r="C276" s="60"/>
      <c r="D276" s="61"/>
      <c r="E276" s="61"/>
      <c r="F276" s="61"/>
      <c r="G276" s="61"/>
      <c r="H276" s="61"/>
      <c r="I276" s="57"/>
      <c r="J276" s="61"/>
      <c r="K276" s="61"/>
      <c r="L276" s="61"/>
      <c r="M276" s="61"/>
      <c r="N276" s="61"/>
      <c r="O276" s="61"/>
    </row>
    <row r="277" spans="1:15">
      <c r="A277" s="60"/>
      <c r="B277" s="60"/>
      <c r="C277" s="60"/>
      <c r="D277" s="61"/>
      <c r="E277" s="61"/>
      <c r="F277" s="61"/>
      <c r="G277" s="61"/>
      <c r="H277" s="61"/>
      <c r="I277" s="57"/>
      <c r="J277" s="61"/>
      <c r="K277" s="61"/>
      <c r="L277" s="61"/>
      <c r="M277" s="61"/>
      <c r="N277" s="61"/>
      <c r="O277" s="61"/>
    </row>
    <row r="278" spans="1:15">
      <c r="A278" s="60"/>
      <c r="B278" s="60"/>
      <c r="C278" s="60"/>
      <c r="D278" s="61"/>
      <c r="E278" s="61"/>
      <c r="F278" s="61"/>
      <c r="G278" s="61"/>
      <c r="H278" s="61"/>
      <c r="I278" s="57"/>
      <c r="J278" s="61"/>
      <c r="K278" s="61"/>
      <c r="L278" s="61"/>
      <c r="M278" s="61"/>
      <c r="N278" s="61"/>
      <c r="O278" s="61"/>
    </row>
    <row r="279" spans="1:15">
      <c r="A279" s="60"/>
      <c r="B279" s="60"/>
      <c r="C279" s="60"/>
      <c r="D279" s="61"/>
      <c r="E279" s="61"/>
      <c r="F279" s="61"/>
      <c r="G279" s="61"/>
      <c r="H279" s="61"/>
      <c r="I279" s="57"/>
      <c r="J279" s="61"/>
      <c r="K279" s="61"/>
      <c r="L279" s="61"/>
      <c r="M279" s="61"/>
      <c r="N279" s="61"/>
      <c r="O279" s="61"/>
    </row>
    <row r="280" spans="1:15">
      <c r="A280" s="60"/>
      <c r="B280" s="60"/>
      <c r="C280" s="60"/>
      <c r="D280" s="61"/>
      <c r="E280" s="61"/>
      <c r="F280" s="61"/>
      <c r="G280" s="61"/>
      <c r="H280" s="61"/>
      <c r="I280" s="57"/>
      <c r="J280" s="61"/>
      <c r="K280" s="61"/>
      <c r="L280" s="61"/>
      <c r="M280" s="61"/>
      <c r="N280" s="61"/>
      <c r="O280" s="61"/>
    </row>
    <row r="281" spans="1:15">
      <c r="A281" s="60"/>
      <c r="B281" s="60"/>
      <c r="C281" s="60"/>
      <c r="D281" s="61"/>
      <c r="E281" s="61"/>
      <c r="F281" s="61"/>
      <c r="G281" s="61"/>
      <c r="H281" s="61"/>
      <c r="I281" s="57"/>
      <c r="J281" s="61"/>
      <c r="K281" s="61"/>
      <c r="L281" s="61"/>
      <c r="M281" s="61"/>
      <c r="N281" s="61"/>
      <c r="O281" s="61"/>
    </row>
    <row r="282" spans="1:15">
      <c r="A282" s="60"/>
      <c r="B282" s="60"/>
      <c r="C282" s="60"/>
      <c r="D282" s="61"/>
      <c r="E282" s="61"/>
      <c r="F282" s="61"/>
      <c r="G282" s="61"/>
      <c r="H282" s="61"/>
      <c r="I282" s="57"/>
      <c r="J282" s="61"/>
      <c r="K282" s="61"/>
      <c r="L282" s="61"/>
      <c r="M282" s="61"/>
      <c r="N282" s="61"/>
      <c r="O282" s="61"/>
    </row>
    <row r="283" spans="1:15">
      <c r="A283" s="176" t="s">
        <v>0</v>
      </c>
      <c r="B283" s="176"/>
      <c r="C283" s="176"/>
      <c r="D283" s="176"/>
      <c r="E283" s="176"/>
      <c r="F283" s="176"/>
      <c r="G283" s="176"/>
      <c r="H283" s="39">
        <v>400</v>
      </c>
      <c r="I283" s="40" t="s">
        <v>17</v>
      </c>
      <c r="J283" s="173"/>
      <c r="K283" s="174"/>
      <c r="L283" s="175"/>
      <c r="M283" s="41"/>
      <c r="N283" s="41"/>
      <c r="O283" s="41"/>
    </row>
    <row r="284" spans="1:15">
      <c r="A284" s="42" t="s">
        <v>1</v>
      </c>
      <c r="B284" s="43"/>
      <c r="C284" s="44">
        <v>0</v>
      </c>
      <c r="D284" s="45">
        <v>4.5</v>
      </c>
      <c r="E284" s="45">
        <v>5.8</v>
      </c>
      <c r="F284" s="46">
        <v>6.1</v>
      </c>
      <c r="G284" s="46">
        <v>7.2</v>
      </c>
      <c r="H284" s="45">
        <v>7.3</v>
      </c>
      <c r="I284" s="47">
        <v>8</v>
      </c>
      <c r="J284" s="47">
        <v>8.8000000000000007</v>
      </c>
      <c r="K284" s="45">
        <v>12</v>
      </c>
      <c r="L284" s="49">
        <v>12.5</v>
      </c>
      <c r="M284" s="45">
        <v>14.7</v>
      </c>
      <c r="N284" s="47"/>
      <c r="O284" s="50"/>
    </row>
    <row r="285" spans="1:15">
      <c r="A285" s="42" t="s">
        <v>2</v>
      </c>
      <c r="B285" s="43"/>
      <c r="C285" s="44">
        <v>97.65</v>
      </c>
      <c r="D285" s="45">
        <v>100.64</v>
      </c>
      <c r="E285" s="45">
        <v>101.5</v>
      </c>
      <c r="F285" s="45">
        <v>101.5</v>
      </c>
      <c r="G285" s="45">
        <v>101.5</v>
      </c>
      <c r="H285" s="45">
        <v>101.5</v>
      </c>
      <c r="I285" s="45">
        <v>101.5</v>
      </c>
      <c r="J285" s="47">
        <v>101.5</v>
      </c>
      <c r="K285" s="45">
        <v>99.9</v>
      </c>
      <c r="L285" s="49">
        <v>99.65</v>
      </c>
      <c r="M285" s="45">
        <v>98.55</v>
      </c>
      <c r="N285" s="47"/>
      <c r="O285" s="51"/>
    </row>
    <row r="286" spans="1:15">
      <c r="A286" s="42" t="s">
        <v>1</v>
      </c>
      <c r="B286" s="43"/>
      <c r="C286" s="44">
        <v>0</v>
      </c>
      <c r="D286" s="45">
        <v>4.5</v>
      </c>
      <c r="E286" s="45">
        <v>5.8</v>
      </c>
      <c r="F286" s="46">
        <v>6.1</v>
      </c>
      <c r="G286" s="46">
        <v>7.2</v>
      </c>
      <c r="H286" s="45">
        <v>7.3</v>
      </c>
      <c r="I286" s="47">
        <v>8</v>
      </c>
      <c r="J286" s="47">
        <v>8.8000000000000007</v>
      </c>
      <c r="K286" s="45">
        <v>12</v>
      </c>
      <c r="L286" s="49">
        <v>12.5</v>
      </c>
      <c r="M286" s="45">
        <v>14.7</v>
      </c>
      <c r="N286" s="47"/>
      <c r="O286" s="50"/>
    </row>
    <row r="287" spans="1:15">
      <c r="A287" s="42" t="s">
        <v>3</v>
      </c>
      <c r="B287" s="9"/>
      <c r="C287" s="44">
        <v>97.65</v>
      </c>
      <c r="D287" s="45">
        <v>100.64</v>
      </c>
      <c r="E287" s="45">
        <v>100.92400000000001</v>
      </c>
      <c r="F287" s="45">
        <v>100.99</v>
      </c>
      <c r="G287" s="45">
        <v>100.99</v>
      </c>
      <c r="H287" s="45">
        <v>100.99</v>
      </c>
      <c r="I287" s="45">
        <v>100.99</v>
      </c>
      <c r="J287" s="47">
        <v>100.55800000000001</v>
      </c>
      <c r="K287" s="45">
        <v>98.83</v>
      </c>
      <c r="L287" s="49">
        <v>98.56</v>
      </c>
      <c r="M287" s="45">
        <v>98.55</v>
      </c>
      <c r="N287" s="47"/>
      <c r="O287" s="53"/>
    </row>
    <row r="288" spans="1:15">
      <c r="A288" s="42" t="s">
        <v>18</v>
      </c>
      <c r="B288" s="9"/>
      <c r="C288" s="47">
        <f t="shared" ref="C288:M288" si="42">C285-C287</f>
        <v>0</v>
      </c>
      <c r="D288" s="47">
        <f t="shared" si="42"/>
        <v>0</v>
      </c>
      <c r="E288" s="47">
        <f t="shared" si="42"/>
        <v>0.57599999999999341</v>
      </c>
      <c r="F288" s="47">
        <f t="shared" si="42"/>
        <v>0.51000000000000512</v>
      </c>
      <c r="G288" s="47">
        <f t="shared" si="42"/>
        <v>0.51000000000000512</v>
      </c>
      <c r="H288" s="47">
        <f t="shared" si="42"/>
        <v>0.51000000000000512</v>
      </c>
      <c r="I288" s="47">
        <f t="shared" si="42"/>
        <v>0.51000000000000512</v>
      </c>
      <c r="J288" s="47">
        <f t="shared" si="42"/>
        <v>0.94199999999999307</v>
      </c>
      <c r="K288" s="47">
        <f t="shared" si="42"/>
        <v>1.0700000000000074</v>
      </c>
      <c r="L288" s="47">
        <f t="shared" si="42"/>
        <v>1.0900000000000034</v>
      </c>
      <c r="M288" s="47">
        <f t="shared" si="42"/>
        <v>0</v>
      </c>
      <c r="N288" s="47"/>
      <c r="O288" s="51"/>
    </row>
    <row r="289" spans="1:16">
      <c r="A289" s="42" t="s">
        <v>5</v>
      </c>
      <c r="B289" s="9"/>
      <c r="C289" s="47">
        <f t="shared" ref="C289" si="43">(C288+B288)/2*(C284-B284)</f>
        <v>0</v>
      </c>
      <c r="D289" s="47">
        <f t="shared" ref="D289" si="44">(D288+C288)/2*(D284-C284)</f>
        <v>0</v>
      </c>
      <c r="E289" s="47">
        <f t="shared" ref="E289" si="45">(E288+D288)/2*(E284-D284)</f>
        <v>0.37439999999999568</v>
      </c>
      <c r="F289" s="47">
        <f t="shared" ref="F289" si="46">(F288+E288)/2*(F284-E284)</f>
        <v>0.16289999999999968</v>
      </c>
      <c r="G289" s="47">
        <f t="shared" ref="G289" si="47">(G288+F288)/2*(G284-F284)</f>
        <v>0.56100000000000594</v>
      </c>
      <c r="H289" s="47">
        <f t="shared" ref="H289" si="48">(H288+G288)/2*(H284-G284)</f>
        <v>5.100000000000033E-2</v>
      </c>
      <c r="I289" s="47">
        <f t="shared" ref="I289" si="49">(I288+H288)/2*(I284-H284)</f>
        <v>0.35700000000000365</v>
      </c>
      <c r="J289" s="47">
        <f t="shared" ref="J289" si="50">(J288+I288)/2*(J284-I284)</f>
        <v>0.58079999999999976</v>
      </c>
      <c r="K289" s="47">
        <f t="shared" ref="K289" si="51">(K288+J288)/2*(K284-J284)</f>
        <v>3.2191999999999998</v>
      </c>
      <c r="L289" s="47">
        <f t="shared" ref="L289" si="52">(L288+K288)/2*(L284-K284)</f>
        <v>0.5400000000000027</v>
      </c>
      <c r="M289" s="47">
        <f t="shared" ref="M289" si="53">(M288+L288)/2*(M284-L284)</f>
        <v>1.1990000000000034</v>
      </c>
      <c r="N289" s="47"/>
      <c r="O289" s="21">
        <f>SUM(D289:N289)</f>
        <v>7.0453000000000108</v>
      </c>
      <c r="P289" s="31"/>
    </row>
    <row r="290" spans="1:16" ht="17.25">
      <c r="A290" s="54"/>
      <c r="B290" s="54"/>
      <c r="C290" s="54"/>
      <c r="D290" s="55"/>
      <c r="E290" s="55"/>
      <c r="F290" s="56"/>
      <c r="G290" s="56"/>
      <c r="H290" s="56"/>
      <c r="I290" s="57"/>
      <c r="K290" s="161" t="s">
        <v>19</v>
      </c>
      <c r="L290" s="162"/>
      <c r="M290" s="162"/>
      <c r="N290" s="163"/>
      <c r="O290" s="59">
        <f>O289</f>
        <v>7.0453000000000108</v>
      </c>
    </row>
    <row r="291" spans="1:16">
      <c r="A291" s="60"/>
      <c r="B291" s="60"/>
      <c r="C291" s="60"/>
      <c r="D291" s="61"/>
      <c r="E291" s="61"/>
      <c r="F291" s="61"/>
      <c r="G291" s="61"/>
      <c r="H291" s="61"/>
      <c r="I291" s="57"/>
      <c r="J291" s="61"/>
      <c r="K291" s="61"/>
      <c r="L291" s="61"/>
      <c r="M291" s="61"/>
      <c r="N291" s="61"/>
      <c r="O291" s="61"/>
    </row>
    <row r="292" spans="1:16">
      <c r="A292" s="60"/>
      <c r="B292" s="60"/>
      <c r="C292" s="60"/>
      <c r="D292" s="61"/>
      <c r="E292" s="61"/>
      <c r="F292" s="61"/>
      <c r="G292" s="61"/>
      <c r="H292" s="61"/>
      <c r="I292" s="57"/>
      <c r="J292" s="61"/>
      <c r="K292" s="61"/>
      <c r="L292" s="61"/>
      <c r="M292" s="61"/>
      <c r="N292" s="61"/>
      <c r="O292" s="61"/>
    </row>
    <row r="293" spans="1:16">
      <c r="A293" s="60"/>
      <c r="B293" s="60"/>
      <c r="C293" s="60"/>
      <c r="D293" s="61"/>
      <c r="E293" s="61"/>
      <c r="F293" s="61"/>
      <c r="G293" s="61"/>
      <c r="H293" s="61"/>
      <c r="I293" s="57"/>
      <c r="J293" s="61"/>
      <c r="K293" s="61"/>
      <c r="L293" s="61"/>
      <c r="M293" s="61"/>
      <c r="N293" s="61"/>
      <c r="O293" s="61"/>
    </row>
    <row r="294" spans="1:16">
      <c r="A294" s="60"/>
      <c r="B294" s="60"/>
      <c r="C294" s="60"/>
      <c r="D294" s="61"/>
      <c r="E294" s="61"/>
      <c r="F294" s="61"/>
      <c r="G294" s="61"/>
      <c r="H294" s="61"/>
      <c r="I294" s="57"/>
      <c r="J294" s="61"/>
      <c r="K294" s="61"/>
      <c r="L294" s="61"/>
      <c r="M294" s="61"/>
      <c r="N294" s="61"/>
      <c r="O294" s="61"/>
    </row>
    <row r="295" spans="1:16">
      <c r="A295" s="60"/>
      <c r="B295" s="60"/>
      <c r="C295" s="60"/>
      <c r="D295" s="61"/>
      <c r="E295" s="61"/>
      <c r="F295" s="61"/>
      <c r="G295" s="61"/>
      <c r="H295" s="61"/>
      <c r="I295" s="57"/>
      <c r="J295" s="61"/>
      <c r="K295" s="61"/>
      <c r="L295" s="61"/>
      <c r="M295" s="76" t="s">
        <v>22</v>
      </c>
      <c r="N295" s="76">
        <v>101.58</v>
      </c>
      <c r="O295" s="61"/>
    </row>
    <row r="296" spans="1:16">
      <c r="A296" s="60"/>
      <c r="B296" s="60"/>
      <c r="C296" s="60"/>
      <c r="D296" s="61"/>
      <c r="E296" s="61"/>
      <c r="F296" s="61"/>
      <c r="G296" s="61"/>
      <c r="H296" s="61"/>
      <c r="I296" s="57"/>
      <c r="J296" s="61"/>
      <c r="K296" s="61"/>
      <c r="L296" s="61"/>
      <c r="M296" s="76" t="s">
        <v>23</v>
      </c>
      <c r="N296" s="76">
        <v>100.36</v>
      </c>
      <c r="O296" s="61"/>
    </row>
    <row r="297" spans="1:16">
      <c r="A297" s="60"/>
      <c r="B297" s="60"/>
      <c r="C297" s="60"/>
      <c r="D297" s="61"/>
      <c r="E297" s="61"/>
      <c r="F297" s="61"/>
      <c r="G297" s="61"/>
      <c r="H297" s="61"/>
      <c r="I297" s="57"/>
      <c r="J297" s="61"/>
      <c r="K297" s="61"/>
      <c r="L297" s="61"/>
      <c r="M297" s="76" t="s">
        <v>24</v>
      </c>
      <c r="N297" s="76">
        <v>100</v>
      </c>
      <c r="O297" s="61"/>
    </row>
    <row r="298" spans="1:16">
      <c r="A298" s="60"/>
      <c r="B298" s="60"/>
      <c r="C298" s="60"/>
      <c r="D298" s="61"/>
      <c r="E298" s="61"/>
      <c r="F298" s="61"/>
      <c r="G298" s="61"/>
      <c r="H298" s="61"/>
      <c r="I298" s="57"/>
      <c r="J298" s="61"/>
      <c r="K298" s="61"/>
      <c r="L298" s="61"/>
      <c r="M298" s="76" t="s">
        <v>25</v>
      </c>
      <c r="N298" s="76">
        <v>99.34</v>
      </c>
      <c r="O298" s="61"/>
    </row>
    <row r="299" spans="1:16">
      <c r="A299" s="60"/>
      <c r="B299" s="60"/>
      <c r="C299" s="60"/>
      <c r="D299" s="61"/>
      <c r="E299" s="61"/>
      <c r="F299" s="61"/>
      <c r="G299" s="61"/>
      <c r="H299" s="61"/>
      <c r="I299" s="57"/>
      <c r="J299" s="61"/>
      <c r="K299" s="61"/>
      <c r="L299" s="61"/>
      <c r="M299" s="61"/>
      <c r="N299" s="61"/>
      <c r="O299" s="61"/>
    </row>
    <row r="300" spans="1:16">
      <c r="A300" s="60"/>
      <c r="B300" s="60"/>
      <c r="C300" s="60"/>
      <c r="D300" s="61"/>
      <c r="E300" s="61"/>
      <c r="F300" s="61"/>
      <c r="G300" s="61"/>
      <c r="H300" s="61"/>
      <c r="I300" s="57"/>
      <c r="J300" s="61"/>
      <c r="K300" s="61"/>
      <c r="L300" s="61"/>
      <c r="M300" s="61"/>
      <c r="N300" s="61"/>
      <c r="O300" s="61"/>
    </row>
    <row r="301" spans="1:16">
      <c r="A301" s="60"/>
      <c r="B301" s="60"/>
      <c r="C301" s="60"/>
      <c r="D301" s="61"/>
      <c r="E301" s="61"/>
      <c r="F301" s="61"/>
      <c r="G301" s="61"/>
      <c r="H301" s="61"/>
      <c r="I301" s="57"/>
      <c r="J301" s="61"/>
      <c r="K301" s="61"/>
      <c r="L301" s="61"/>
      <c r="M301" s="61"/>
      <c r="N301" s="61"/>
      <c r="O301" s="61"/>
    </row>
    <row r="302" spans="1:16">
      <c r="A302" s="60"/>
      <c r="B302" s="60"/>
      <c r="C302" s="60"/>
      <c r="D302" s="61"/>
      <c r="E302" s="61"/>
      <c r="F302" s="61"/>
      <c r="G302" s="61"/>
      <c r="H302" s="61"/>
      <c r="I302" s="57"/>
      <c r="J302" s="61"/>
      <c r="K302" s="61"/>
      <c r="L302" s="61"/>
      <c r="M302" s="61"/>
      <c r="N302" s="61"/>
      <c r="O302" s="61"/>
    </row>
    <row r="303" spans="1:16">
      <c r="A303" s="60"/>
      <c r="B303" s="60"/>
      <c r="C303" s="60"/>
      <c r="D303" s="61"/>
      <c r="E303" s="61"/>
      <c r="F303" s="61"/>
      <c r="G303" s="61"/>
      <c r="H303" s="61"/>
      <c r="I303" s="57"/>
      <c r="J303" s="61"/>
      <c r="K303" s="61"/>
      <c r="L303" s="61"/>
      <c r="M303" s="61"/>
      <c r="N303" s="61"/>
      <c r="O303" s="61"/>
    </row>
    <row r="304" spans="1:16">
      <c r="A304" s="60"/>
      <c r="B304" s="60"/>
      <c r="C304" s="60"/>
      <c r="D304" s="61"/>
      <c r="E304" s="61"/>
      <c r="F304" s="61"/>
      <c r="G304" s="61"/>
      <c r="H304" s="61"/>
      <c r="I304" s="57"/>
      <c r="J304" s="61"/>
      <c r="K304" s="61"/>
      <c r="L304" s="61"/>
      <c r="M304" s="61"/>
      <c r="N304" s="61"/>
      <c r="O304" s="61"/>
    </row>
    <row r="305" spans="1:16">
      <c r="A305" s="60"/>
      <c r="B305" s="60"/>
      <c r="C305" s="60"/>
      <c r="D305" s="61"/>
      <c r="E305" s="61"/>
      <c r="F305" s="61"/>
      <c r="G305" s="61"/>
      <c r="H305" s="61"/>
      <c r="I305" s="57"/>
      <c r="J305" s="61"/>
      <c r="K305" s="61"/>
      <c r="L305" s="61"/>
      <c r="M305" s="61"/>
      <c r="N305" s="61"/>
      <c r="O305" s="61"/>
    </row>
    <row r="306" spans="1:16" ht="17.25" customHeight="1">
      <c r="A306" s="176" t="s">
        <v>0</v>
      </c>
      <c r="B306" s="176"/>
      <c r="C306" s="176"/>
      <c r="D306" s="176"/>
      <c r="E306" s="176"/>
      <c r="F306" s="176"/>
      <c r="G306" s="176"/>
      <c r="H306" s="39">
        <v>440</v>
      </c>
      <c r="I306" s="40" t="s">
        <v>17</v>
      </c>
      <c r="J306" s="173"/>
      <c r="K306" s="174"/>
      <c r="L306" s="175"/>
      <c r="M306" s="41"/>
      <c r="N306" s="41"/>
      <c r="O306" s="41"/>
    </row>
    <row r="307" spans="1:16" ht="17.25" customHeight="1">
      <c r="A307" s="42" t="s">
        <v>1</v>
      </c>
      <c r="B307" s="43"/>
      <c r="C307" s="44">
        <v>0</v>
      </c>
      <c r="D307" s="45">
        <v>3</v>
      </c>
      <c r="E307" s="45">
        <v>4.7</v>
      </c>
      <c r="F307" s="46">
        <v>5</v>
      </c>
      <c r="G307" s="46">
        <v>6.2</v>
      </c>
      <c r="H307" s="45">
        <v>6.3</v>
      </c>
      <c r="I307" s="47">
        <v>7</v>
      </c>
      <c r="J307" s="47">
        <v>7.7</v>
      </c>
      <c r="K307" s="48">
        <v>11</v>
      </c>
      <c r="L307" s="49">
        <v>13.4</v>
      </c>
      <c r="M307" s="47"/>
      <c r="N307" s="47"/>
      <c r="O307" s="50"/>
    </row>
    <row r="308" spans="1:16" ht="17.25" customHeight="1">
      <c r="A308" s="42" t="s">
        <v>2</v>
      </c>
      <c r="B308" s="43"/>
      <c r="C308" s="44">
        <v>98.37</v>
      </c>
      <c r="D308" s="45">
        <v>100.37</v>
      </c>
      <c r="E308" s="45">
        <v>101.5</v>
      </c>
      <c r="F308" s="45">
        <v>101.5</v>
      </c>
      <c r="G308" s="45">
        <v>101.5</v>
      </c>
      <c r="H308" s="45">
        <v>101.5</v>
      </c>
      <c r="I308" s="45">
        <v>101.5</v>
      </c>
      <c r="J308" s="47">
        <v>101.5</v>
      </c>
      <c r="K308" s="48">
        <v>99.85</v>
      </c>
      <c r="L308" s="49">
        <v>98.65</v>
      </c>
      <c r="M308" s="47"/>
      <c r="N308" s="47"/>
      <c r="O308" s="51"/>
    </row>
    <row r="309" spans="1:16" ht="17.25" customHeight="1">
      <c r="A309" s="42" t="s">
        <v>1</v>
      </c>
      <c r="B309" s="43"/>
      <c r="C309" s="44">
        <v>0</v>
      </c>
      <c r="D309" s="45">
        <v>3</v>
      </c>
      <c r="E309" s="45">
        <v>4.7</v>
      </c>
      <c r="F309" s="46">
        <v>5</v>
      </c>
      <c r="G309" s="46">
        <v>6.2</v>
      </c>
      <c r="H309" s="45">
        <v>6.3</v>
      </c>
      <c r="I309" s="47">
        <v>7</v>
      </c>
      <c r="J309" s="47">
        <v>7.7</v>
      </c>
      <c r="K309" s="48">
        <v>11</v>
      </c>
      <c r="L309" s="49">
        <v>13.4</v>
      </c>
      <c r="M309" s="47"/>
      <c r="N309" s="47"/>
      <c r="O309" s="50"/>
    </row>
    <row r="310" spans="1:16" ht="17.25" customHeight="1">
      <c r="A310" s="42" t="s">
        <v>3</v>
      </c>
      <c r="B310" s="9"/>
      <c r="C310" s="44">
        <v>98.37</v>
      </c>
      <c r="D310" s="45">
        <v>100.37</v>
      </c>
      <c r="E310" s="45">
        <v>100.914</v>
      </c>
      <c r="F310" s="45">
        <v>101.01</v>
      </c>
      <c r="G310" s="45">
        <v>101.01</v>
      </c>
      <c r="H310" s="45">
        <v>101.01</v>
      </c>
      <c r="I310" s="45">
        <v>101.01</v>
      </c>
      <c r="J310" s="47">
        <v>100.601</v>
      </c>
      <c r="K310" s="48">
        <v>98.67</v>
      </c>
      <c r="L310" s="49">
        <v>98.65</v>
      </c>
      <c r="M310" s="52"/>
      <c r="N310" s="52"/>
      <c r="O310" s="53"/>
    </row>
    <row r="311" spans="1:16" ht="17.25" customHeight="1">
      <c r="A311" s="42" t="s">
        <v>18</v>
      </c>
      <c r="B311" s="9"/>
      <c r="C311" s="47">
        <f t="shared" ref="C311:L311" si="54">C308-C310</f>
        <v>0</v>
      </c>
      <c r="D311" s="47">
        <f t="shared" si="54"/>
        <v>0</v>
      </c>
      <c r="E311" s="47">
        <f t="shared" si="54"/>
        <v>0.58599999999999852</v>
      </c>
      <c r="F311" s="47">
        <f t="shared" si="54"/>
        <v>0.48999999999999488</v>
      </c>
      <c r="G311" s="47">
        <f t="shared" si="54"/>
        <v>0.48999999999999488</v>
      </c>
      <c r="H311" s="47">
        <f t="shared" si="54"/>
        <v>0.48999999999999488</v>
      </c>
      <c r="I311" s="47">
        <f t="shared" si="54"/>
        <v>0.48999999999999488</v>
      </c>
      <c r="J311" s="47">
        <f t="shared" si="54"/>
        <v>0.89900000000000091</v>
      </c>
      <c r="K311" s="47">
        <f t="shared" si="54"/>
        <v>1.1799999999999926</v>
      </c>
      <c r="L311" s="47">
        <f t="shared" si="54"/>
        <v>0</v>
      </c>
      <c r="M311" s="47"/>
      <c r="N311" s="47"/>
      <c r="O311" s="51"/>
    </row>
    <row r="312" spans="1:16" ht="17.25" customHeight="1">
      <c r="A312" s="42" t="s">
        <v>5</v>
      </c>
      <c r="B312" s="9"/>
      <c r="C312" s="47">
        <f t="shared" ref="C312" si="55">(C311+B311)/2*(C307-B307)</f>
        <v>0</v>
      </c>
      <c r="D312" s="47">
        <f t="shared" ref="D312" si="56">(D311+C311)/2*(D307-C307)</f>
        <v>0</v>
      </c>
      <c r="E312" s="47">
        <f t="shared" ref="E312" si="57">(E311+D311)/2*(E307-D307)</f>
        <v>0.49809999999999882</v>
      </c>
      <c r="F312" s="47">
        <f t="shared" ref="F312" si="58">(F311+E311)/2*(F307-E307)</f>
        <v>0.16139999999999891</v>
      </c>
      <c r="G312" s="47">
        <f t="shared" ref="G312" si="59">(G311+F311)/2*(G307-F307)</f>
        <v>0.58799999999999397</v>
      </c>
      <c r="H312" s="47">
        <f t="shared" ref="H312" si="60">(H311+G311)/2*(H307-G307)</f>
        <v>4.8999999999999315E-2</v>
      </c>
      <c r="I312" s="47">
        <f t="shared" ref="I312" si="61">(I311+H311)/2*(I307-H307)</f>
        <v>0.34299999999999653</v>
      </c>
      <c r="J312" s="47">
        <f t="shared" ref="J312" si="62">(J311+I311)/2*(J307-I307)</f>
        <v>0.48614999999999864</v>
      </c>
      <c r="K312" s="47">
        <f t="shared" ref="K312" si="63">(K311+J311)/2*(K307-J307)</f>
        <v>3.4303499999999891</v>
      </c>
      <c r="L312" s="47">
        <f t="shared" ref="L312" si="64">(L311+K311)/2*(L307-K307)</f>
        <v>1.4159999999999913</v>
      </c>
      <c r="M312" s="47"/>
      <c r="N312" s="47"/>
      <c r="O312" s="51">
        <v>6.9710000000000001</v>
      </c>
    </row>
    <row r="313" spans="1:16" ht="17.25" customHeight="1">
      <c r="A313" s="54"/>
      <c r="B313" s="54"/>
      <c r="C313" s="54"/>
      <c r="D313" s="55"/>
      <c r="E313" s="55"/>
      <c r="F313" s="56"/>
      <c r="G313" s="56"/>
      <c r="H313" s="56"/>
      <c r="I313" s="57"/>
      <c r="K313" s="161" t="s">
        <v>19</v>
      </c>
      <c r="L313" s="162"/>
      <c r="M313" s="162"/>
      <c r="N313" s="163"/>
      <c r="O313" s="59">
        <f>O312</f>
        <v>6.9710000000000001</v>
      </c>
      <c r="P313">
        <v>6.9710000000000001</v>
      </c>
    </row>
    <row r="314" spans="1:16" ht="17.25" customHeight="1">
      <c r="A314" s="60"/>
      <c r="B314" s="60"/>
      <c r="C314" s="60"/>
      <c r="D314" s="61"/>
      <c r="E314" s="61"/>
      <c r="F314" s="61"/>
      <c r="G314" s="61"/>
      <c r="H314" s="61"/>
      <c r="I314" s="57"/>
      <c r="J314" s="61"/>
      <c r="K314" s="61"/>
      <c r="L314" s="61"/>
      <c r="M314" s="61"/>
      <c r="N314" s="61"/>
      <c r="O314" s="61"/>
    </row>
    <row r="315" spans="1:16" ht="17.25" customHeight="1">
      <c r="A315" s="60"/>
      <c r="B315" s="60"/>
      <c r="C315" s="60"/>
      <c r="D315" s="61"/>
      <c r="E315" s="61"/>
      <c r="F315" s="61"/>
      <c r="G315" s="61"/>
      <c r="H315" s="61"/>
      <c r="I315" s="57"/>
      <c r="J315" s="61"/>
      <c r="K315" s="61"/>
      <c r="L315" s="61"/>
      <c r="M315" s="61"/>
      <c r="N315" s="61"/>
      <c r="O315" s="61"/>
    </row>
    <row r="316" spans="1:16" ht="17.25" customHeight="1">
      <c r="A316" s="60"/>
      <c r="B316" s="60"/>
      <c r="C316" s="60"/>
      <c r="D316" s="61"/>
      <c r="E316" s="61"/>
      <c r="F316" s="61"/>
      <c r="G316" s="61"/>
      <c r="H316" s="61"/>
      <c r="I316" s="57"/>
      <c r="J316" s="61"/>
      <c r="K316" s="61"/>
      <c r="L316" s="61"/>
      <c r="M316" s="61"/>
      <c r="N316" s="61"/>
      <c r="O316" s="61"/>
    </row>
    <row r="317" spans="1:16" ht="17.25" customHeight="1">
      <c r="A317" s="60"/>
      <c r="B317" s="60"/>
      <c r="C317" s="60"/>
      <c r="D317" s="61"/>
      <c r="E317" s="61"/>
      <c r="F317" s="61"/>
      <c r="G317" s="61"/>
      <c r="H317" s="61"/>
      <c r="I317" s="57"/>
      <c r="J317" s="61"/>
      <c r="K317" s="61"/>
      <c r="L317" s="61"/>
      <c r="M317" s="76" t="s">
        <v>22</v>
      </c>
      <c r="N317" s="76">
        <v>101.58</v>
      </c>
    </row>
    <row r="318" spans="1:16" ht="17.25" customHeight="1">
      <c r="A318" s="60"/>
      <c r="B318" s="60"/>
      <c r="C318" s="60"/>
      <c r="D318" s="61"/>
      <c r="E318" s="61"/>
      <c r="F318" s="61"/>
      <c r="G318" s="61"/>
      <c r="H318" s="61"/>
      <c r="I318" s="57"/>
      <c r="J318" s="61"/>
      <c r="K318" s="61"/>
      <c r="L318" s="61"/>
      <c r="M318" s="76" t="s">
        <v>23</v>
      </c>
      <c r="N318" s="76">
        <v>100.36</v>
      </c>
    </row>
    <row r="319" spans="1:16" ht="17.25" customHeight="1">
      <c r="A319" s="60"/>
      <c r="B319" s="60"/>
      <c r="C319" s="60"/>
      <c r="D319" s="61"/>
      <c r="E319" s="61"/>
      <c r="F319" s="61"/>
      <c r="G319" s="61"/>
      <c r="H319" s="61"/>
      <c r="I319" s="57"/>
      <c r="J319" s="61"/>
      <c r="K319" s="61"/>
      <c r="L319" s="61"/>
      <c r="M319" s="76" t="s">
        <v>24</v>
      </c>
      <c r="N319" s="76">
        <v>100</v>
      </c>
    </row>
    <row r="320" spans="1:16" ht="17.25" customHeight="1">
      <c r="A320" s="60"/>
      <c r="B320" s="60"/>
      <c r="C320" s="60"/>
      <c r="D320" s="61"/>
      <c r="E320" s="61"/>
      <c r="F320" s="61"/>
      <c r="G320" s="61"/>
      <c r="H320" s="61"/>
      <c r="I320" s="57"/>
      <c r="J320" s="61"/>
      <c r="K320" s="61"/>
      <c r="L320" s="61"/>
      <c r="M320" s="76" t="s">
        <v>25</v>
      </c>
      <c r="N320" s="76">
        <v>99.34</v>
      </c>
    </row>
    <row r="321" spans="1:15" ht="17.25" customHeight="1">
      <c r="A321" s="60"/>
      <c r="B321" s="60"/>
      <c r="C321" s="60"/>
      <c r="D321" s="61"/>
      <c r="E321" s="61"/>
      <c r="F321" s="61"/>
      <c r="G321" s="61"/>
      <c r="H321" s="61"/>
      <c r="I321" s="57"/>
      <c r="J321" s="61"/>
      <c r="K321" s="61"/>
      <c r="L321" s="61"/>
      <c r="M321" s="61"/>
      <c r="N321" s="61"/>
      <c r="O321" s="61"/>
    </row>
    <row r="322" spans="1:15" ht="17.25" customHeight="1">
      <c r="A322" s="60"/>
      <c r="B322" s="60"/>
      <c r="C322" s="60"/>
      <c r="D322" s="61"/>
      <c r="E322" s="61"/>
      <c r="F322" s="61"/>
      <c r="G322" s="61"/>
      <c r="H322" s="61"/>
      <c r="I322" s="57"/>
      <c r="J322" s="61"/>
      <c r="K322" s="61"/>
      <c r="L322" s="61"/>
      <c r="M322" s="61"/>
      <c r="O322" s="61"/>
    </row>
    <row r="323" spans="1:15" ht="17.25" customHeight="1">
      <c r="A323" s="60"/>
      <c r="B323" s="60"/>
      <c r="C323" s="60"/>
      <c r="D323" s="61"/>
      <c r="E323" s="61"/>
      <c r="F323" s="61"/>
      <c r="G323" s="61"/>
      <c r="H323" s="61"/>
      <c r="I323" s="57"/>
      <c r="J323" s="61"/>
      <c r="K323" s="61"/>
      <c r="L323" s="61"/>
      <c r="M323" s="61"/>
      <c r="N323" s="74"/>
      <c r="O323" s="61"/>
    </row>
    <row r="324" spans="1:15" ht="17.25" customHeight="1">
      <c r="A324" s="60"/>
      <c r="B324" s="60"/>
      <c r="C324" s="60"/>
      <c r="D324" s="61"/>
      <c r="E324" s="61"/>
      <c r="F324" s="61"/>
      <c r="G324" s="61"/>
      <c r="H324" s="61"/>
      <c r="I324" s="57"/>
      <c r="J324" s="61"/>
      <c r="K324" s="61"/>
      <c r="L324" s="61"/>
      <c r="M324" s="61"/>
      <c r="N324" s="74"/>
      <c r="O324" s="61"/>
    </row>
    <row r="325" spans="1:15" ht="17.25" customHeight="1">
      <c r="A325" s="60"/>
      <c r="B325" s="60"/>
      <c r="C325" s="60"/>
      <c r="D325" s="61"/>
      <c r="E325" s="61"/>
      <c r="F325" s="61"/>
      <c r="G325" s="61"/>
      <c r="H325" s="61"/>
      <c r="I325" s="57"/>
      <c r="J325" s="61"/>
      <c r="K325" s="61"/>
      <c r="L325" s="61"/>
      <c r="M325" s="61"/>
      <c r="N325" s="74"/>
      <c r="O325" s="61"/>
    </row>
    <row r="326" spans="1:15" ht="17.25" customHeight="1">
      <c r="A326" s="60"/>
      <c r="B326" s="60"/>
      <c r="C326" s="60"/>
      <c r="D326" s="61"/>
      <c r="E326" s="61"/>
      <c r="F326" s="61"/>
      <c r="G326" s="61"/>
      <c r="H326" s="61"/>
      <c r="I326" s="57"/>
      <c r="J326" s="61"/>
      <c r="K326" s="61"/>
      <c r="L326" s="61"/>
      <c r="M326" s="61"/>
      <c r="N326" s="61"/>
      <c r="O326" s="61"/>
    </row>
    <row r="327" spans="1:15" ht="17.25" customHeight="1">
      <c r="A327" s="60"/>
      <c r="B327" s="60"/>
      <c r="C327" s="60"/>
      <c r="D327" s="61"/>
      <c r="E327" s="61"/>
      <c r="F327" s="61"/>
      <c r="G327" s="61"/>
      <c r="H327" s="61"/>
      <c r="I327" s="57"/>
      <c r="J327" s="61"/>
      <c r="K327" s="61"/>
      <c r="L327" s="61"/>
      <c r="M327" s="61"/>
      <c r="N327" s="61"/>
      <c r="O327" s="61"/>
    </row>
    <row r="328" spans="1:15" ht="17.25" customHeight="1">
      <c r="A328" s="60"/>
      <c r="B328" s="60"/>
      <c r="C328" s="60"/>
      <c r="D328" s="61"/>
      <c r="E328" s="61"/>
      <c r="F328" s="61"/>
      <c r="G328" s="61"/>
      <c r="H328" s="61"/>
      <c r="I328" s="57"/>
      <c r="J328" s="61"/>
      <c r="K328" s="61"/>
      <c r="L328" s="61"/>
      <c r="M328" s="61"/>
      <c r="N328" s="61"/>
      <c r="O328" s="61"/>
    </row>
    <row r="329" spans="1:15" ht="17.25" customHeight="1">
      <c r="A329" s="60"/>
      <c r="B329" s="60"/>
      <c r="C329" s="60"/>
      <c r="D329" s="61"/>
      <c r="E329" s="61"/>
      <c r="F329" s="61"/>
      <c r="G329" s="61"/>
      <c r="H329" s="61"/>
      <c r="I329" s="57"/>
      <c r="J329" s="61"/>
      <c r="K329" s="61"/>
      <c r="L329" s="61"/>
      <c r="M329" s="61"/>
      <c r="N329" s="61"/>
      <c r="O329" s="61"/>
    </row>
    <row r="330" spans="1:15" ht="17.25" customHeight="1">
      <c r="A330" s="60"/>
      <c r="B330" s="60"/>
      <c r="C330" s="60"/>
      <c r="D330" s="61"/>
      <c r="E330" s="61"/>
      <c r="F330" s="61"/>
      <c r="G330" s="61"/>
      <c r="H330" s="61"/>
      <c r="I330" s="57"/>
      <c r="J330" s="61"/>
      <c r="K330" s="61"/>
      <c r="L330" s="61"/>
      <c r="M330" s="61"/>
      <c r="N330" s="61"/>
      <c r="O330" s="61"/>
    </row>
    <row r="331" spans="1:15" ht="17.25" customHeight="1">
      <c r="A331" s="60"/>
      <c r="B331" s="60"/>
      <c r="C331" s="60"/>
      <c r="D331" s="61"/>
      <c r="E331" s="61"/>
      <c r="F331" s="61"/>
      <c r="G331" s="61"/>
      <c r="H331" s="61"/>
      <c r="I331" s="57"/>
      <c r="J331" s="61"/>
      <c r="K331" s="61"/>
      <c r="L331" s="61"/>
      <c r="M331" s="61"/>
      <c r="N331" s="61"/>
      <c r="O331" s="61"/>
    </row>
    <row r="332" spans="1:15" ht="15.75">
      <c r="A332" s="60"/>
      <c r="B332" s="60"/>
      <c r="C332" s="166"/>
      <c r="D332" s="166"/>
      <c r="E332" s="166"/>
      <c r="F332" s="166"/>
      <c r="G332" s="25"/>
      <c r="H332" s="167"/>
      <c r="I332" s="167"/>
      <c r="J332" s="167"/>
      <c r="K332" s="7"/>
      <c r="L332" s="168"/>
      <c r="M332" s="168"/>
      <c r="N332" s="61"/>
      <c r="O332" s="61"/>
    </row>
    <row r="333" spans="1:15" ht="15.75">
      <c r="A333" s="60"/>
      <c r="B333" s="60"/>
      <c r="C333" s="169"/>
      <c r="D333" s="169"/>
      <c r="E333" s="169"/>
      <c r="F333" s="62"/>
      <c r="G333" s="26"/>
      <c r="H333" s="170"/>
      <c r="I333" s="170"/>
      <c r="J333" s="170"/>
      <c r="K333" s="25"/>
      <c r="L333" s="171"/>
      <c r="M333" s="171"/>
      <c r="N333" s="61"/>
      <c r="O333" s="61"/>
    </row>
    <row r="334" spans="1:15" ht="15.75">
      <c r="A334" s="60"/>
      <c r="B334" s="60"/>
      <c r="C334" s="62"/>
      <c r="D334" s="62"/>
      <c r="E334" s="62"/>
      <c r="F334" s="62"/>
      <c r="G334" s="26"/>
      <c r="H334" s="38"/>
      <c r="I334" s="38"/>
      <c r="J334" s="38"/>
      <c r="K334" s="25"/>
      <c r="L334" s="37"/>
      <c r="M334" s="37"/>
      <c r="N334" s="61"/>
      <c r="O334" s="61"/>
    </row>
    <row r="335" spans="1:15" ht="15.75">
      <c r="A335" s="60"/>
      <c r="B335" s="60"/>
      <c r="C335" s="62"/>
      <c r="D335" s="62"/>
      <c r="E335" s="62"/>
      <c r="F335" s="62"/>
      <c r="G335" s="26"/>
      <c r="H335" s="38"/>
      <c r="I335" s="38"/>
      <c r="J335" s="38"/>
      <c r="K335" s="25"/>
      <c r="L335" s="37"/>
      <c r="M335" s="37"/>
      <c r="N335" s="61"/>
      <c r="O335" s="61"/>
    </row>
    <row r="336" spans="1:15" ht="15.75">
      <c r="A336" s="60"/>
      <c r="B336" s="60"/>
      <c r="C336" s="62"/>
      <c r="D336" s="62"/>
      <c r="E336" s="62"/>
      <c r="F336" s="62"/>
      <c r="G336" s="26"/>
      <c r="H336" s="38"/>
      <c r="I336" s="38"/>
      <c r="J336" s="38"/>
      <c r="K336" s="25"/>
      <c r="L336" s="37"/>
      <c r="M336" s="37"/>
      <c r="N336" s="61"/>
      <c r="O336" s="61"/>
    </row>
    <row r="337" spans="1:15" ht="15.75">
      <c r="A337" s="60"/>
      <c r="B337" s="60"/>
      <c r="C337" s="62"/>
      <c r="D337" s="62"/>
      <c r="E337" s="62"/>
      <c r="F337" s="62"/>
      <c r="G337" s="26"/>
      <c r="H337" s="38"/>
      <c r="I337" s="38"/>
      <c r="J337" s="38"/>
      <c r="K337" s="25"/>
      <c r="L337" s="37"/>
      <c r="M337" s="37"/>
      <c r="N337" s="61"/>
      <c r="O337" s="61"/>
    </row>
    <row r="338" spans="1:15" ht="15.75">
      <c r="A338" s="60"/>
      <c r="B338" s="60"/>
      <c r="C338" s="62"/>
      <c r="D338" s="62"/>
      <c r="E338" s="62"/>
      <c r="F338" s="62"/>
      <c r="G338" s="26"/>
      <c r="H338" s="38"/>
      <c r="I338" s="38"/>
      <c r="J338" s="38"/>
      <c r="K338" s="25"/>
      <c r="L338" s="37"/>
      <c r="M338" s="37"/>
      <c r="N338" s="61"/>
      <c r="O338" s="61"/>
    </row>
    <row r="339" spans="1:15" ht="15.75">
      <c r="A339" s="60"/>
      <c r="B339" s="60"/>
      <c r="C339" s="62"/>
      <c r="D339" s="62"/>
      <c r="E339" s="62"/>
      <c r="F339" s="62"/>
      <c r="G339" s="26"/>
      <c r="H339" s="38"/>
      <c r="I339" s="38"/>
      <c r="J339" s="38"/>
      <c r="K339" s="25"/>
      <c r="L339" s="37"/>
      <c r="M339" s="37"/>
      <c r="N339" s="61"/>
      <c r="O339" s="61"/>
    </row>
    <row r="340" spans="1:15" ht="15.75">
      <c r="A340" s="60"/>
      <c r="B340" s="60"/>
      <c r="C340" s="62"/>
      <c r="D340" s="62"/>
      <c r="E340" s="62"/>
      <c r="F340" s="62"/>
      <c r="G340" s="26"/>
      <c r="H340" s="38"/>
      <c r="I340" s="38"/>
      <c r="J340" s="38"/>
      <c r="K340" s="25"/>
      <c r="L340" s="37"/>
      <c r="M340" s="37"/>
      <c r="N340" s="61"/>
      <c r="O340" s="61"/>
    </row>
    <row r="341" spans="1:15" ht="15.75">
      <c r="A341" s="60"/>
      <c r="B341" s="60"/>
      <c r="C341" s="62"/>
      <c r="D341" s="62"/>
      <c r="E341" s="62"/>
      <c r="F341" s="62"/>
      <c r="G341" s="26"/>
      <c r="H341" s="38"/>
      <c r="I341" s="38"/>
      <c r="J341" s="38"/>
      <c r="K341" s="25"/>
      <c r="L341" s="37"/>
      <c r="M341" s="37"/>
      <c r="N341" s="61"/>
      <c r="O341" s="61"/>
    </row>
    <row r="342" spans="1:15" ht="15.75">
      <c r="A342" s="60"/>
      <c r="B342" s="60"/>
      <c r="C342" s="62"/>
      <c r="D342" s="62"/>
      <c r="E342" s="62"/>
      <c r="F342" s="62"/>
      <c r="G342" s="26"/>
      <c r="H342" s="38"/>
      <c r="I342" s="38"/>
      <c r="J342" s="38"/>
      <c r="K342" s="25"/>
      <c r="L342" s="37"/>
      <c r="M342" s="37"/>
      <c r="N342" s="61"/>
      <c r="O342" s="61"/>
    </row>
    <row r="343" spans="1:15">
      <c r="A343" s="164" t="s">
        <v>0</v>
      </c>
      <c r="B343" s="165"/>
      <c r="C343" s="165"/>
      <c r="D343" s="165"/>
      <c r="E343" s="165"/>
      <c r="F343" s="165"/>
      <c r="G343" s="165"/>
      <c r="H343" s="39">
        <v>480</v>
      </c>
      <c r="I343" s="40" t="s">
        <v>17</v>
      </c>
      <c r="J343" s="63"/>
      <c r="K343" s="64"/>
      <c r="L343" s="63"/>
      <c r="M343" s="63"/>
      <c r="N343" s="63"/>
      <c r="O343" s="63"/>
    </row>
    <row r="344" spans="1:15" ht="17.25" customHeight="1">
      <c r="A344" s="42" t="s">
        <v>1</v>
      </c>
      <c r="B344" s="43"/>
      <c r="C344" s="44">
        <v>0</v>
      </c>
      <c r="D344" s="45">
        <v>2.1</v>
      </c>
      <c r="E344" s="45">
        <v>3.2</v>
      </c>
      <c r="F344" s="46">
        <v>3.5</v>
      </c>
      <c r="G344" s="46">
        <v>4.5999999999999996</v>
      </c>
      <c r="H344" s="45">
        <v>4.7</v>
      </c>
      <c r="I344" s="47">
        <v>5</v>
      </c>
      <c r="J344" s="47">
        <v>6.2</v>
      </c>
      <c r="K344" s="48">
        <v>8.5</v>
      </c>
      <c r="L344" s="49">
        <v>9</v>
      </c>
      <c r="M344" s="47">
        <v>10.5</v>
      </c>
      <c r="N344" s="47"/>
      <c r="O344" s="50"/>
    </row>
    <row r="345" spans="1:15" ht="17.25" customHeight="1">
      <c r="A345" s="42" t="s">
        <v>2</v>
      </c>
      <c r="B345" s="43"/>
      <c r="C345" s="44">
        <v>99.4</v>
      </c>
      <c r="D345" s="45">
        <v>100.76</v>
      </c>
      <c r="E345" s="45">
        <v>101.5</v>
      </c>
      <c r="F345" s="45">
        <v>101.5</v>
      </c>
      <c r="G345" s="45">
        <v>101.5</v>
      </c>
      <c r="H345" s="45">
        <v>101.5</v>
      </c>
      <c r="I345" s="45">
        <v>101.5</v>
      </c>
      <c r="J345" s="47">
        <v>101.5</v>
      </c>
      <c r="K345" s="48">
        <v>100.358</v>
      </c>
      <c r="L345" s="49">
        <v>100.11</v>
      </c>
      <c r="M345" s="47">
        <v>99.37</v>
      </c>
      <c r="N345" s="47"/>
      <c r="O345" s="51"/>
    </row>
    <row r="346" spans="1:15" ht="17.25" customHeight="1">
      <c r="A346" s="42" t="s">
        <v>1</v>
      </c>
      <c r="B346" s="43"/>
      <c r="C346" s="44">
        <v>0</v>
      </c>
      <c r="D346" s="45">
        <v>2.1</v>
      </c>
      <c r="E346" s="45">
        <v>3.2</v>
      </c>
      <c r="F346" s="46">
        <v>3.5</v>
      </c>
      <c r="G346" s="46">
        <v>4.5999999999999996</v>
      </c>
      <c r="H346" s="45">
        <v>4.7</v>
      </c>
      <c r="I346" s="47">
        <v>5</v>
      </c>
      <c r="J346" s="47">
        <v>6.2</v>
      </c>
      <c r="K346" s="48">
        <v>8.5</v>
      </c>
      <c r="L346" s="49">
        <v>9</v>
      </c>
      <c r="M346" s="47">
        <v>10.5</v>
      </c>
      <c r="N346" s="47"/>
      <c r="O346" s="50"/>
    </row>
    <row r="347" spans="1:15" ht="17.25" customHeight="1">
      <c r="A347" s="42" t="s">
        <v>3</v>
      </c>
      <c r="B347" s="9"/>
      <c r="C347" s="44">
        <v>99.4</v>
      </c>
      <c r="D347" s="45">
        <v>100.76</v>
      </c>
      <c r="E347" s="45">
        <v>100.988</v>
      </c>
      <c r="F347" s="45">
        <v>101.05</v>
      </c>
      <c r="G347" s="45">
        <v>101.05</v>
      </c>
      <c r="H347" s="45">
        <v>101.05</v>
      </c>
      <c r="I347" s="45">
        <v>101.05</v>
      </c>
      <c r="J347" s="47">
        <v>100.474</v>
      </c>
      <c r="K347" s="48">
        <v>99.37</v>
      </c>
      <c r="L347" s="49">
        <v>99.37</v>
      </c>
      <c r="M347" s="47">
        <v>99.37</v>
      </c>
      <c r="N347" s="52"/>
      <c r="O347" s="53"/>
    </row>
    <row r="348" spans="1:15" ht="17.25" customHeight="1">
      <c r="A348" s="42" t="s">
        <v>18</v>
      </c>
      <c r="B348" s="9"/>
      <c r="C348" s="47">
        <f t="shared" ref="C348:L348" si="65">C345-C347</f>
        <v>0</v>
      </c>
      <c r="D348" s="47">
        <f t="shared" si="65"/>
        <v>0</v>
      </c>
      <c r="E348" s="47">
        <f t="shared" si="65"/>
        <v>0.51200000000000045</v>
      </c>
      <c r="F348" s="47">
        <f t="shared" si="65"/>
        <v>0.45000000000000284</v>
      </c>
      <c r="G348" s="47">
        <f t="shared" si="65"/>
        <v>0.45000000000000284</v>
      </c>
      <c r="H348" s="47">
        <f t="shared" si="65"/>
        <v>0.45000000000000284</v>
      </c>
      <c r="I348" s="47">
        <f t="shared" si="65"/>
        <v>0.45000000000000284</v>
      </c>
      <c r="J348" s="47">
        <f t="shared" si="65"/>
        <v>1.0259999999999962</v>
      </c>
      <c r="K348" s="47">
        <f t="shared" si="65"/>
        <v>0.98799999999999955</v>
      </c>
      <c r="L348" s="47">
        <f t="shared" si="65"/>
        <v>0.73999999999999488</v>
      </c>
      <c r="M348" s="47">
        <f t="shared" ref="M348" si="66">M345-M347</f>
        <v>0</v>
      </c>
      <c r="N348" s="47"/>
      <c r="O348" s="51"/>
    </row>
    <row r="349" spans="1:15" ht="17.25" customHeight="1">
      <c r="A349" s="42" t="s">
        <v>5</v>
      </c>
      <c r="B349" s="9"/>
      <c r="C349" s="47">
        <f t="shared" ref="C349" si="67">(C348+B348)/2*(C344-B344)</f>
        <v>0</v>
      </c>
      <c r="D349" s="47">
        <f t="shared" ref="D349" si="68">(D348+C348)/2*(D344-C344)</f>
        <v>0</v>
      </c>
      <c r="E349" s="47">
        <f t="shared" ref="E349" si="69">(E348+D348)/2*(E344-D344)</f>
        <v>0.28160000000000029</v>
      </c>
      <c r="F349" s="47">
        <f t="shared" ref="F349" si="70">(F348+E348)/2*(F344-E344)</f>
        <v>0.1443000000000004</v>
      </c>
      <c r="G349" s="47">
        <f t="shared" ref="G349" si="71">(G348+F348)/2*(G344-F344)</f>
        <v>0.49500000000000299</v>
      </c>
      <c r="H349" s="47">
        <f t="shared" ref="H349" si="72">(H348+G348)/2*(H344-G344)</f>
        <v>4.5000000000000526E-2</v>
      </c>
      <c r="I349" s="47">
        <f t="shared" ref="I349" si="73">(I348+H348)/2*(I344-H344)</f>
        <v>0.13500000000000079</v>
      </c>
      <c r="J349" s="47">
        <f t="shared" ref="J349" si="74">(J348+I348)/2*(J344-I344)</f>
        <v>0.88559999999999961</v>
      </c>
      <c r="K349" s="47">
        <f t="shared" ref="K349" si="75">(K348+J348)/2*(K344-J344)</f>
        <v>2.3160999999999952</v>
      </c>
      <c r="L349" s="47">
        <f t="shared" ref="L349:M349" si="76">(L348+K348)/2*(L344-K344)</f>
        <v>0.43199999999999861</v>
      </c>
      <c r="M349" s="47">
        <f t="shared" si="76"/>
        <v>0.55499999999999616</v>
      </c>
      <c r="N349" s="47"/>
      <c r="O349" s="51">
        <f>SUM(C349:N349)</f>
        <v>5.2895999999999948</v>
      </c>
    </row>
    <row r="350" spans="1:15" ht="17.25" customHeight="1">
      <c r="A350" s="54"/>
      <c r="B350" s="54"/>
      <c r="C350" s="54"/>
      <c r="D350" s="55"/>
      <c r="E350" s="55"/>
      <c r="F350" s="56"/>
      <c r="G350" s="56"/>
      <c r="H350" s="56"/>
      <c r="I350" s="57"/>
      <c r="K350" s="161" t="s">
        <v>19</v>
      </c>
      <c r="L350" s="162"/>
      <c r="M350" s="162"/>
      <c r="N350" s="163"/>
      <c r="O350" s="59">
        <f>O349</f>
        <v>5.2895999999999948</v>
      </c>
    </row>
    <row r="351" spans="1:15">
      <c r="A351" s="60"/>
      <c r="B351" s="60"/>
      <c r="C351" s="60"/>
      <c r="D351" s="61"/>
      <c r="E351" s="61"/>
      <c r="F351" s="61"/>
      <c r="G351" s="61"/>
      <c r="H351" s="61"/>
      <c r="I351" s="57"/>
      <c r="J351" s="61"/>
      <c r="K351" s="61"/>
      <c r="L351" s="61"/>
      <c r="M351" s="61"/>
      <c r="N351" s="61"/>
      <c r="O351" s="61"/>
    </row>
    <row r="352" spans="1:15">
      <c r="A352" s="60"/>
      <c r="B352" s="60"/>
      <c r="C352" s="60"/>
      <c r="D352" s="61"/>
      <c r="E352" s="61"/>
      <c r="F352" s="61"/>
      <c r="G352" s="61"/>
      <c r="H352" s="61"/>
      <c r="I352" s="57"/>
      <c r="J352" s="61"/>
      <c r="K352" s="61"/>
      <c r="L352" s="61"/>
      <c r="M352" s="61"/>
      <c r="N352" s="61"/>
      <c r="O352" s="61"/>
    </row>
    <row r="353" spans="1:15">
      <c r="A353" s="60"/>
      <c r="B353" s="60"/>
      <c r="C353" s="60"/>
      <c r="D353" s="61"/>
      <c r="E353" s="61"/>
      <c r="F353" s="61"/>
      <c r="G353" s="61"/>
      <c r="H353" s="61"/>
      <c r="I353" s="57"/>
      <c r="J353" s="61"/>
      <c r="K353" s="61"/>
      <c r="L353" s="61"/>
      <c r="M353" s="61"/>
      <c r="N353" s="61"/>
      <c r="O353" s="61"/>
    </row>
    <row r="354" spans="1:15">
      <c r="A354" s="60"/>
      <c r="B354" s="60"/>
      <c r="C354" s="60"/>
      <c r="D354" s="61"/>
      <c r="E354" s="61"/>
      <c r="F354" s="61"/>
      <c r="G354" s="61"/>
      <c r="H354" s="61"/>
      <c r="I354" s="57"/>
      <c r="J354" s="61"/>
      <c r="K354" s="61"/>
      <c r="L354" s="61"/>
      <c r="M354" s="61"/>
      <c r="N354" s="61"/>
      <c r="O354" s="61"/>
    </row>
    <row r="355" spans="1:15">
      <c r="A355" s="60"/>
      <c r="B355" s="60"/>
      <c r="C355" s="60"/>
      <c r="D355" s="61"/>
      <c r="E355" s="61"/>
      <c r="F355" s="61"/>
      <c r="G355" s="61"/>
      <c r="H355" s="61"/>
      <c r="I355" s="57"/>
      <c r="J355" s="61"/>
      <c r="K355" s="61"/>
      <c r="L355" s="61"/>
      <c r="M355" s="76" t="s">
        <v>22</v>
      </c>
      <c r="N355" s="76">
        <v>101.58</v>
      </c>
    </row>
    <row r="356" spans="1:15">
      <c r="A356" s="60"/>
      <c r="B356" s="60"/>
      <c r="C356" s="60"/>
      <c r="D356" s="61"/>
      <c r="E356" s="61"/>
      <c r="F356" s="61"/>
      <c r="G356" s="61"/>
      <c r="H356" s="61"/>
      <c r="I356" s="57"/>
      <c r="J356" s="61"/>
      <c r="K356" s="61"/>
      <c r="L356" s="61"/>
      <c r="M356" s="76" t="s">
        <v>23</v>
      </c>
      <c r="N356" s="76">
        <v>100.36</v>
      </c>
    </row>
    <row r="357" spans="1:15">
      <c r="A357" s="60"/>
      <c r="B357" s="60"/>
      <c r="C357" s="60"/>
      <c r="D357" s="61"/>
      <c r="E357" s="61"/>
      <c r="F357" s="61"/>
      <c r="G357" s="61"/>
      <c r="H357" s="61"/>
      <c r="I357" s="57"/>
      <c r="J357" s="61"/>
      <c r="K357" s="61"/>
      <c r="L357" s="61"/>
      <c r="M357" s="76" t="s">
        <v>24</v>
      </c>
      <c r="N357" s="76">
        <v>100</v>
      </c>
    </row>
    <row r="358" spans="1:15">
      <c r="A358" s="60"/>
      <c r="B358" s="60"/>
      <c r="C358" s="60"/>
      <c r="D358" s="61"/>
      <c r="E358" s="61"/>
      <c r="F358" s="61"/>
      <c r="G358" s="61"/>
      <c r="H358" s="61"/>
      <c r="I358" s="57"/>
      <c r="J358" s="61"/>
      <c r="K358" s="61"/>
      <c r="L358" s="61"/>
      <c r="M358" s="76" t="s">
        <v>25</v>
      </c>
      <c r="N358" s="76">
        <v>99.34</v>
      </c>
    </row>
    <row r="359" spans="1:15">
      <c r="A359" s="60"/>
      <c r="B359" s="60"/>
      <c r="C359" s="60"/>
      <c r="D359" s="61"/>
      <c r="E359" s="61"/>
      <c r="F359" s="61"/>
      <c r="G359" s="61"/>
      <c r="H359" s="61"/>
      <c r="I359" s="57"/>
      <c r="J359" s="61"/>
      <c r="K359" s="61"/>
      <c r="L359" s="61"/>
      <c r="M359" s="61"/>
      <c r="N359" s="61"/>
      <c r="O359" s="61"/>
    </row>
    <row r="360" spans="1:15">
      <c r="A360" s="60"/>
      <c r="B360" s="60"/>
      <c r="C360" s="60"/>
      <c r="D360" s="61"/>
      <c r="E360" s="61"/>
      <c r="F360" s="61"/>
      <c r="G360" s="61"/>
      <c r="H360" s="61"/>
      <c r="I360" s="57"/>
      <c r="J360" s="61"/>
      <c r="K360" s="61"/>
      <c r="L360" s="61"/>
      <c r="M360" s="61"/>
      <c r="N360" s="61"/>
      <c r="O360" s="61"/>
    </row>
    <row r="361" spans="1:15">
      <c r="A361" s="60"/>
      <c r="B361" s="60"/>
      <c r="C361" s="60"/>
      <c r="D361" s="61"/>
      <c r="E361" s="61"/>
      <c r="F361" s="61"/>
      <c r="G361" s="61"/>
      <c r="H361" s="61"/>
      <c r="I361" s="57"/>
      <c r="J361" s="61"/>
      <c r="K361" s="61"/>
      <c r="L361" s="61"/>
      <c r="M361" s="61"/>
      <c r="N361" s="61"/>
      <c r="O361" s="61"/>
    </row>
    <row r="362" spans="1:15">
      <c r="A362" s="60"/>
      <c r="B362" s="60"/>
      <c r="C362" s="60"/>
      <c r="D362" s="61"/>
      <c r="E362" s="61"/>
      <c r="F362" s="61"/>
      <c r="G362" s="61"/>
      <c r="H362" s="61"/>
      <c r="I362" s="57"/>
      <c r="J362" s="61"/>
      <c r="K362" s="61"/>
      <c r="L362" s="61"/>
      <c r="M362" s="61"/>
      <c r="N362" s="61"/>
      <c r="O362" s="61"/>
    </row>
    <row r="363" spans="1:15">
      <c r="A363" s="60"/>
      <c r="B363" s="60"/>
      <c r="C363" s="60"/>
      <c r="D363" s="61"/>
      <c r="E363" s="61"/>
      <c r="F363" s="61"/>
      <c r="G363" s="61"/>
      <c r="H363" s="61"/>
      <c r="I363" s="57"/>
      <c r="J363" s="61"/>
      <c r="K363" s="61"/>
      <c r="L363" s="61"/>
      <c r="M363" s="61"/>
      <c r="N363" s="61"/>
      <c r="O363" s="61"/>
    </row>
    <row r="364" spans="1:15">
      <c r="A364" s="60"/>
      <c r="B364" s="60"/>
      <c r="C364" s="60"/>
      <c r="D364" s="61"/>
      <c r="E364" s="61"/>
      <c r="F364" s="61"/>
      <c r="G364" s="61"/>
      <c r="H364" s="61"/>
      <c r="I364" s="57"/>
      <c r="J364" s="61"/>
      <c r="K364" s="61"/>
      <c r="L364" s="61"/>
      <c r="M364" s="61"/>
      <c r="N364" s="61"/>
      <c r="O364" s="61"/>
    </row>
    <row r="365" spans="1:15">
      <c r="A365" s="60"/>
      <c r="B365" s="60"/>
      <c r="C365" s="60"/>
      <c r="D365" s="61"/>
      <c r="E365" s="61"/>
      <c r="F365" s="61"/>
      <c r="G365" s="61"/>
      <c r="H365" s="61"/>
      <c r="I365" s="57"/>
      <c r="J365" s="61"/>
      <c r="K365" s="61"/>
      <c r="L365" s="61"/>
      <c r="M365" s="61"/>
      <c r="N365" s="61"/>
      <c r="O365" s="61"/>
    </row>
    <row r="366" spans="1:15">
      <c r="A366" s="60"/>
      <c r="B366" s="60"/>
      <c r="C366" s="60"/>
      <c r="D366" s="61"/>
      <c r="E366" s="61"/>
      <c r="F366" s="61"/>
      <c r="G366" s="61"/>
      <c r="H366" s="61"/>
      <c r="I366" s="57"/>
      <c r="J366" s="61"/>
      <c r="K366" s="61"/>
      <c r="L366" s="61"/>
      <c r="M366" s="61"/>
      <c r="N366" s="61"/>
      <c r="O366" s="61"/>
    </row>
    <row r="367" spans="1:15">
      <c r="A367" s="60"/>
      <c r="B367" s="60"/>
      <c r="C367" s="60"/>
      <c r="D367" s="61"/>
      <c r="E367" s="61"/>
      <c r="F367" s="61"/>
      <c r="G367" s="61"/>
      <c r="H367" s="61"/>
      <c r="I367" s="57"/>
      <c r="J367" s="61"/>
      <c r="K367" s="61"/>
      <c r="L367" s="61"/>
      <c r="M367" s="61"/>
      <c r="N367" s="61"/>
      <c r="O367" s="61"/>
    </row>
    <row r="368" spans="1:15">
      <c r="A368" s="60"/>
      <c r="B368" s="60"/>
      <c r="C368" s="60"/>
      <c r="D368" s="61"/>
      <c r="E368" s="61"/>
      <c r="F368" s="61"/>
      <c r="G368" s="61"/>
      <c r="H368" s="61"/>
      <c r="I368" s="57"/>
      <c r="J368" s="61"/>
      <c r="K368" s="61"/>
      <c r="L368" s="61"/>
      <c r="M368" s="61"/>
      <c r="N368" s="61"/>
      <c r="O368" s="61"/>
    </row>
    <row r="378" spans="1:16">
      <c r="A378" s="164" t="s">
        <v>0</v>
      </c>
      <c r="B378" s="165"/>
      <c r="C378" s="165"/>
      <c r="D378" s="165"/>
      <c r="E378" s="165"/>
      <c r="F378" s="165"/>
      <c r="G378" s="172"/>
      <c r="H378" s="39">
        <v>520</v>
      </c>
      <c r="I378" s="40" t="s">
        <v>17</v>
      </c>
      <c r="J378" s="173"/>
      <c r="K378" s="174"/>
      <c r="L378" s="175"/>
      <c r="M378" s="41"/>
      <c r="N378" s="41"/>
      <c r="O378" s="41"/>
    </row>
    <row r="379" spans="1:16">
      <c r="A379" s="42" t="s">
        <v>1</v>
      </c>
      <c r="B379" s="43"/>
      <c r="C379" s="44">
        <v>0</v>
      </c>
      <c r="D379" s="45">
        <v>2.2000000000000002</v>
      </c>
      <c r="E379" s="45">
        <v>3</v>
      </c>
      <c r="F379" s="46">
        <v>3.3</v>
      </c>
      <c r="G379" s="46">
        <v>4.5</v>
      </c>
      <c r="H379" s="45">
        <v>4.5999999999999996</v>
      </c>
      <c r="I379" s="47">
        <v>5</v>
      </c>
      <c r="J379" s="47">
        <v>6</v>
      </c>
      <c r="K379" s="48">
        <v>6.7</v>
      </c>
      <c r="L379" s="49">
        <v>7</v>
      </c>
      <c r="M379" s="47">
        <v>8.9</v>
      </c>
      <c r="N379" s="47"/>
      <c r="O379" s="50"/>
    </row>
    <row r="380" spans="1:16">
      <c r="A380" s="42" t="s">
        <v>2</v>
      </c>
      <c r="B380" s="43"/>
      <c r="C380" s="44">
        <v>99.52</v>
      </c>
      <c r="D380" s="45">
        <v>100.97</v>
      </c>
      <c r="E380" s="45">
        <v>101.5</v>
      </c>
      <c r="F380" s="45">
        <v>101.5</v>
      </c>
      <c r="G380" s="45">
        <v>101.5</v>
      </c>
      <c r="H380" s="45">
        <v>101.5</v>
      </c>
      <c r="I380" s="45">
        <v>101.5</v>
      </c>
      <c r="J380" s="47">
        <v>101.5</v>
      </c>
      <c r="K380" s="48">
        <v>101.15</v>
      </c>
      <c r="L380" s="49">
        <v>101</v>
      </c>
      <c r="M380" s="47">
        <v>100.05</v>
      </c>
      <c r="N380" s="47"/>
      <c r="O380" s="51"/>
    </row>
    <row r="381" spans="1:16">
      <c r="A381" s="42" t="s">
        <v>1</v>
      </c>
      <c r="B381" s="43"/>
      <c r="C381" s="44">
        <v>0</v>
      </c>
      <c r="D381" s="45">
        <v>2.2000000000000002</v>
      </c>
      <c r="E381" s="45">
        <v>3</v>
      </c>
      <c r="F381" s="46">
        <v>3.3</v>
      </c>
      <c r="G381" s="46">
        <v>4.5</v>
      </c>
      <c r="H381" s="45">
        <v>4.5999999999999996</v>
      </c>
      <c r="I381" s="47">
        <v>5</v>
      </c>
      <c r="J381" s="47">
        <v>6</v>
      </c>
      <c r="K381" s="48">
        <v>6.7</v>
      </c>
      <c r="L381" s="49">
        <v>7</v>
      </c>
      <c r="M381" s="47">
        <v>8.9</v>
      </c>
      <c r="N381" s="47"/>
      <c r="O381" s="50"/>
    </row>
    <row r="382" spans="1:16">
      <c r="A382" s="42" t="s">
        <v>3</v>
      </c>
      <c r="B382" s="9"/>
      <c r="C382" s="44">
        <v>99.52</v>
      </c>
      <c r="D382" s="45">
        <v>100.97</v>
      </c>
      <c r="E382" s="45">
        <v>100.992</v>
      </c>
      <c r="F382" s="45">
        <v>101</v>
      </c>
      <c r="G382" s="45">
        <v>101</v>
      </c>
      <c r="H382" s="45">
        <v>101</v>
      </c>
      <c r="I382" s="45">
        <v>101</v>
      </c>
      <c r="J382" s="47">
        <v>100.447</v>
      </c>
      <c r="K382" s="45">
        <v>100.06</v>
      </c>
      <c r="L382" s="49">
        <v>100.059</v>
      </c>
      <c r="M382" s="47">
        <v>100.05</v>
      </c>
      <c r="N382" s="52"/>
      <c r="O382" s="53"/>
    </row>
    <row r="383" spans="1:16">
      <c r="A383" s="42" t="s">
        <v>18</v>
      </c>
      <c r="B383" s="9"/>
      <c r="C383" s="47">
        <f t="shared" ref="C383:M383" si="77">C380-C382</f>
        <v>0</v>
      </c>
      <c r="D383" s="47">
        <f t="shared" si="77"/>
        <v>0</v>
      </c>
      <c r="E383" s="47">
        <f t="shared" si="77"/>
        <v>0.50799999999999557</v>
      </c>
      <c r="F383" s="47">
        <f t="shared" si="77"/>
        <v>0.5</v>
      </c>
      <c r="G383" s="47">
        <f t="shared" si="77"/>
        <v>0.5</v>
      </c>
      <c r="H383" s="47">
        <f t="shared" si="77"/>
        <v>0.5</v>
      </c>
      <c r="I383" s="47">
        <f t="shared" si="77"/>
        <v>0.5</v>
      </c>
      <c r="J383" s="47">
        <f t="shared" si="77"/>
        <v>1.0529999999999973</v>
      </c>
      <c r="K383" s="47">
        <f t="shared" si="77"/>
        <v>1.0900000000000034</v>
      </c>
      <c r="L383" s="47">
        <f t="shared" si="77"/>
        <v>0.9410000000000025</v>
      </c>
      <c r="M383" s="47">
        <f t="shared" si="77"/>
        <v>0</v>
      </c>
      <c r="N383" s="47"/>
      <c r="O383" s="51"/>
    </row>
    <row r="384" spans="1:16">
      <c r="A384" s="42" t="s">
        <v>5</v>
      </c>
      <c r="B384" s="9"/>
      <c r="C384" s="47">
        <f t="shared" ref="C384" si="78">(C383+B383)/2*(C379-B379)</f>
        <v>0</v>
      </c>
      <c r="D384" s="47">
        <f t="shared" ref="D384" si="79">(D383+C383)/2*(D379-C379)</f>
        <v>0</v>
      </c>
      <c r="E384" s="47">
        <f t="shared" ref="E384" si="80">(E383+D383)/2*(E379-D379)</f>
        <v>0.20319999999999819</v>
      </c>
      <c r="F384" s="47">
        <f t="shared" ref="F384" si="81">(F383+E383)/2*(F379-E379)</f>
        <v>0.15119999999999925</v>
      </c>
      <c r="G384" s="47">
        <f t="shared" ref="G384" si="82">(G383+F383)/2*(G379-F379)</f>
        <v>0.60000000000000009</v>
      </c>
      <c r="H384" s="47">
        <f t="shared" ref="H384" si="83">(H383+G383)/2*(H379-G379)</f>
        <v>4.9999999999999822E-2</v>
      </c>
      <c r="I384" s="47">
        <f t="shared" ref="I384" si="84">(I383+H383)/2*(I379-H379)</f>
        <v>0.20000000000000018</v>
      </c>
      <c r="J384" s="47">
        <f t="shared" ref="J384" si="85">(J383+I383)/2*(J379-I379)</f>
        <v>0.77649999999999864</v>
      </c>
      <c r="K384" s="47">
        <f t="shared" ref="K384" si="86">(K383+J383)/2*(K379-J379)</f>
        <v>0.75005000000000044</v>
      </c>
      <c r="L384" s="47">
        <f t="shared" ref="L384" si="87">(L383+K383)/2*(L379-K379)</f>
        <v>0.3046500000000007</v>
      </c>
      <c r="M384" s="47">
        <f t="shared" ref="M384" si="88">(M383+L383)/2*(M379-L379)</f>
        <v>0.89395000000000258</v>
      </c>
      <c r="N384" s="47"/>
      <c r="O384" s="21">
        <v>3.9289999999999998</v>
      </c>
      <c r="P384" s="31"/>
    </row>
    <row r="385" spans="1:16" ht="17.25">
      <c r="A385" s="54"/>
      <c r="B385" s="54"/>
      <c r="C385" s="54"/>
      <c r="D385" s="55"/>
      <c r="E385" s="55"/>
      <c r="F385" s="56"/>
      <c r="G385" s="56"/>
      <c r="H385" s="56"/>
      <c r="I385" s="57"/>
      <c r="K385" s="161" t="s">
        <v>19</v>
      </c>
      <c r="L385" s="162"/>
      <c r="M385" s="162"/>
      <c r="N385" s="163"/>
      <c r="O385" s="59">
        <f>O384</f>
        <v>3.9289999999999998</v>
      </c>
      <c r="P385">
        <v>3.9289999999999998</v>
      </c>
    </row>
    <row r="386" spans="1:16">
      <c r="A386" s="60"/>
      <c r="B386" s="60"/>
      <c r="C386" s="60"/>
      <c r="D386" s="61"/>
      <c r="E386" s="61"/>
      <c r="F386" s="61"/>
      <c r="G386" s="61"/>
      <c r="H386" s="61"/>
      <c r="I386" s="57"/>
      <c r="J386" s="61"/>
      <c r="K386" s="61"/>
      <c r="L386" s="61"/>
      <c r="M386" s="61"/>
      <c r="N386" s="61"/>
      <c r="O386" s="61"/>
    </row>
    <row r="387" spans="1:16">
      <c r="A387" s="60"/>
      <c r="B387" s="60"/>
      <c r="C387" s="60"/>
      <c r="D387" s="61"/>
      <c r="E387" s="61"/>
      <c r="F387" s="61"/>
      <c r="G387" s="61"/>
      <c r="H387" s="61"/>
      <c r="I387" s="57"/>
      <c r="J387" s="61"/>
      <c r="K387" s="61"/>
      <c r="L387" s="61"/>
      <c r="M387" s="61"/>
      <c r="N387" s="61"/>
      <c r="O387" s="61"/>
    </row>
    <row r="388" spans="1:16">
      <c r="A388" s="60"/>
      <c r="B388" s="60"/>
      <c r="C388" s="60"/>
      <c r="D388" s="61"/>
      <c r="E388" s="61"/>
      <c r="F388" s="61"/>
      <c r="G388" s="61"/>
      <c r="H388" s="61"/>
      <c r="I388" s="57"/>
      <c r="J388" s="61"/>
      <c r="K388" s="61"/>
      <c r="L388" s="61"/>
      <c r="M388" s="61"/>
      <c r="N388" s="61"/>
      <c r="O388" s="61"/>
    </row>
    <row r="389" spans="1:16">
      <c r="A389" s="60"/>
      <c r="B389" s="60"/>
      <c r="C389" s="60"/>
      <c r="D389" s="61"/>
      <c r="E389" s="61"/>
      <c r="F389" s="61"/>
      <c r="G389" s="61"/>
      <c r="H389" s="61"/>
      <c r="I389" s="57"/>
      <c r="J389" s="61"/>
      <c r="K389" s="61"/>
      <c r="L389" s="61"/>
      <c r="M389" s="61"/>
      <c r="N389" s="61"/>
      <c r="O389" s="61"/>
    </row>
    <row r="390" spans="1:16">
      <c r="A390" s="60"/>
      <c r="B390" s="60"/>
      <c r="C390" s="60"/>
      <c r="D390" s="61"/>
      <c r="E390" s="61"/>
      <c r="F390" s="61"/>
      <c r="G390" s="61"/>
      <c r="H390" s="61"/>
      <c r="I390" s="57"/>
      <c r="J390" s="61"/>
      <c r="K390" s="61"/>
      <c r="L390" s="61"/>
      <c r="M390" s="61"/>
      <c r="N390" s="61"/>
      <c r="O390" s="61"/>
    </row>
    <row r="391" spans="1:16">
      <c r="A391" s="60"/>
      <c r="B391" s="60"/>
      <c r="C391" s="60"/>
      <c r="D391" s="61"/>
      <c r="E391" s="61"/>
      <c r="F391" s="61"/>
      <c r="G391" s="61"/>
      <c r="H391" s="61"/>
      <c r="I391" s="57"/>
      <c r="J391" s="61"/>
      <c r="K391" s="61"/>
      <c r="L391" s="61"/>
      <c r="M391" s="61"/>
      <c r="N391" s="61"/>
      <c r="O391" s="61"/>
    </row>
    <row r="392" spans="1:16">
      <c r="A392" s="60"/>
      <c r="B392" s="60"/>
      <c r="C392" s="60"/>
      <c r="D392" s="61"/>
      <c r="E392" s="61"/>
      <c r="F392" s="61"/>
      <c r="G392" s="61"/>
      <c r="H392" s="61"/>
      <c r="I392" s="57"/>
      <c r="J392" s="61"/>
      <c r="K392" s="61"/>
      <c r="L392" s="61"/>
      <c r="M392" s="76" t="s">
        <v>22</v>
      </c>
      <c r="N392" s="76">
        <v>101.58</v>
      </c>
      <c r="O392" s="61"/>
    </row>
    <row r="393" spans="1:16">
      <c r="A393" s="60"/>
      <c r="B393" s="60"/>
      <c r="C393" s="60"/>
      <c r="D393" s="61"/>
      <c r="E393" s="61"/>
      <c r="F393" s="61"/>
      <c r="G393" s="61"/>
      <c r="H393" s="61"/>
      <c r="I393" s="57"/>
      <c r="J393" s="61"/>
      <c r="K393" s="61"/>
      <c r="L393" s="61"/>
      <c r="M393" s="76" t="s">
        <v>23</v>
      </c>
      <c r="N393" s="76">
        <v>100.36</v>
      </c>
      <c r="O393" s="61"/>
    </row>
    <row r="394" spans="1:16">
      <c r="A394" s="60"/>
      <c r="B394" s="60"/>
      <c r="C394" s="60"/>
      <c r="D394" s="61"/>
      <c r="E394" s="61"/>
      <c r="F394" s="61"/>
      <c r="G394" s="61"/>
      <c r="H394" s="61"/>
      <c r="I394" s="57"/>
      <c r="J394" s="61"/>
      <c r="K394" s="61"/>
      <c r="L394" s="61"/>
      <c r="M394" s="76" t="s">
        <v>24</v>
      </c>
      <c r="N394" s="76">
        <v>100</v>
      </c>
      <c r="O394" s="61"/>
    </row>
    <row r="395" spans="1:16">
      <c r="A395" s="60"/>
      <c r="B395" s="60"/>
      <c r="C395" s="60"/>
      <c r="D395" s="61"/>
      <c r="E395" s="61"/>
      <c r="F395" s="61"/>
      <c r="G395" s="61"/>
      <c r="H395" s="61"/>
      <c r="I395" s="57"/>
      <c r="J395" s="61"/>
      <c r="K395" s="61"/>
      <c r="L395" s="61"/>
      <c r="M395" s="76" t="s">
        <v>25</v>
      </c>
      <c r="N395" s="76">
        <v>99.34</v>
      </c>
      <c r="O395" s="61"/>
    </row>
    <row r="396" spans="1:16">
      <c r="A396" s="60"/>
      <c r="B396" s="60"/>
      <c r="C396" s="60"/>
      <c r="D396" s="61"/>
      <c r="E396" s="61"/>
      <c r="F396" s="61"/>
      <c r="G396" s="61"/>
      <c r="H396" s="61"/>
      <c r="I396" s="57"/>
      <c r="J396" s="61"/>
      <c r="K396" s="61"/>
      <c r="L396" s="61"/>
      <c r="M396" s="61"/>
      <c r="N396" s="61"/>
      <c r="O396" s="61"/>
    </row>
    <row r="397" spans="1:16">
      <c r="A397" s="60"/>
      <c r="B397" s="60"/>
      <c r="C397" s="60"/>
      <c r="D397" s="61"/>
      <c r="E397" s="61"/>
      <c r="F397" s="61"/>
      <c r="G397" s="61"/>
      <c r="H397" s="61"/>
      <c r="I397" s="57"/>
      <c r="J397" s="61"/>
      <c r="K397" s="61"/>
      <c r="L397" s="61"/>
      <c r="M397" s="61"/>
      <c r="N397" s="61"/>
      <c r="O397" s="61"/>
    </row>
    <row r="398" spans="1:16">
      <c r="A398" s="60"/>
      <c r="B398" s="60"/>
      <c r="C398" s="60"/>
      <c r="D398" s="61"/>
      <c r="E398" s="61"/>
      <c r="F398" s="61"/>
      <c r="G398" s="61"/>
      <c r="H398" s="61"/>
      <c r="I398" s="57"/>
      <c r="J398" s="61"/>
      <c r="K398" s="61"/>
      <c r="L398" s="61"/>
      <c r="M398" s="61"/>
      <c r="N398" s="61"/>
      <c r="O398" s="61"/>
    </row>
    <row r="399" spans="1:16">
      <c r="A399" s="60"/>
      <c r="B399" s="60"/>
      <c r="C399" s="60"/>
      <c r="D399" s="61"/>
      <c r="E399" s="61"/>
      <c r="F399" s="61"/>
      <c r="G399" s="61"/>
      <c r="H399" s="61"/>
      <c r="I399" s="57"/>
      <c r="J399" s="61"/>
      <c r="K399" s="61"/>
      <c r="L399" s="61"/>
      <c r="M399" s="61"/>
      <c r="N399" s="61"/>
      <c r="O399" s="61"/>
    </row>
    <row r="400" spans="1:16">
      <c r="A400" s="60"/>
      <c r="B400" s="60"/>
      <c r="C400" s="60"/>
      <c r="D400" s="61"/>
      <c r="E400" s="61"/>
      <c r="F400" s="61"/>
      <c r="G400" s="61"/>
      <c r="H400" s="61"/>
      <c r="I400" s="57"/>
      <c r="J400" s="61"/>
      <c r="K400" s="61"/>
      <c r="L400" s="61"/>
      <c r="M400" s="61"/>
      <c r="N400" s="61"/>
      <c r="O400" s="61"/>
    </row>
    <row r="401" spans="1:16">
      <c r="A401" s="60"/>
      <c r="B401" s="60"/>
      <c r="C401" s="60"/>
      <c r="D401" s="61"/>
      <c r="E401" s="61"/>
      <c r="F401" s="61"/>
      <c r="G401" s="61"/>
      <c r="H401" s="61"/>
      <c r="I401" s="57"/>
      <c r="J401" s="61"/>
      <c r="K401" s="61"/>
      <c r="L401" s="61"/>
      <c r="M401" s="61"/>
      <c r="N401" s="61"/>
      <c r="O401" s="61"/>
    </row>
    <row r="402" spans="1:16">
      <c r="A402" s="60"/>
      <c r="B402" s="60"/>
      <c r="C402" s="60"/>
      <c r="D402" s="61"/>
      <c r="E402" s="61"/>
      <c r="F402" s="61"/>
      <c r="G402" s="61"/>
      <c r="H402" s="61"/>
      <c r="I402" s="57"/>
      <c r="J402" s="61"/>
      <c r="K402" s="61"/>
      <c r="L402" s="61"/>
      <c r="M402" s="61"/>
      <c r="N402" s="61"/>
      <c r="O402" s="61"/>
    </row>
    <row r="403" spans="1:16">
      <c r="A403" s="176" t="s">
        <v>0</v>
      </c>
      <c r="B403" s="176"/>
      <c r="C403" s="176"/>
      <c r="D403" s="176"/>
      <c r="E403" s="176"/>
      <c r="F403" s="176"/>
      <c r="G403" s="176"/>
      <c r="H403" s="39">
        <v>550</v>
      </c>
      <c r="I403" s="40" t="s">
        <v>17</v>
      </c>
      <c r="J403" s="173"/>
      <c r="K403" s="174"/>
      <c r="L403" s="175"/>
      <c r="M403" s="41"/>
      <c r="N403" s="41"/>
      <c r="O403" s="41"/>
    </row>
    <row r="404" spans="1:16">
      <c r="A404" s="42" t="s">
        <v>1</v>
      </c>
      <c r="B404" s="43"/>
      <c r="C404" s="44">
        <v>0</v>
      </c>
      <c r="D404" s="45">
        <v>1.5</v>
      </c>
      <c r="E404" s="45">
        <v>2.2999999999999998</v>
      </c>
      <c r="F404" s="46">
        <v>2.6</v>
      </c>
      <c r="G404" s="46">
        <v>3.7</v>
      </c>
      <c r="H404" s="45">
        <v>3.8</v>
      </c>
      <c r="I404" s="47">
        <v>4.5</v>
      </c>
      <c r="J404" s="47">
        <v>5.3</v>
      </c>
      <c r="K404" s="45">
        <v>6.5</v>
      </c>
      <c r="L404" s="49">
        <v>7</v>
      </c>
      <c r="M404" s="47">
        <v>8.1</v>
      </c>
      <c r="N404" s="47"/>
      <c r="O404" s="50"/>
    </row>
    <row r="405" spans="1:16">
      <c r="A405" s="42" t="s">
        <v>2</v>
      </c>
      <c r="B405" s="43"/>
      <c r="C405" s="44">
        <v>99.94</v>
      </c>
      <c r="D405" s="45">
        <v>100.96</v>
      </c>
      <c r="E405" s="45">
        <v>101.5</v>
      </c>
      <c r="F405" s="45">
        <v>101.5</v>
      </c>
      <c r="G405" s="45">
        <v>101.5</v>
      </c>
      <c r="H405" s="45">
        <v>101.5</v>
      </c>
      <c r="I405" s="45">
        <v>101.5</v>
      </c>
      <c r="J405" s="47">
        <v>101.5</v>
      </c>
      <c r="K405" s="45">
        <v>100.893</v>
      </c>
      <c r="L405" s="49">
        <v>100.64</v>
      </c>
      <c r="M405" s="47">
        <v>100.09</v>
      </c>
      <c r="N405" s="47"/>
      <c r="O405" s="51"/>
    </row>
    <row r="406" spans="1:16">
      <c r="A406" s="42" t="s">
        <v>1</v>
      </c>
      <c r="B406" s="43"/>
      <c r="C406" s="44">
        <v>0</v>
      </c>
      <c r="D406" s="45">
        <v>1.5</v>
      </c>
      <c r="E406" s="45">
        <v>2.2999999999999998</v>
      </c>
      <c r="F406" s="46">
        <v>2.6</v>
      </c>
      <c r="G406" s="46">
        <v>3.7</v>
      </c>
      <c r="H406" s="45">
        <v>3.8</v>
      </c>
      <c r="I406" s="47">
        <v>4.5</v>
      </c>
      <c r="J406" s="47">
        <v>5.3</v>
      </c>
      <c r="K406" s="45">
        <v>6.5</v>
      </c>
      <c r="L406" s="49">
        <v>7</v>
      </c>
      <c r="M406" s="47">
        <v>8.1</v>
      </c>
      <c r="N406" s="47"/>
      <c r="O406" s="50"/>
    </row>
    <row r="407" spans="1:16">
      <c r="A407" s="42" t="s">
        <v>3</v>
      </c>
      <c r="B407" s="9"/>
      <c r="C407" s="44">
        <v>99.94</v>
      </c>
      <c r="D407" s="45">
        <v>100.96</v>
      </c>
      <c r="E407" s="45">
        <v>100.982</v>
      </c>
      <c r="F407" s="45">
        <v>100.99</v>
      </c>
      <c r="G407" s="45">
        <v>100.99</v>
      </c>
      <c r="H407" s="45">
        <v>100.99</v>
      </c>
      <c r="I407" s="45">
        <v>100.99</v>
      </c>
      <c r="J407" s="47">
        <v>100.63500000000001</v>
      </c>
      <c r="K407" s="45">
        <v>100.1</v>
      </c>
      <c r="L407" s="49">
        <v>100.09699999999999</v>
      </c>
      <c r="M407" s="47">
        <v>100.09</v>
      </c>
      <c r="N407" s="52"/>
      <c r="O407" s="53"/>
    </row>
    <row r="408" spans="1:16">
      <c r="A408" s="42" t="s">
        <v>18</v>
      </c>
      <c r="B408" s="9"/>
      <c r="C408" s="47">
        <f t="shared" ref="C408:M408" si="89">C405-C407</f>
        <v>0</v>
      </c>
      <c r="D408" s="47">
        <f t="shared" si="89"/>
        <v>0</v>
      </c>
      <c r="E408" s="47">
        <f t="shared" si="89"/>
        <v>0.51800000000000068</v>
      </c>
      <c r="F408" s="47">
        <f t="shared" si="89"/>
        <v>0.51000000000000512</v>
      </c>
      <c r="G408" s="47">
        <f t="shared" si="89"/>
        <v>0.51000000000000512</v>
      </c>
      <c r="H408" s="47">
        <f t="shared" si="89"/>
        <v>0.51000000000000512</v>
      </c>
      <c r="I408" s="47">
        <f t="shared" si="89"/>
        <v>0.51000000000000512</v>
      </c>
      <c r="J408" s="47">
        <f t="shared" si="89"/>
        <v>0.86499999999999488</v>
      </c>
      <c r="K408" s="47">
        <f t="shared" si="89"/>
        <v>0.79300000000000637</v>
      </c>
      <c r="L408" s="47">
        <f t="shared" si="89"/>
        <v>0.54300000000000637</v>
      </c>
      <c r="M408" s="47">
        <f t="shared" si="89"/>
        <v>0</v>
      </c>
      <c r="N408" s="47"/>
      <c r="O408" s="51"/>
    </row>
    <row r="409" spans="1:16">
      <c r="A409" s="42" t="s">
        <v>5</v>
      </c>
      <c r="B409" s="9"/>
      <c r="C409" s="47">
        <f t="shared" ref="C409" si="90">(C408+B408)/2*(C404-B404)</f>
        <v>0</v>
      </c>
      <c r="D409" s="47">
        <f t="shared" ref="D409" si="91">(D408+C408)/2*(D404-C404)</f>
        <v>0</v>
      </c>
      <c r="E409" s="47">
        <f t="shared" ref="E409" si="92">(E408+D408)/2*(E404-D404)</f>
        <v>0.20720000000000022</v>
      </c>
      <c r="F409" s="47">
        <f t="shared" ref="F409" si="93">(F408+E408)/2*(F404-E404)</f>
        <v>0.154200000000001</v>
      </c>
      <c r="G409" s="47">
        <f t="shared" ref="G409" si="94">(G408+F408)/2*(G404-F404)</f>
        <v>0.56100000000000572</v>
      </c>
      <c r="H409" s="47">
        <f t="shared" ref="H409" si="95">(H408+G408)/2*(H404-G404)</f>
        <v>5.100000000000033E-2</v>
      </c>
      <c r="I409" s="47">
        <f t="shared" ref="I409" si="96">(I408+H408)/2*(I404-H404)</f>
        <v>0.35700000000000365</v>
      </c>
      <c r="J409" s="47">
        <f t="shared" ref="J409" si="97">(J408+I408)/2*(J404-I404)</f>
        <v>0.54999999999999982</v>
      </c>
      <c r="K409" s="47">
        <f t="shared" ref="K409" si="98">(K408+J408)/2*(K404-J404)</f>
        <v>0.99480000000000091</v>
      </c>
      <c r="L409" s="47">
        <f t="shared" ref="L409" si="99">(L408+K408)/2*(L404-K404)</f>
        <v>0.33400000000000318</v>
      </c>
      <c r="M409" s="47">
        <f t="shared" ref="M409" si="100">(M408+L408)/2*(M404-L404)</f>
        <v>0.29865000000000341</v>
      </c>
      <c r="N409" s="47"/>
      <c r="O409" s="21">
        <f>SUM(D409:N409)</f>
        <v>3.5078500000000186</v>
      </c>
      <c r="P409" s="31"/>
    </row>
    <row r="410" spans="1:16" ht="17.25">
      <c r="A410" s="54"/>
      <c r="B410" s="54"/>
      <c r="C410" s="54"/>
      <c r="D410" s="55"/>
      <c r="E410" s="55"/>
      <c r="F410" s="56"/>
      <c r="G410" s="56"/>
      <c r="H410" s="56"/>
      <c r="I410" s="57"/>
      <c r="K410" s="161" t="s">
        <v>19</v>
      </c>
      <c r="L410" s="162"/>
      <c r="M410" s="162"/>
      <c r="N410" s="163"/>
      <c r="O410" s="59">
        <f>O409</f>
        <v>3.5078500000000186</v>
      </c>
      <c r="P410" s="75"/>
    </row>
    <row r="411" spans="1:16">
      <c r="A411" s="60"/>
      <c r="B411" s="60"/>
      <c r="C411" s="60"/>
      <c r="D411" s="61"/>
      <c r="E411" s="61"/>
      <c r="F411" s="61"/>
      <c r="G411" s="61"/>
      <c r="H411" s="61"/>
      <c r="I411" s="57"/>
      <c r="J411" s="61"/>
      <c r="K411" s="61"/>
      <c r="L411" s="61"/>
      <c r="M411" s="61"/>
      <c r="N411" s="61"/>
      <c r="O411" s="61"/>
    </row>
    <row r="412" spans="1:16">
      <c r="A412" s="60"/>
      <c r="B412" s="60"/>
      <c r="C412" s="60"/>
      <c r="D412" s="61"/>
      <c r="E412" s="61"/>
      <c r="F412" s="61"/>
      <c r="G412" s="61"/>
      <c r="H412" s="61"/>
      <c r="I412" s="57"/>
      <c r="J412" s="61"/>
      <c r="K412" s="61"/>
      <c r="L412" s="61"/>
      <c r="M412" s="61"/>
      <c r="N412" s="61"/>
      <c r="O412" s="61"/>
    </row>
    <row r="413" spans="1:16">
      <c r="A413" s="60"/>
      <c r="B413" s="60"/>
      <c r="C413" s="60"/>
      <c r="D413" s="61"/>
      <c r="E413" s="61"/>
      <c r="F413" s="61"/>
      <c r="G413" s="61"/>
      <c r="H413" s="61"/>
      <c r="I413" s="57"/>
      <c r="J413" s="61"/>
      <c r="K413" s="61"/>
      <c r="L413" s="61"/>
      <c r="M413" s="61"/>
      <c r="N413" s="61"/>
      <c r="O413" s="61"/>
    </row>
    <row r="414" spans="1:16">
      <c r="A414" s="60"/>
      <c r="B414" s="60"/>
      <c r="C414" s="60"/>
      <c r="D414" s="61"/>
      <c r="E414" s="61"/>
      <c r="F414" s="61"/>
      <c r="G414" s="61"/>
      <c r="H414" s="61"/>
      <c r="I414" s="57"/>
      <c r="J414" s="61"/>
      <c r="K414" s="61"/>
      <c r="L414" s="61"/>
      <c r="M414" s="61"/>
      <c r="N414" s="61"/>
      <c r="O414" s="61"/>
    </row>
    <row r="415" spans="1:16">
      <c r="A415" s="60"/>
      <c r="B415" s="60"/>
      <c r="C415" s="60"/>
      <c r="D415" s="61"/>
      <c r="E415" s="61"/>
      <c r="F415" s="61"/>
      <c r="G415" s="61"/>
      <c r="H415" s="61"/>
      <c r="I415" s="57"/>
      <c r="J415" s="61"/>
      <c r="K415" s="61"/>
      <c r="L415" s="61"/>
      <c r="M415" s="76" t="s">
        <v>22</v>
      </c>
      <c r="N415" s="76">
        <v>101.58</v>
      </c>
      <c r="O415" s="61"/>
    </row>
    <row r="416" spans="1:16">
      <c r="A416" s="60"/>
      <c r="B416" s="60"/>
      <c r="C416" s="60"/>
      <c r="D416" s="61"/>
      <c r="E416" s="61"/>
      <c r="F416" s="61"/>
      <c r="G416" s="61"/>
      <c r="H416" s="61"/>
      <c r="I416" s="57"/>
      <c r="J416" s="61"/>
      <c r="K416" s="61"/>
      <c r="L416" s="61"/>
      <c r="M416" s="76" t="s">
        <v>23</v>
      </c>
      <c r="N416" s="76">
        <v>100.36</v>
      </c>
      <c r="O416" s="61"/>
    </row>
    <row r="417" spans="1:15">
      <c r="A417" s="60"/>
      <c r="B417" s="60"/>
      <c r="C417" s="60"/>
      <c r="D417" s="61"/>
      <c r="E417" s="61"/>
      <c r="F417" s="61"/>
      <c r="G417" s="61"/>
      <c r="H417" s="61"/>
      <c r="I417" s="57"/>
      <c r="J417" s="61"/>
      <c r="K417" s="61"/>
      <c r="L417" s="61"/>
      <c r="M417" s="76" t="s">
        <v>24</v>
      </c>
      <c r="N417" s="76">
        <v>100</v>
      </c>
      <c r="O417" s="61"/>
    </row>
    <row r="418" spans="1:15">
      <c r="A418" s="60"/>
      <c r="B418" s="60"/>
      <c r="C418" s="60"/>
      <c r="D418" s="61"/>
      <c r="E418" s="61"/>
      <c r="F418" s="61"/>
      <c r="G418" s="61"/>
      <c r="H418" s="61"/>
      <c r="I418" s="57"/>
      <c r="J418" s="61"/>
      <c r="K418" s="61"/>
      <c r="L418" s="61"/>
      <c r="M418" s="76" t="s">
        <v>25</v>
      </c>
      <c r="N418" s="76">
        <v>99.34</v>
      </c>
      <c r="O418" s="61"/>
    </row>
    <row r="419" spans="1:15">
      <c r="A419" s="60"/>
      <c r="B419" s="60"/>
      <c r="C419" s="60"/>
      <c r="D419" s="61"/>
      <c r="E419" s="61"/>
      <c r="F419" s="61"/>
      <c r="G419" s="61"/>
      <c r="H419" s="61"/>
      <c r="I419" s="57"/>
      <c r="J419" s="61"/>
      <c r="K419" s="61"/>
      <c r="L419" s="61"/>
      <c r="M419" s="61"/>
      <c r="N419" s="61"/>
      <c r="O419" s="61"/>
    </row>
    <row r="420" spans="1:15">
      <c r="A420" s="60"/>
      <c r="B420" s="60"/>
      <c r="C420" s="60"/>
      <c r="D420" s="61"/>
      <c r="E420" s="61"/>
      <c r="F420" s="61"/>
      <c r="G420" s="61"/>
      <c r="H420" s="61"/>
      <c r="I420" s="57"/>
      <c r="J420" s="61"/>
      <c r="K420" s="61"/>
      <c r="L420" s="61"/>
      <c r="M420" s="61"/>
      <c r="N420" s="61"/>
      <c r="O420" s="61"/>
    </row>
    <row r="421" spans="1:15">
      <c r="A421" s="60"/>
      <c r="B421" s="60"/>
      <c r="C421" s="60"/>
      <c r="D421" s="61"/>
      <c r="E421" s="61"/>
      <c r="F421" s="61"/>
      <c r="G421" s="61"/>
      <c r="H421" s="61"/>
      <c r="I421" s="57"/>
      <c r="J421" s="61"/>
      <c r="K421" s="61"/>
      <c r="L421" s="61"/>
      <c r="M421" s="61"/>
      <c r="N421" s="61"/>
      <c r="O421" s="61"/>
    </row>
    <row r="422" spans="1:15">
      <c r="A422" s="60"/>
      <c r="B422" s="60"/>
      <c r="C422" s="60"/>
      <c r="D422" s="61"/>
      <c r="E422" s="61"/>
      <c r="F422" s="61"/>
      <c r="G422" s="61"/>
      <c r="H422" s="61"/>
      <c r="I422" s="57"/>
      <c r="J422" s="61"/>
      <c r="K422" s="61"/>
      <c r="L422" s="61"/>
      <c r="M422" s="61"/>
      <c r="N422" s="61"/>
      <c r="O422" s="61"/>
    </row>
    <row r="423" spans="1:15">
      <c r="A423" s="60"/>
      <c r="B423" s="60"/>
      <c r="C423" s="60"/>
      <c r="D423" s="61"/>
      <c r="E423" s="61"/>
      <c r="F423" s="61"/>
      <c r="G423" s="61"/>
      <c r="H423" s="61"/>
      <c r="I423" s="57"/>
      <c r="J423" s="61"/>
      <c r="K423" s="61"/>
      <c r="L423" s="61"/>
      <c r="M423" s="61"/>
      <c r="N423" s="61"/>
      <c r="O423" s="61"/>
    </row>
    <row r="424" spans="1:15">
      <c r="A424" s="60"/>
      <c r="B424" s="60"/>
      <c r="C424" s="60"/>
      <c r="D424" s="61"/>
      <c r="E424" s="61"/>
      <c r="F424" s="61"/>
      <c r="G424" s="61"/>
      <c r="H424" s="61"/>
      <c r="I424" s="57"/>
      <c r="J424" s="61"/>
      <c r="K424" s="61"/>
      <c r="L424" s="61"/>
      <c r="M424" s="61"/>
      <c r="N424" s="61"/>
      <c r="O424" s="61"/>
    </row>
    <row r="425" spans="1:15">
      <c r="A425" s="60"/>
      <c r="B425" s="60"/>
      <c r="C425" s="60"/>
      <c r="D425" s="61"/>
      <c r="E425" s="61"/>
      <c r="F425" s="61"/>
      <c r="G425" s="61"/>
      <c r="H425" s="61"/>
      <c r="I425" s="57"/>
      <c r="J425" s="61"/>
      <c r="K425" s="61"/>
      <c r="L425" s="61"/>
      <c r="M425" s="61"/>
      <c r="N425" s="61"/>
      <c r="O425" s="61"/>
    </row>
    <row r="426" spans="1:15">
      <c r="A426" s="60"/>
      <c r="B426" s="60"/>
      <c r="C426" s="60"/>
      <c r="D426" s="61"/>
      <c r="E426" s="61"/>
      <c r="F426" s="61"/>
      <c r="G426" s="61"/>
      <c r="H426" s="61"/>
      <c r="I426" s="57"/>
      <c r="J426" s="61"/>
      <c r="K426" s="61"/>
      <c r="L426" s="61"/>
      <c r="M426" s="61"/>
      <c r="N426" s="61"/>
      <c r="O426" s="61"/>
    </row>
    <row r="427" spans="1:15">
      <c r="A427" s="60"/>
      <c r="B427" s="60"/>
      <c r="C427" s="60"/>
      <c r="D427" s="61"/>
      <c r="E427" s="61"/>
      <c r="F427" s="61"/>
      <c r="G427" s="61"/>
      <c r="H427" s="61"/>
      <c r="I427" s="57"/>
      <c r="J427" s="61"/>
      <c r="K427" s="61"/>
      <c r="L427" s="61"/>
      <c r="M427" s="61"/>
      <c r="N427" s="61"/>
      <c r="O427" s="61"/>
    </row>
    <row r="428" spans="1:15">
      <c r="A428" s="60"/>
      <c r="B428" s="60"/>
      <c r="C428" s="60"/>
      <c r="D428" s="61"/>
      <c r="E428" s="61"/>
      <c r="F428" s="61"/>
      <c r="G428" s="61"/>
      <c r="H428" s="61"/>
      <c r="I428" s="57"/>
      <c r="J428" s="61"/>
      <c r="K428" s="61"/>
      <c r="L428" s="61"/>
      <c r="M428" s="61"/>
      <c r="N428" s="61"/>
      <c r="O428" s="61"/>
    </row>
    <row r="429" spans="1:15">
      <c r="A429" s="60"/>
      <c r="B429" s="60"/>
      <c r="C429" s="60"/>
      <c r="D429" s="61"/>
      <c r="E429" s="61"/>
      <c r="F429" s="61"/>
      <c r="G429" s="61"/>
      <c r="H429" s="61"/>
      <c r="I429" s="57"/>
      <c r="J429" s="61"/>
      <c r="K429" s="61"/>
      <c r="L429" s="61"/>
      <c r="M429" s="61"/>
      <c r="N429" s="61"/>
      <c r="O429" s="61"/>
    </row>
    <row r="430" spans="1:15">
      <c r="A430" s="60"/>
      <c r="B430" s="60"/>
      <c r="C430" s="60"/>
      <c r="D430" s="61"/>
      <c r="E430" s="61"/>
      <c r="F430" s="61"/>
      <c r="G430" s="61"/>
      <c r="H430" s="61"/>
      <c r="I430" s="57"/>
      <c r="J430" s="61"/>
      <c r="K430" s="61"/>
      <c r="L430" s="61"/>
      <c r="M430" s="61"/>
      <c r="N430" s="61"/>
      <c r="O430" s="61"/>
    </row>
  </sheetData>
  <mergeCells count="57">
    <mergeCell ref="A1:O1"/>
    <mergeCell ref="A2:G2"/>
    <mergeCell ref="J2:L2"/>
    <mergeCell ref="K9:N9"/>
    <mergeCell ref="A27:G27"/>
    <mergeCell ref="J27:L27"/>
    <mergeCell ref="K34:N34"/>
    <mergeCell ref="A50:G50"/>
    <mergeCell ref="J50:L50"/>
    <mergeCell ref="K57:N57"/>
    <mergeCell ref="C76:F76"/>
    <mergeCell ref="H76:J76"/>
    <mergeCell ref="L76:M76"/>
    <mergeCell ref="A197:G197"/>
    <mergeCell ref="C77:E77"/>
    <mergeCell ref="H77:J77"/>
    <mergeCell ref="L77:M77"/>
    <mergeCell ref="A84:G84"/>
    <mergeCell ref="K91:N91"/>
    <mergeCell ref="A110:G110"/>
    <mergeCell ref="K117:N117"/>
    <mergeCell ref="A135:G135"/>
    <mergeCell ref="K142:N142"/>
    <mergeCell ref="A171:G171"/>
    <mergeCell ref="K178:N178"/>
    <mergeCell ref="K204:N204"/>
    <mergeCell ref="A222:G222"/>
    <mergeCell ref="K229:N229"/>
    <mergeCell ref="B250:E250"/>
    <mergeCell ref="G250:I250"/>
    <mergeCell ref="K250:L250"/>
    <mergeCell ref="K313:N313"/>
    <mergeCell ref="B251:D251"/>
    <mergeCell ref="G251:I251"/>
    <mergeCell ref="K251:L251"/>
    <mergeCell ref="A258:G258"/>
    <mergeCell ref="J258:L258"/>
    <mergeCell ref="K265:N265"/>
    <mergeCell ref="A283:G283"/>
    <mergeCell ref="J283:L283"/>
    <mergeCell ref="K290:N290"/>
    <mergeCell ref="A306:G306"/>
    <mergeCell ref="J306:L306"/>
    <mergeCell ref="K410:N410"/>
    <mergeCell ref="A343:G343"/>
    <mergeCell ref="K350:N350"/>
    <mergeCell ref="C332:F332"/>
    <mergeCell ref="H332:J332"/>
    <mergeCell ref="L332:M332"/>
    <mergeCell ref="C333:E333"/>
    <mergeCell ref="H333:J333"/>
    <mergeCell ref="L333:M333"/>
    <mergeCell ref="A378:G378"/>
    <mergeCell ref="J378:L378"/>
    <mergeCell ref="K385:N385"/>
    <mergeCell ref="A403:G403"/>
    <mergeCell ref="J403:L403"/>
  </mergeCells>
  <pageMargins left="0.7" right="0.7" top="0.75" bottom="0.75" header="0.3" footer="0.3"/>
  <pageSetup scale="52" orientation="portrait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L162"/>
  <sheetViews>
    <sheetView tabSelected="1" view="pageBreakPreview" zoomScaleSheetLayoutView="100" workbookViewId="0">
      <selection activeCell="C7" sqref="C7"/>
    </sheetView>
  </sheetViews>
  <sheetFormatPr defaultRowHeight="15"/>
  <cols>
    <col min="1" max="1" width="11.28515625" customWidth="1"/>
    <col min="2" max="2" width="13" customWidth="1"/>
    <col min="3" max="4" width="21.5703125" customWidth="1"/>
    <col min="5" max="5" width="21.5703125" style="18" customWidth="1"/>
    <col min="6" max="6" width="9.140625" style="18"/>
  </cols>
  <sheetData>
    <row r="1" spans="1:12">
      <c r="A1" s="178" t="s">
        <v>16</v>
      </c>
      <c r="B1" s="178"/>
      <c r="C1" s="178"/>
      <c r="D1" s="178"/>
      <c r="E1" s="178"/>
    </row>
    <row r="2" spans="1:12">
      <c r="A2" s="159" t="s">
        <v>7</v>
      </c>
      <c r="B2" s="159" t="s">
        <v>8</v>
      </c>
      <c r="C2" s="159" t="s">
        <v>9</v>
      </c>
      <c r="D2" s="159" t="s">
        <v>11</v>
      </c>
      <c r="E2" s="160" t="s">
        <v>12</v>
      </c>
    </row>
    <row r="3" spans="1:12">
      <c r="A3" s="159"/>
      <c r="B3" s="159"/>
      <c r="C3" s="159"/>
      <c r="D3" s="159"/>
      <c r="E3" s="160"/>
    </row>
    <row r="4" spans="1:12" ht="23.25" customHeight="1">
      <c r="A4" s="8">
        <v>0</v>
      </c>
      <c r="B4" s="9" t="s">
        <v>4</v>
      </c>
      <c r="C4" s="10">
        <f>fc!N11</f>
        <v>0.23800000000002511</v>
      </c>
      <c r="D4" s="11" t="s">
        <v>4</v>
      </c>
      <c r="E4" s="12"/>
      <c r="I4" s="8">
        <v>0</v>
      </c>
      <c r="J4" s="9" t="s">
        <v>4</v>
      </c>
      <c r="K4" s="10">
        <f>[1]fc!V11</f>
        <v>0</v>
      </c>
      <c r="L4" s="11" t="s">
        <v>4</v>
      </c>
    </row>
    <row r="5" spans="1:12" ht="23.25" customHeight="1">
      <c r="A5" s="8">
        <v>30</v>
      </c>
      <c r="B5" s="9">
        <v>30</v>
      </c>
      <c r="C5" s="10">
        <v>0.26050000000000001</v>
      </c>
      <c r="D5" s="16">
        <f>(C4+C5)/2*B5</f>
        <v>7.4775000000003775</v>
      </c>
      <c r="E5" s="12"/>
      <c r="F5" s="22"/>
      <c r="I5" s="8">
        <v>60</v>
      </c>
      <c r="J5" s="8">
        <f>I5-I4</f>
        <v>60</v>
      </c>
      <c r="K5" s="10">
        <f>[1]fc!V44</f>
        <v>0</v>
      </c>
      <c r="L5" s="16">
        <f>(0.238+0.283)/2*60</f>
        <v>15.629999999999997</v>
      </c>
    </row>
    <row r="6" spans="1:12" ht="23.25" customHeight="1">
      <c r="A6" s="8">
        <v>60</v>
      </c>
      <c r="B6" s="9">
        <v>30</v>
      </c>
      <c r="C6" s="10">
        <v>0.28299999999999997</v>
      </c>
      <c r="D6" s="16">
        <f t="shared" ref="D6:D61" si="0">(C5+C6)/2*B6</f>
        <v>8.1524999999999999</v>
      </c>
      <c r="E6" s="196">
        <f>D5+D6</f>
        <v>15.630000000000377</v>
      </c>
      <c r="F6" s="22"/>
      <c r="H6" s="16">
        <v>45.45</v>
      </c>
      <c r="I6" s="8">
        <v>120</v>
      </c>
      <c r="J6" s="8">
        <f t="shared" ref="J6:J38" si="1">I6-I5</f>
        <v>60</v>
      </c>
      <c r="K6" s="10">
        <f>[1]fc!V89</f>
        <v>0</v>
      </c>
      <c r="L6" s="16">
        <f>(0.283+0.773)/2*60</f>
        <v>31.68</v>
      </c>
    </row>
    <row r="7" spans="1:12" ht="23.25" customHeight="1">
      <c r="A7" s="8">
        <v>90</v>
      </c>
      <c r="B7" s="9">
        <v>30</v>
      </c>
      <c r="C7" s="10">
        <v>0.25619999999999998</v>
      </c>
      <c r="D7" s="16">
        <f t="shared" si="0"/>
        <v>8.0879999999999992</v>
      </c>
      <c r="E7" s="14"/>
      <c r="H7" s="16">
        <v>42.27</v>
      </c>
      <c r="I7" s="8">
        <v>180</v>
      </c>
      <c r="J7" s="8">
        <f t="shared" si="1"/>
        <v>60</v>
      </c>
      <c r="K7" s="10">
        <f>[1]fc!V127</f>
        <v>0</v>
      </c>
      <c r="L7" s="16">
        <f>(0.773+0.742)/2*60</f>
        <v>45.45</v>
      </c>
    </row>
    <row r="8" spans="1:12" ht="22.5" customHeight="1">
      <c r="A8" s="8">
        <v>120</v>
      </c>
      <c r="B8" s="9">
        <v>30</v>
      </c>
      <c r="C8" s="10">
        <v>0.77300000000000002</v>
      </c>
      <c r="D8" s="16">
        <f t="shared" si="0"/>
        <v>15.437999999999999</v>
      </c>
      <c r="E8" s="196">
        <f>D6+D7+D8</f>
        <v>31.678499999999996</v>
      </c>
      <c r="H8" s="16">
        <v>52.8</v>
      </c>
      <c r="I8" s="8">
        <v>240</v>
      </c>
      <c r="J8" s="8">
        <f t="shared" si="1"/>
        <v>60</v>
      </c>
      <c r="K8" s="10">
        <f>[1]fc!V172</f>
        <v>0</v>
      </c>
      <c r="L8" s="16">
        <f>(0.742+0.667)/2*60</f>
        <v>42.27</v>
      </c>
    </row>
    <row r="9" spans="1:12" ht="22.5" customHeight="1">
      <c r="A9" s="8">
        <v>150</v>
      </c>
      <c r="B9" s="9">
        <v>30</v>
      </c>
      <c r="C9" s="10">
        <v>0.24299999999999999</v>
      </c>
      <c r="D9" s="16">
        <f t="shared" si="0"/>
        <v>15.24</v>
      </c>
      <c r="E9" s="14"/>
      <c r="H9" s="16">
        <v>58.56</v>
      </c>
      <c r="I9" s="8">
        <v>300</v>
      </c>
      <c r="J9" s="8">
        <f t="shared" si="1"/>
        <v>60</v>
      </c>
      <c r="K9" s="10">
        <f>[1]fc!V212</f>
        <v>0</v>
      </c>
      <c r="L9" s="16">
        <f>(0.667+1.093)/2*60</f>
        <v>52.8</v>
      </c>
    </row>
    <row r="10" spans="1:12" ht="19.5" customHeight="1">
      <c r="A10" s="8">
        <v>180</v>
      </c>
      <c r="B10" s="9">
        <v>30</v>
      </c>
      <c r="C10" s="10">
        <v>0.74199999999999999</v>
      </c>
      <c r="D10" s="16">
        <f t="shared" si="0"/>
        <v>14.775</v>
      </c>
      <c r="E10" s="196">
        <f>D8+D9+D10</f>
        <v>45.452999999999996</v>
      </c>
      <c r="H10" s="16">
        <v>45.570000000000007</v>
      </c>
      <c r="I10" s="8">
        <v>360</v>
      </c>
      <c r="J10" s="8">
        <f t="shared" si="1"/>
        <v>60</v>
      </c>
      <c r="K10" s="10">
        <f>[1]fc!V255</f>
        <v>0</v>
      </c>
      <c r="L10" s="16">
        <f>(1.093+0.859)/2*60</f>
        <v>58.56</v>
      </c>
    </row>
    <row r="11" spans="1:12" ht="19.5" customHeight="1">
      <c r="A11" s="8">
        <v>210</v>
      </c>
      <c r="B11" s="9">
        <v>30</v>
      </c>
      <c r="C11" s="10">
        <f>fc!N18</f>
        <v>0</v>
      </c>
      <c r="D11" s="16">
        <f t="shared" si="0"/>
        <v>11.129999999999999</v>
      </c>
      <c r="H11" s="16">
        <v>48.720000000000006</v>
      </c>
      <c r="I11" s="8">
        <v>420</v>
      </c>
      <c r="J11" s="8">
        <f t="shared" si="1"/>
        <v>60</v>
      </c>
      <c r="K11" s="10">
        <f>[1]fc!V290</f>
        <v>0</v>
      </c>
      <c r="L11" s="16">
        <f>(0.859+0.66)/2*60</f>
        <v>45.570000000000007</v>
      </c>
    </row>
    <row r="12" spans="1:12" ht="22.5" customHeight="1">
      <c r="A12" s="8">
        <v>240</v>
      </c>
      <c r="B12" s="9">
        <v>30</v>
      </c>
      <c r="C12" s="10">
        <v>0.66700000000000004</v>
      </c>
      <c r="D12" s="16">
        <f t="shared" si="0"/>
        <v>10.005000000000001</v>
      </c>
      <c r="E12" s="196">
        <f>D10+D11+D12</f>
        <v>35.910000000000004</v>
      </c>
      <c r="H12" s="16">
        <v>64.14</v>
      </c>
      <c r="I12" s="8">
        <v>480</v>
      </c>
      <c r="J12" s="8">
        <f t="shared" si="1"/>
        <v>60</v>
      </c>
      <c r="K12" s="10">
        <f>[1]fc!V338</f>
        <v>0</v>
      </c>
      <c r="L12" s="16">
        <f>(0.66+0.964)/2*60</f>
        <v>48.720000000000006</v>
      </c>
    </row>
    <row r="13" spans="1:12" ht="22.5" customHeight="1">
      <c r="A13" s="8">
        <v>270</v>
      </c>
      <c r="B13" s="9">
        <v>30</v>
      </c>
      <c r="C13" s="10">
        <f>fc!N20</f>
        <v>0</v>
      </c>
      <c r="D13" s="16">
        <f t="shared" si="0"/>
        <v>10.005000000000001</v>
      </c>
      <c r="H13" s="16">
        <v>68.849999999999994</v>
      </c>
      <c r="I13" s="8">
        <v>540</v>
      </c>
      <c r="J13" s="8">
        <f t="shared" si="1"/>
        <v>60</v>
      </c>
      <c r="K13" s="10">
        <f>[1]fc!V374</f>
        <v>0</v>
      </c>
      <c r="L13" s="16">
        <f>(0.964+1.174)/2*60</f>
        <v>64.14</v>
      </c>
    </row>
    <row r="14" spans="1:12" ht="23.25" customHeight="1">
      <c r="A14" s="8">
        <v>300</v>
      </c>
      <c r="B14" s="9">
        <v>30</v>
      </c>
      <c r="C14" s="10">
        <v>1.093</v>
      </c>
      <c r="D14" s="16">
        <f t="shared" si="0"/>
        <v>16.395</v>
      </c>
      <c r="E14" s="14"/>
      <c r="H14" s="16">
        <v>73.859999999999985</v>
      </c>
      <c r="I14" s="8">
        <v>600</v>
      </c>
      <c r="J14" s="8">
        <f t="shared" si="1"/>
        <v>60</v>
      </c>
      <c r="K14" s="10">
        <f>[1]fc!V421</f>
        <v>0</v>
      </c>
      <c r="L14" s="16">
        <f>(1.174+1.121)/2*60</f>
        <v>68.849999999999994</v>
      </c>
    </row>
    <row r="15" spans="1:12" ht="23.25" customHeight="1">
      <c r="A15" s="8">
        <v>330</v>
      </c>
      <c r="B15" s="9">
        <v>30</v>
      </c>
      <c r="C15" s="10">
        <f>fc!N22</f>
        <v>0</v>
      </c>
      <c r="D15" s="16">
        <f t="shared" si="0"/>
        <v>16.395</v>
      </c>
      <c r="E15" s="14"/>
      <c r="H15" s="16">
        <v>63.210000000000008</v>
      </c>
      <c r="I15" s="8">
        <v>660</v>
      </c>
      <c r="J15" s="8">
        <f>I15-I14</f>
        <v>60</v>
      </c>
      <c r="K15" s="10">
        <f>[1]fc!V470</f>
        <v>0</v>
      </c>
      <c r="L15" s="16">
        <f>(1.121+1.341)/2*60</f>
        <v>73.859999999999985</v>
      </c>
    </row>
    <row r="16" spans="1:12" ht="22.5" customHeight="1">
      <c r="A16" s="8">
        <v>360</v>
      </c>
      <c r="B16" s="9">
        <v>30</v>
      </c>
      <c r="C16" s="10">
        <v>0.85899999999999999</v>
      </c>
      <c r="D16" s="16">
        <f t="shared" si="0"/>
        <v>12.885</v>
      </c>
      <c r="E16" s="14"/>
      <c r="H16" s="16">
        <v>40.380000000000003</v>
      </c>
      <c r="I16" s="8">
        <v>720</v>
      </c>
      <c r="J16" s="8">
        <f t="shared" si="1"/>
        <v>60</v>
      </c>
      <c r="K16" s="10">
        <f>[1]fc!V505</f>
        <v>0</v>
      </c>
      <c r="L16" s="16">
        <f>(1.341+0.766)/2*60</f>
        <v>63.210000000000008</v>
      </c>
    </row>
    <row r="17" spans="1:12" ht="22.5" customHeight="1">
      <c r="A17" s="8">
        <v>390</v>
      </c>
      <c r="B17" s="9">
        <v>30</v>
      </c>
      <c r="C17" s="10">
        <f>fc!N24</f>
        <v>0</v>
      </c>
      <c r="D17" s="16">
        <f t="shared" si="0"/>
        <v>12.885</v>
      </c>
      <c r="E17" s="14"/>
      <c r="H17" s="16">
        <v>32.28</v>
      </c>
      <c r="I17" s="8">
        <v>780</v>
      </c>
      <c r="J17" s="8">
        <f t="shared" si="1"/>
        <v>60</v>
      </c>
      <c r="K17" s="10">
        <f>[1]fc!V549</f>
        <v>0</v>
      </c>
      <c r="L17" s="16">
        <f>(0.766+0.58)/2*60</f>
        <v>40.380000000000003</v>
      </c>
    </row>
    <row r="18" spans="1:12" ht="19.5" customHeight="1">
      <c r="A18" s="8">
        <v>420</v>
      </c>
      <c r="B18" s="9">
        <v>30</v>
      </c>
      <c r="C18" s="10">
        <v>0.66</v>
      </c>
      <c r="D18" s="16">
        <f t="shared" si="0"/>
        <v>9.9</v>
      </c>
      <c r="E18" s="14"/>
      <c r="H18" s="16">
        <v>32.58</v>
      </c>
      <c r="I18" s="8">
        <v>840</v>
      </c>
      <c r="J18" s="8">
        <f t="shared" si="1"/>
        <v>60</v>
      </c>
      <c r="K18" s="10">
        <f>[1]fc!V588</f>
        <v>0</v>
      </c>
      <c r="L18" s="16">
        <f>(0.58+0.496)/2*60</f>
        <v>32.28</v>
      </c>
    </row>
    <row r="19" spans="1:12" ht="19.5" customHeight="1">
      <c r="A19" s="8">
        <v>450</v>
      </c>
      <c r="B19" s="9">
        <v>30</v>
      </c>
      <c r="C19" s="10">
        <f>fc!N26</f>
        <v>0</v>
      </c>
      <c r="D19" s="16">
        <f t="shared" si="0"/>
        <v>9.9</v>
      </c>
      <c r="E19" s="14"/>
      <c r="H19" s="16">
        <v>33.33</v>
      </c>
      <c r="I19" s="8">
        <v>900</v>
      </c>
      <c r="J19" s="8">
        <f t="shared" si="1"/>
        <v>60</v>
      </c>
      <c r="K19" s="10">
        <f>[1]fc!V633</f>
        <v>0</v>
      </c>
      <c r="L19" s="16">
        <f>(0.496+0.59)/2*60</f>
        <v>32.58</v>
      </c>
    </row>
    <row r="20" spans="1:12" ht="22.5" customHeight="1">
      <c r="A20" s="8">
        <v>480</v>
      </c>
      <c r="B20" s="9">
        <v>30</v>
      </c>
      <c r="C20" s="10">
        <v>0.96399999999999997</v>
      </c>
      <c r="D20" s="16">
        <f t="shared" si="0"/>
        <v>14.459999999999999</v>
      </c>
      <c r="E20" s="14"/>
      <c r="H20" s="16">
        <v>34.53</v>
      </c>
      <c r="I20" s="8">
        <v>960</v>
      </c>
      <c r="J20" s="8">
        <f t="shared" si="1"/>
        <v>60</v>
      </c>
      <c r="K20" s="10">
        <f>[1]fc!V672</f>
        <v>0</v>
      </c>
      <c r="L20" s="16">
        <f>(0.59+0.521)/2*60</f>
        <v>33.33</v>
      </c>
    </row>
    <row r="21" spans="1:12" ht="22.5" customHeight="1">
      <c r="A21" s="8">
        <v>510</v>
      </c>
      <c r="B21" s="9">
        <v>30</v>
      </c>
      <c r="C21" s="10">
        <f>fc!N28</f>
        <v>0</v>
      </c>
      <c r="D21" s="16">
        <f t="shared" si="0"/>
        <v>14.459999999999999</v>
      </c>
      <c r="E21" s="14"/>
      <c r="H21" s="16">
        <v>51.03</v>
      </c>
      <c r="I21" s="8">
        <v>1020</v>
      </c>
      <c r="J21" s="8">
        <f t="shared" si="1"/>
        <v>60</v>
      </c>
      <c r="K21" s="10">
        <f>[1]fc!V715</f>
        <v>0</v>
      </c>
      <c r="L21" s="16">
        <f>(0.521+0.63)/2*60</f>
        <v>34.53</v>
      </c>
    </row>
    <row r="22" spans="1:12" ht="19.5" customHeight="1">
      <c r="A22" s="8">
        <v>540</v>
      </c>
      <c r="B22" s="9">
        <v>30</v>
      </c>
      <c r="C22" s="10">
        <v>1.1739999999999999</v>
      </c>
      <c r="D22" s="16">
        <f t="shared" si="0"/>
        <v>17.61</v>
      </c>
      <c r="E22" s="14"/>
      <c r="H22" s="16">
        <v>62.730000000000004</v>
      </c>
      <c r="I22" s="8">
        <v>1080</v>
      </c>
      <c r="J22" s="8">
        <f t="shared" si="1"/>
        <v>60</v>
      </c>
      <c r="K22" s="10">
        <f>[1]fc!V756</f>
        <v>0</v>
      </c>
      <c r="L22" s="16">
        <f>(0.63+1.071)/2*60</f>
        <v>51.03</v>
      </c>
    </row>
    <row r="23" spans="1:12" ht="19.5" customHeight="1">
      <c r="A23" s="8">
        <v>570</v>
      </c>
      <c r="B23" s="9">
        <v>30</v>
      </c>
      <c r="C23" s="10">
        <f>fc!N30</f>
        <v>0</v>
      </c>
      <c r="D23" s="16">
        <f t="shared" si="0"/>
        <v>17.61</v>
      </c>
      <c r="E23" s="14"/>
      <c r="H23" s="16">
        <v>55.89</v>
      </c>
      <c r="I23" s="8">
        <v>1140</v>
      </c>
      <c r="J23" s="8">
        <f t="shared" si="1"/>
        <v>60</v>
      </c>
      <c r="K23" s="10">
        <f>[1]fc!V804</f>
        <v>0</v>
      </c>
      <c r="L23" s="16">
        <f>(1.071+1.02)/2*60</f>
        <v>62.730000000000004</v>
      </c>
    </row>
    <row r="24" spans="1:12" ht="22.5" customHeight="1">
      <c r="A24" s="8">
        <v>600</v>
      </c>
      <c r="B24" s="9">
        <v>30</v>
      </c>
      <c r="C24" s="10">
        <v>1.121</v>
      </c>
      <c r="D24" s="16">
        <f t="shared" si="0"/>
        <v>16.815000000000001</v>
      </c>
      <c r="E24" s="14"/>
      <c r="H24" s="16">
        <v>53.43</v>
      </c>
      <c r="I24" s="8">
        <v>1200</v>
      </c>
      <c r="J24" s="8">
        <f t="shared" si="1"/>
        <v>60</v>
      </c>
      <c r="K24" s="10">
        <f>[1]fc!V839</f>
        <v>0</v>
      </c>
      <c r="L24" s="16">
        <f>(1.02+0.843)/2*60</f>
        <v>55.89</v>
      </c>
    </row>
    <row r="25" spans="1:12" ht="22.5" customHeight="1">
      <c r="A25" s="8">
        <v>630</v>
      </c>
      <c r="B25" s="9">
        <v>30</v>
      </c>
      <c r="C25" s="10">
        <f>fc!N32</f>
        <v>0</v>
      </c>
      <c r="D25" s="16">
        <f t="shared" si="0"/>
        <v>16.815000000000001</v>
      </c>
      <c r="E25" s="14"/>
      <c r="H25" s="152">
        <v>55.5</v>
      </c>
      <c r="I25" s="8">
        <v>1260</v>
      </c>
      <c r="J25" s="8">
        <f>I25-I24</f>
        <v>60</v>
      </c>
      <c r="K25" s="10">
        <f>[1]fc!V886</f>
        <v>0</v>
      </c>
      <c r="L25" s="16">
        <f>(0.843+0.938)/2*60</f>
        <v>53.43</v>
      </c>
    </row>
    <row r="26" spans="1:12" ht="23.25" customHeight="1">
      <c r="A26" s="8">
        <v>660</v>
      </c>
      <c r="B26" s="9">
        <v>30</v>
      </c>
      <c r="C26" s="10">
        <v>1.341</v>
      </c>
      <c r="D26" s="16">
        <f t="shared" si="0"/>
        <v>20.114999999999998</v>
      </c>
      <c r="E26" s="14"/>
      <c r="H26" s="152">
        <v>54.089999999999996</v>
      </c>
      <c r="I26" s="8">
        <v>1320</v>
      </c>
      <c r="J26" s="8">
        <f t="shared" si="1"/>
        <v>60</v>
      </c>
      <c r="K26" s="151">
        <f>[1]fc!V923</f>
        <v>0</v>
      </c>
      <c r="L26" s="152">
        <f>(0.938+0.912)/2*60</f>
        <v>55.5</v>
      </c>
    </row>
    <row r="27" spans="1:12" ht="23.25" customHeight="1">
      <c r="A27" s="8">
        <v>690</v>
      </c>
      <c r="B27" s="9">
        <v>30</v>
      </c>
      <c r="C27" s="10">
        <f>fc!N34</f>
        <v>0</v>
      </c>
      <c r="D27" s="16">
        <f t="shared" si="0"/>
        <v>20.114999999999998</v>
      </c>
      <c r="E27" s="14"/>
      <c r="H27" s="16">
        <v>50.040000000000006</v>
      </c>
      <c r="I27" s="8">
        <v>1380</v>
      </c>
      <c r="J27" s="8">
        <f t="shared" si="1"/>
        <v>60</v>
      </c>
      <c r="K27" s="151">
        <f>[1]fc!V967</f>
        <v>0</v>
      </c>
      <c r="L27" s="152">
        <f>(0.912+0.891)/2*60</f>
        <v>54.089999999999996</v>
      </c>
    </row>
    <row r="28" spans="1:12" ht="22.5" customHeight="1">
      <c r="A28" s="8">
        <v>720</v>
      </c>
      <c r="B28" s="9">
        <v>30</v>
      </c>
      <c r="C28" s="10">
        <v>0.76600000000000001</v>
      </c>
      <c r="D28" s="16">
        <f t="shared" si="0"/>
        <v>11.49</v>
      </c>
      <c r="E28" s="14"/>
      <c r="H28" s="16">
        <v>46.620000000000005</v>
      </c>
      <c r="I28" s="8">
        <v>1440</v>
      </c>
      <c r="J28" s="8">
        <f t="shared" si="1"/>
        <v>60</v>
      </c>
      <c r="K28" s="10">
        <f>[1]fc!V1006</f>
        <v>0</v>
      </c>
      <c r="L28" s="16">
        <f>(0.891+0.777)/2*60</f>
        <v>50.040000000000006</v>
      </c>
    </row>
    <row r="29" spans="1:12" ht="22.5" customHeight="1">
      <c r="A29" s="8">
        <v>750</v>
      </c>
      <c r="B29" s="9">
        <v>30</v>
      </c>
      <c r="C29" s="10">
        <f>fc!N36</f>
        <v>0</v>
      </c>
      <c r="D29" s="16">
        <f t="shared" si="0"/>
        <v>11.49</v>
      </c>
      <c r="E29" s="14"/>
      <c r="H29" s="16">
        <v>43.56</v>
      </c>
      <c r="I29" s="8">
        <v>1500</v>
      </c>
      <c r="J29" s="8">
        <f t="shared" si="1"/>
        <v>60</v>
      </c>
      <c r="K29" s="10">
        <f>[1]fc!V1051</f>
        <v>0</v>
      </c>
      <c r="L29" s="16">
        <f>(0.777+0.777)/2*60</f>
        <v>46.620000000000005</v>
      </c>
    </row>
    <row r="30" spans="1:12" ht="19.5" customHeight="1">
      <c r="A30" s="8">
        <v>780</v>
      </c>
      <c r="B30" s="9">
        <v>30</v>
      </c>
      <c r="C30" s="10">
        <f>fc!N37</f>
        <v>0</v>
      </c>
      <c r="D30" s="16">
        <f t="shared" si="0"/>
        <v>0</v>
      </c>
      <c r="E30" s="14"/>
      <c r="H30" s="16">
        <v>42.12</v>
      </c>
      <c r="I30" s="8">
        <v>1560</v>
      </c>
      <c r="J30" s="8">
        <f t="shared" si="1"/>
        <v>60</v>
      </c>
      <c r="K30" s="10">
        <f>[1]fc!V1090</f>
        <v>0</v>
      </c>
      <c r="L30" s="16">
        <f>(0.777+0.675)/2*60</f>
        <v>43.56</v>
      </c>
    </row>
    <row r="31" spans="1:12" ht="19.5" customHeight="1">
      <c r="A31" s="8">
        <v>810</v>
      </c>
      <c r="B31" s="9">
        <v>30</v>
      </c>
      <c r="C31" s="10">
        <f>fc!N38</f>
        <v>0</v>
      </c>
      <c r="D31" s="16">
        <f t="shared" si="0"/>
        <v>0</v>
      </c>
      <c r="E31" s="14"/>
      <c r="H31" s="16">
        <v>46.17</v>
      </c>
      <c r="I31" s="8">
        <v>1620</v>
      </c>
      <c r="J31" s="8">
        <f t="shared" si="1"/>
        <v>60</v>
      </c>
      <c r="K31" s="10">
        <f>[1]fc!V1133</f>
        <v>0</v>
      </c>
      <c r="L31" s="16">
        <f>(0.675+0.729)/2*60</f>
        <v>42.12</v>
      </c>
    </row>
    <row r="32" spans="1:12" ht="22.5" customHeight="1">
      <c r="A32" s="8">
        <v>840</v>
      </c>
      <c r="B32" s="9">
        <v>30</v>
      </c>
      <c r="C32" s="10">
        <f>fc!N39</f>
        <v>0</v>
      </c>
      <c r="D32" s="16">
        <f t="shared" si="0"/>
        <v>0</v>
      </c>
      <c r="E32" s="14"/>
      <c r="I32" s="8">
        <v>1680</v>
      </c>
      <c r="J32" s="8">
        <f t="shared" si="1"/>
        <v>60</v>
      </c>
      <c r="K32" s="10">
        <f>[1]fc!V1174</f>
        <v>0</v>
      </c>
      <c r="L32" s="16">
        <f>(0.729+0.81)/2*60</f>
        <v>46.17</v>
      </c>
    </row>
    <row r="33" spans="1:12" ht="22.5" customHeight="1">
      <c r="A33" s="8">
        <v>870</v>
      </c>
      <c r="B33" s="9">
        <v>30</v>
      </c>
      <c r="C33" s="10">
        <f>fc!N40</f>
        <v>0</v>
      </c>
      <c r="D33" s="16">
        <f t="shared" si="0"/>
        <v>0</v>
      </c>
      <c r="E33" s="14"/>
      <c r="I33" s="8">
        <v>1740</v>
      </c>
      <c r="J33" s="8">
        <f t="shared" si="1"/>
        <v>60</v>
      </c>
      <c r="K33" s="10">
        <f>[1]fc!V1222</f>
        <v>0</v>
      </c>
      <c r="L33" s="16">
        <f>(0.81+0.896)/2*60</f>
        <v>51.18</v>
      </c>
    </row>
    <row r="34" spans="1:12" ht="23.25" customHeight="1">
      <c r="A34" s="8">
        <v>900</v>
      </c>
      <c r="B34" s="9">
        <v>30</v>
      </c>
      <c r="C34" s="10">
        <f>fc!N41</f>
        <v>0</v>
      </c>
      <c r="D34" s="16">
        <f t="shared" si="0"/>
        <v>0</v>
      </c>
      <c r="E34" s="14"/>
      <c r="I34" s="8">
        <v>1800</v>
      </c>
      <c r="J34" s="8">
        <f t="shared" si="1"/>
        <v>60</v>
      </c>
      <c r="K34" s="10">
        <f>[1]fc!V1257</f>
        <v>0</v>
      </c>
      <c r="L34" s="16">
        <f>(0.896+1.092)/2*60</f>
        <v>59.64</v>
      </c>
    </row>
    <row r="35" spans="1:12" ht="23.25" customHeight="1">
      <c r="A35" s="8">
        <v>930</v>
      </c>
      <c r="B35" s="9">
        <v>30</v>
      </c>
      <c r="C35" s="10">
        <f>fc!N42</f>
        <v>0</v>
      </c>
      <c r="D35" s="16">
        <f t="shared" si="0"/>
        <v>0</v>
      </c>
      <c r="E35" s="14"/>
      <c r="I35" s="8">
        <v>1860</v>
      </c>
      <c r="J35" s="8">
        <f>I35-I34</f>
        <v>60</v>
      </c>
      <c r="K35" s="10">
        <f>[1]fc!V1304</f>
        <v>0</v>
      </c>
      <c r="L35" s="16">
        <f>(1.092+1.24)/2*60</f>
        <v>69.959999999999994</v>
      </c>
    </row>
    <row r="36" spans="1:12" ht="22.5" customHeight="1">
      <c r="A36" s="8">
        <v>960</v>
      </c>
      <c r="B36" s="9">
        <v>30</v>
      </c>
      <c r="C36" s="10">
        <f>fc!N43</f>
        <v>0.28349999999996595</v>
      </c>
      <c r="D36" s="16">
        <f t="shared" si="0"/>
        <v>4.2524999999994888</v>
      </c>
      <c r="E36" s="14"/>
      <c r="I36" s="8">
        <v>1920</v>
      </c>
      <c r="J36" s="8">
        <f t="shared" si="1"/>
        <v>60</v>
      </c>
      <c r="K36" s="10">
        <f>[1]fc!V1341</f>
        <v>0</v>
      </c>
      <c r="L36" s="16">
        <f>(1.284+1.24)/2*60</f>
        <v>75.72</v>
      </c>
    </row>
    <row r="37" spans="1:12" ht="22.5" customHeight="1">
      <c r="A37" s="8">
        <v>990</v>
      </c>
      <c r="B37" s="9">
        <v>30</v>
      </c>
      <c r="C37" s="10">
        <f>fc!N44</f>
        <v>0.28349999999996595</v>
      </c>
      <c r="D37" s="16">
        <f t="shared" si="0"/>
        <v>8.5049999999989776</v>
      </c>
      <c r="E37" s="14"/>
      <c r="I37" s="8">
        <v>1980</v>
      </c>
      <c r="J37" s="8">
        <f t="shared" si="1"/>
        <v>60</v>
      </c>
      <c r="K37" s="10">
        <f>[1]fc!V1382</f>
        <v>0</v>
      </c>
      <c r="L37" s="16">
        <f>(1.284+1.365)/2*60</f>
        <v>79.47</v>
      </c>
    </row>
    <row r="38" spans="1:12" ht="19.5" customHeight="1">
      <c r="A38" s="8">
        <v>1020</v>
      </c>
      <c r="B38" s="9">
        <v>30</v>
      </c>
      <c r="C38" s="10">
        <f>fc!N45</f>
        <v>0</v>
      </c>
      <c r="D38" s="16">
        <f t="shared" si="0"/>
        <v>4.2524999999994888</v>
      </c>
      <c r="E38" s="14"/>
      <c r="I38" s="8">
        <v>2040</v>
      </c>
      <c r="J38" s="8">
        <f t="shared" si="1"/>
        <v>60</v>
      </c>
      <c r="K38" s="10">
        <f>[1]fc!V1425</f>
        <v>0</v>
      </c>
      <c r="L38" s="16">
        <f>(1.303+1.365)/2*60</f>
        <v>80.040000000000006</v>
      </c>
    </row>
    <row r="39" spans="1:12" ht="19.5" customHeight="1">
      <c r="A39" s="8">
        <v>1050</v>
      </c>
      <c r="B39" s="9">
        <v>30</v>
      </c>
      <c r="C39" s="10">
        <f>fc!N46</f>
        <v>0</v>
      </c>
      <c r="D39" s="16">
        <f t="shared" si="0"/>
        <v>0</v>
      </c>
      <c r="E39" s="14"/>
      <c r="I39" s="8">
        <v>2100</v>
      </c>
      <c r="J39" s="8">
        <f>I39-I38</f>
        <v>60</v>
      </c>
      <c r="K39" s="10">
        <f>'[1]fc (2)'!V10</f>
        <v>0</v>
      </c>
      <c r="L39" s="16">
        <f>(1.303+1.167)/2*60</f>
        <v>74.099999999999994</v>
      </c>
    </row>
    <row r="40" spans="1:12" ht="22.5" customHeight="1">
      <c r="A40" s="8">
        <v>1080</v>
      </c>
      <c r="B40" s="9">
        <v>30</v>
      </c>
      <c r="C40" s="10">
        <f>fc!N47</f>
        <v>0</v>
      </c>
      <c r="D40" s="16">
        <f t="shared" si="0"/>
        <v>0</v>
      </c>
      <c r="E40" s="14"/>
      <c r="I40" s="8">
        <v>2160</v>
      </c>
      <c r="J40" s="8">
        <f t="shared" ref="J40:J48" si="2">I40-I39</f>
        <v>60</v>
      </c>
      <c r="K40" s="10">
        <f>'[1]fc (2)'!V45</f>
        <v>0</v>
      </c>
      <c r="L40" s="16">
        <f>(1.685+1.167)/2*60</f>
        <v>85.56</v>
      </c>
    </row>
    <row r="41" spans="1:12" ht="22.5" customHeight="1">
      <c r="A41" s="8">
        <v>1110</v>
      </c>
      <c r="B41" s="9">
        <v>30</v>
      </c>
      <c r="C41" s="10">
        <f>fc!N48</f>
        <v>0</v>
      </c>
      <c r="D41" s="16">
        <f t="shared" si="0"/>
        <v>0</v>
      </c>
      <c r="E41" s="14"/>
      <c r="I41" s="8">
        <v>2220</v>
      </c>
      <c r="J41" s="8">
        <f t="shared" si="2"/>
        <v>60</v>
      </c>
      <c r="K41" s="10">
        <f>'[1]fc (2)'!V89</f>
        <v>0</v>
      </c>
      <c r="L41" s="16">
        <f>(1.685+1.224)/2*60</f>
        <v>87.27</v>
      </c>
    </row>
    <row r="42" spans="1:12" ht="19.5" customHeight="1">
      <c r="A42" s="8">
        <v>1140</v>
      </c>
      <c r="B42" s="9">
        <v>30</v>
      </c>
      <c r="C42" s="10">
        <f>fc!N49</f>
        <v>0</v>
      </c>
      <c r="D42" s="16">
        <f t="shared" si="0"/>
        <v>0</v>
      </c>
      <c r="E42" s="14"/>
      <c r="I42" s="8">
        <v>2280</v>
      </c>
      <c r="J42" s="8">
        <f t="shared" si="2"/>
        <v>60</v>
      </c>
      <c r="K42" s="10">
        <f>'[1]fc (2)'!V127</f>
        <v>0</v>
      </c>
      <c r="L42" s="16">
        <f>(1.598+1.224)/2*60</f>
        <v>84.66</v>
      </c>
    </row>
    <row r="43" spans="1:12" ht="19.5" customHeight="1">
      <c r="A43" s="8">
        <v>1170</v>
      </c>
      <c r="B43" s="9">
        <v>30</v>
      </c>
      <c r="C43" s="10">
        <f>fc!N50</f>
        <v>0</v>
      </c>
      <c r="D43" s="16">
        <f t="shared" si="0"/>
        <v>0</v>
      </c>
      <c r="E43" s="14"/>
      <c r="I43" s="8">
        <v>2340</v>
      </c>
      <c r="J43" s="8">
        <f t="shared" si="2"/>
        <v>60</v>
      </c>
      <c r="K43" s="10">
        <f>'[1]fc (2)'!V172</f>
        <v>0</v>
      </c>
      <c r="L43" s="16">
        <f>(1.598+1.49)/2*60</f>
        <v>92.64</v>
      </c>
    </row>
    <row r="44" spans="1:12" ht="22.5" customHeight="1">
      <c r="A44" s="8">
        <v>1200</v>
      </c>
      <c r="B44" s="9">
        <v>30</v>
      </c>
      <c r="C44" s="10">
        <f>fc!N51</f>
        <v>0</v>
      </c>
      <c r="D44" s="16">
        <f t="shared" si="0"/>
        <v>0</v>
      </c>
      <c r="E44" s="14"/>
      <c r="I44" s="8">
        <v>2400</v>
      </c>
      <c r="J44" s="8">
        <f t="shared" si="2"/>
        <v>60</v>
      </c>
      <c r="K44" s="10">
        <f>'[1]fc (2)'!V212</f>
        <v>0</v>
      </c>
      <c r="L44" s="16">
        <f>(0.8+1.49)/2*60</f>
        <v>68.7</v>
      </c>
    </row>
    <row r="45" spans="1:12" ht="22.5" customHeight="1">
      <c r="A45" s="8">
        <v>1230</v>
      </c>
      <c r="B45" s="9">
        <v>30</v>
      </c>
      <c r="C45" s="10">
        <f>fc!N52</f>
        <v>0</v>
      </c>
      <c r="D45" s="16">
        <f t="shared" si="0"/>
        <v>0</v>
      </c>
      <c r="E45" s="14"/>
      <c r="I45" s="8">
        <v>2460</v>
      </c>
      <c r="J45" s="8">
        <f t="shared" si="2"/>
        <v>60</v>
      </c>
      <c r="K45" s="10">
        <f>'[1]fc (2)'!V255</f>
        <v>0</v>
      </c>
      <c r="L45" s="16">
        <f>(0.8+1.101)/2*60</f>
        <v>57.03</v>
      </c>
    </row>
    <row r="46" spans="1:12" ht="23.25" customHeight="1">
      <c r="A46" s="8">
        <v>1260</v>
      </c>
      <c r="B46" s="9">
        <v>30</v>
      </c>
      <c r="C46" s="10">
        <f>fc!N53</f>
        <v>0</v>
      </c>
      <c r="D46" s="16">
        <f t="shared" si="0"/>
        <v>0</v>
      </c>
      <c r="E46" s="14"/>
      <c r="I46" s="8">
        <v>2520</v>
      </c>
      <c r="J46" s="8">
        <f t="shared" si="2"/>
        <v>60</v>
      </c>
      <c r="K46" s="10">
        <f>'[1]fc (2)'!V290</f>
        <v>0</v>
      </c>
      <c r="L46" s="16">
        <f>(0.878+1.101)/2*60</f>
        <v>59.370000000000005</v>
      </c>
    </row>
    <row r="47" spans="1:12" ht="23.25" customHeight="1">
      <c r="A47" s="8">
        <v>1290</v>
      </c>
      <c r="B47" s="9">
        <v>30</v>
      </c>
      <c r="C47" s="10">
        <f>fc!N54</f>
        <v>0</v>
      </c>
      <c r="D47" s="16">
        <f t="shared" si="0"/>
        <v>0</v>
      </c>
      <c r="E47" s="14"/>
      <c r="I47" s="8">
        <v>2580</v>
      </c>
      <c r="J47" s="8">
        <f t="shared" si="2"/>
        <v>60</v>
      </c>
      <c r="K47" s="10">
        <f>'[1]fc (2)'!V338</f>
        <v>0</v>
      </c>
      <c r="L47" s="16">
        <f>(0.878+1.234)/2*60</f>
        <v>63.36</v>
      </c>
    </row>
    <row r="48" spans="1:12" ht="22.5" customHeight="1">
      <c r="A48" s="8">
        <v>1320</v>
      </c>
      <c r="B48" s="9">
        <v>30</v>
      </c>
      <c r="C48" s="10">
        <f>fc!N55</f>
        <v>0</v>
      </c>
      <c r="D48" s="16">
        <f t="shared" si="0"/>
        <v>0</v>
      </c>
      <c r="E48" s="14"/>
      <c r="I48" s="8">
        <v>2640</v>
      </c>
      <c r="J48" s="8">
        <f t="shared" si="2"/>
        <v>60</v>
      </c>
      <c r="K48" s="10">
        <f>'[1]fc (2)'!V374</f>
        <v>0</v>
      </c>
      <c r="L48" s="16">
        <f>(1.263+1.234)/2*60</f>
        <v>74.91</v>
      </c>
    </row>
    <row r="49" spans="1:12" ht="22.5" customHeight="1">
      <c r="A49" s="8">
        <v>1350</v>
      </c>
      <c r="B49" s="9">
        <v>30</v>
      </c>
      <c r="C49" s="10">
        <f>fc!N56</f>
        <v>0</v>
      </c>
      <c r="D49" s="16">
        <f t="shared" si="0"/>
        <v>0</v>
      </c>
      <c r="E49" s="14"/>
      <c r="I49" s="8">
        <v>2700</v>
      </c>
      <c r="J49" s="8">
        <f>I49-I48</f>
        <v>60</v>
      </c>
      <c r="K49" s="10">
        <f>'[1]fc (2)'!V421</f>
        <v>0</v>
      </c>
      <c r="L49" s="16">
        <f>(1.263+1.33)/2*60</f>
        <v>77.789999999999992</v>
      </c>
    </row>
    <row r="50" spans="1:12" ht="19.5" customHeight="1">
      <c r="A50" s="8">
        <v>1380</v>
      </c>
      <c r="B50" s="9">
        <v>30</v>
      </c>
      <c r="C50" s="10">
        <f>fc!N57</f>
        <v>0</v>
      </c>
      <c r="D50" s="16">
        <f t="shared" si="0"/>
        <v>0</v>
      </c>
      <c r="E50" s="153"/>
      <c r="F50" s="18">
        <f>(0.912+0.891)/2*60</f>
        <v>54.089999999999996</v>
      </c>
      <c r="I50" s="8">
        <v>2760</v>
      </c>
      <c r="J50" s="8">
        <f t="shared" ref="J50:J58" si="3">I50-I49</f>
        <v>60</v>
      </c>
      <c r="K50" s="10">
        <f>'[1]fc (2)'!V470</f>
        <v>0</v>
      </c>
      <c r="L50" s="16">
        <f>(1.309+1.33)/2*60</f>
        <v>79.17</v>
      </c>
    </row>
    <row r="51" spans="1:12" ht="19.5" customHeight="1">
      <c r="A51" s="8">
        <v>1410</v>
      </c>
      <c r="B51" s="9">
        <v>30</v>
      </c>
      <c r="C51" s="10">
        <f>fc!N58</f>
        <v>0</v>
      </c>
      <c r="D51" s="16">
        <f t="shared" si="0"/>
        <v>0</v>
      </c>
      <c r="E51" s="153"/>
      <c r="I51" s="8">
        <v>2820</v>
      </c>
      <c r="J51" s="8">
        <f t="shared" si="3"/>
        <v>60</v>
      </c>
      <c r="K51" s="10">
        <f>'[1]fc (2)'!V505</f>
        <v>0</v>
      </c>
      <c r="L51" s="16">
        <f>(1.309+1.339)/2*60</f>
        <v>79.44</v>
      </c>
    </row>
    <row r="52" spans="1:12" ht="22.5" customHeight="1">
      <c r="A52" s="8">
        <v>1440</v>
      </c>
      <c r="B52" s="9">
        <v>30</v>
      </c>
      <c r="C52" s="10">
        <f>fc!N59</f>
        <v>0</v>
      </c>
      <c r="D52" s="16">
        <f t="shared" si="0"/>
        <v>0</v>
      </c>
      <c r="E52" s="14"/>
      <c r="I52" s="8">
        <v>2880</v>
      </c>
      <c r="J52" s="8">
        <f t="shared" si="3"/>
        <v>60</v>
      </c>
      <c r="K52" s="10">
        <f>'[1]fc (2)'!V549</f>
        <v>0</v>
      </c>
      <c r="L52" s="16">
        <f>(1.349+1.339)/2*60</f>
        <v>80.639999999999986</v>
      </c>
    </row>
    <row r="53" spans="1:12" ht="22.5" customHeight="1">
      <c r="A53" s="8">
        <v>1470</v>
      </c>
      <c r="B53" s="9">
        <v>30</v>
      </c>
      <c r="C53" s="10">
        <f>fc!N60</f>
        <v>0</v>
      </c>
      <c r="D53" s="16">
        <f t="shared" si="0"/>
        <v>0</v>
      </c>
      <c r="E53" s="14"/>
      <c r="I53" s="8">
        <v>2940</v>
      </c>
      <c r="J53" s="8">
        <f t="shared" si="3"/>
        <v>60</v>
      </c>
      <c r="K53" s="10">
        <f>'[1]fc (2)'!V588</f>
        <v>0</v>
      </c>
      <c r="L53" s="16">
        <f>(1.349+1.245)/2*60</f>
        <v>77.820000000000007</v>
      </c>
    </row>
    <row r="54" spans="1:12" ht="23.25" customHeight="1">
      <c r="A54" s="8">
        <v>1500</v>
      </c>
      <c r="B54" s="9">
        <v>30</v>
      </c>
      <c r="C54" s="10">
        <f>fc!N61</f>
        <v>0</v>
      </c>
      <c r="D54" s="16">
        <f t="shared" si="0"/>
        <v>0</v>
      </c>
      <c r="E54" s="14"/>
      <c r="I54" s="8">
        <v>3000</v>
      </c>
      <c r="J54" s="8">
        <f t="shared" si="3"/>
        <v>60</v>
      </c>
      <c r="K54" s="10">
        <f>'[1]fc (2)'!V633</f>
        <v>0</v>
      </c>
      <c r="L54" s="16">
        <f>(1.377+1.245)/2*60</f>
        <v>78.66</v>
      </c>
    </row>
    <row r="55" spans="1:12" ht="23.25" customHeight="1">
      <c r="A55" s="8">
        <v>1530</v>
      </c>
      <c r="B55" s="9">
        <v>30</v>
      </c>
      <c r="C55" s="10">
        <f>fc!N62</f>
        <v>0</v>
      </c>
      <c r="D55" s="16">
        <f t="shared" si="0"/>
        <v>0</v>
      </c>
      <c r="E55" s="14"/>
      <c r="I55" s="8">
        <v>3060</v>
      </c>
      <c r="J55" s="8">
        <f t="shared" si="3"/>
        <v>60</v>
      </c>
      <c r="K55" s="10">
        <f>'[1]fc (2)'!V672</f>
        <v>0</v>
      </c>
      <c r="L55" s="16">
        <f>(1.377+1.333)/2*60</f>
        <v>81.3</v>
      </c>
    </row>
    <row r="56" spans="1:12" ht="22.5" customHeight="1">
      <c r="A56" s="8">
        <v>1560</v>
      </c>
      <c r="B56" s="9">
        <v>30</v>
      </c>
      <c r="C56" s="10">
        <f>fc!N63</f>
        <v>0</v>
      </c>
      <c r="D56" s="16">
        <f t="shared" si="0"/>
        <v>0</v>
      </c>
      <c r="E56" s="153"/>
      <c r="I56" s="8">
        <v>3120</v>
      </c>
      <c r="J56" s="8">
        <f t="shared" si="3"/>
        <v>60</v>
      </c>
      <c r="K56" s="10">
        <f>'[1]fc (2)'!V715</f>
        <v>0</v>
      </c>
      <c r="L56" s="16">
        <f>(1.32+1.333)/2*60</f>
        <v>79.59</v>
      </c>
    </row>
    <row r="57" spans="1:12" ht="22.5" customHeight="1">
      <c r="A57" s="8">
        <v>1590</v>
      </c>
      <c r="B57" s="9">
        <v>30</v>
      </c>
      <c r="C57" s="10">
        <f>fc!N64</f>
        <v>0</v>
      </c>
      <c r="D57" s="16">
        <f t="shared" si="0"/>
        <v>0</v>
      </c>
      <c r="E57" s="153"/>
      <c r="I57" s="8">
        <v>3180</v>
      </c>
      <c r="J57" s="8">
        <f t="shared" si="3"/>
        <v>60</v>
      </c>
      <c r="K57" s="10">
        <f>'[1]fc (2)'!V756</f>
        <v>0</v>
      </c>
      <c r="L57" s="16">
        <f>(1.32+1.297)/2*60</f>
        <v>78.510000000000005</v>
      </c>
    </row>
    <row r="58" spans="1:12" ht="19.5" customHeight="1">
      <c r="A58" s="8">
        <v>1620</v>
      </c>
      <c r="B58" s="9">
        <v>30</v>
      </c>
      <c r="C58" s="10">
        <f>fc!N65</f>
        <v>0</v>
      </c>
      <c r="D58" s="16">
        <f t="shared" si="0"/>
        <v>0</v>
      </c>
      <c r="E58" s="14"/>
      <c r="I58" s="8">
        <v>3240</v>
      </c>
      <c r="J58" s="8">
        <f t="shared" si="3"/>
        <v>60</v>
      </c>
      <c r="K58" s="10">
        <f>'[1]fc (2)'!V804</f>
        <v>0</v>
      </c>
      <c r="L58" s="16">
        <f>(1.321+1.297)/2*60</f>
        <v>78.539999999999992</v>
      </c>
    </row>
    <row r="59" spans="1:12" ht="19.5" customHeight="1">
      <c r="A59" s="8">
        <v>1650</v>
      </c>
      <c r="B59" s="9">
        <v>30</v>
      </c>
      <c r="C59" s="10">
        <f>fc!N66</f>
        <v>0</v>
      </c>
      <c r="D59" s="16">
        <f t="shared" si="0"/>
        <v>0</v>
      </c>
      <c r="E59" s="14"/>
      <c r="I59" s="8">
        <v>3300</v>
      </c>
      <c r="J59" s="8">
        <f>I59-I58</f>
        <v>60</v>
      </c>
      <c r="K59" s="10">
        <f>'[1]fc (2)'!V839</f>
        <v>0</v>
      </c>
      <c r="L59" s="16">
        <f>(1.321+1.246)/2*60</f>
        <v>77.010000000000005</v>
      </c>
    </row>
    <row r="60" spans="1:12" ht="22.5" customHeight="1">
      <c r="A60" s="8">
        <v>1680</v>
      </c>
      <c r="B60" s="9">
        <v>30</v>
      </c>
      <c r="C60" s="10">
        <f>fc!N67</f>
        <v>0</v>
      </c>
      <c r="D60" s="16">
        <f t="shared" si="0"/>
        <v>0</v>
      </c>
      <c r="E60" s="14"/>
      <c r="I60" s="8">
        <v>3360</v>
      </c>
      <c r="J60" s="8">
        <f t="shared" ref="J60:J68" si="4">I60-I59</f>
        <v>60</v>
      </c>
      <c r="K60" s="10">
        <f>'[1]fc (2)'!V886</f>
        <v>0</v>
      </c>
      <c r="L60" s="16">
        <f>(1.272+1.246)/2*60</f>
        <v>75.539999999999992</v>
      </c>
    </row>
    <row r="61" spans="1:12" ht="19.5" customHeight="1">
      <c r="A61" s="8">
        <v>1740</v>
      </c>
      <c r="B61" s="8">
        <f t="shared" ref="B61:B66" si="5">A61-A60</f>
        <v>60</v>
      </c>
      <c r="C61" s="10">
        <f>fc!N1222</f>
        <v>0.89635000000001464</v>
      </c>
      <c r="D61" s="16">
        <f t="shared" si="0"/>
        <v>26.89050000000044</v>
      </c>
      <c r="E61" s="14"/>
      <c r="I61" s="8">
        <v>3420</v>
      </c>
      <c r="J61" s="8">
        <f t="shared" si="4"/>
        <v>60</v>
      </c>
      <c r="K61" s="10">
        <f>'[1]fc (2)'!V923</f>
        <v>0</v>
      </c>
      <c r="L61" s="16">
        <f>(1.272+1.325)/2*60</f>
        <v>77.91</v>
      </c>
    </row>
    <row r="62" spans="1:12" ht="22.5" customHeight="1">
      <c r="A62" s="8">
        <v>1800</v>
      </c>
      <c r="B62" s="8">
        <f t="shared" si="5"/>
        <v>60</v>
      </c>
      <c r="C62" s="10">
        <f>fc!N1257</f>
        <v>1.09154999999999</v>
      </c>
      <c r="D62" s="16">
        <f>(0.896+1.092)/2*60</f>
        <v>59.64</v>
      </c>
      <c r="E62" s="14"/>
      <c r="I62" s="8">
        <v>3480</v>
      </c>
      <c r="J62" s="8">
        <f t="shared" si="4"/>
        <v>60</v>
      </c>
      <c r="K62" s="10">
        <f>'[1]fc (2)'!V967</f>
        <v>0</v>
      </c>
      <c r="L62" s="16">
        <f>(1.206+1.325)/2*60</f>
        <v>75.929999999999993</v>
      </c>
    </row>
    <row r="63" spans="1:12" ht="23.25" customHeight="1">
      <c r="A63" s="8">
        <v>1860</v>
      </c>
      <c r="B63" s="8">
        <f>A63-A62</f>
        <v>60</v>
      </c>
      <c r="C63" s="10">
        <f>fc!N1304</f>
        <v>1.2400000000000118</v>
      </c>
      <c r="D63" s="16">
        <f>(1.092+1.24)/2*60</f>
        <v>69.959999999999994</v>
      </c>
      <c r="E63" s="14"/>
      <c r="I63" s="8">
        <v>3540</v>
      </c>
      <c r="J63" s="8">
        <f t="shared" si="4"/>
        <v>60</v>
      </c>
      <c r="K63" s="10">
        <f>'[1]fc (2)'!V1006</f>
        <v>0</v>
      </c>
      <c r="L63" s="16">
        <f>(1.206+1.515)/2*60</f>
        <v>81.63</v>
      </c>
    </row>
    <row r="64" spans="1:12" ht="22.5" customHeight="1">
      <c r="A64" s="8">
        <v>1920</v>
      </c>
      <c r="B64" s="8">
        <f t="shared" si="5"/>
        <v>60</v>
      </c>
      <c r="C64" s="10">
        <f>fc!N1341</f>
        <v>1.2837500000000028</v>
      </c>
      <c r="D64" s="16">
        <f>(1.284+1.24)/2*60</f>
        <v>75.72</v>
      </c>
      <c r="E64" s="14"/>
      <c r="I64" s="8">
        <v>3600</v>
      </c>
      <c r="J64" s="8">
        <f t="shared" si="4"/>
        <v>60</v>
      </c>
      <c r="K64" s="10">
        <f>'[1]fc (2)'!V1051</f>
        <v>0</v>
      </c>
      <c r="L64" s="16">
        <f>(1.328+1.515)/2*60</f>
        <v>85.289999999999992</v>
      </c>
    </row>
    <row r="65" spans="1:12" ht="19.5" customHeight="1">
      <c r="A65" s="8">
        <v>1980</v>
      </c>
      <c r="B65" s="8">
        <f t="shared" si="5"/>
        <v>60</v>
      </c>
      <c r="C65" s="10">
        <f>fc!N1382</f>
        <v>1.3649499999999928</v>
      </c>
      <c r="D65" s="16">
        <f>(1.284+1.365)/2*60</f>
        <v>79.47</v>
      </c>
      <c r="E65" s="14"/>
      <c r="I65" s="8">
        <v>3660</v>
      </c>
      <c r="J65" s="8">
        <f t="shared" si="4"/>
        <v>60</v>
      </c>
      <c r="K65" s="10">
        <f>'[1]fc (2)'!V1090</f>
        <v>0</v>
      </c>
      <c r="L65" s="16">
        <f>(1.328+1.448)/2*60</f>
        <v>83.28</v>
      </c>
    </row>
    <row r="66" spans="1:12" ht="22.5" customHeight="1">
      <c r="A66" s="8">
        <v>2040</v>
      </c>
      <c r="B66" s="8">
        <f t="shared" si="5"/>
        <v>60</v>
      </c>
      <c r="C66" s="10">
        <f>fc!N1425</f>
        <v>1.3028999999999982</v>
      </c>
      <c r="D66" s="16">
        <f>(1.303+1.365)/2*60</f>
        <v>80.040000000000006</v>
      </c>
      <c r="E66" s="14"/>
      <c r="I66" s="8">
        <v>3720</v>
      </c>
      <c r="J66" s="8">
        <f t="shared" si="4"/>
        <v>60</v>
      </c>
      <c r="K66" s="10">
        <f>'[1]fc (2)'!V1133</f>
        <v>0</v>
      </c>
      <c r="L66" s="16">
        <f>(1.342+1.448)/2*60</f>
        <v>83.7</v>
      </c>
    </row>
    <row r="67" spans="1:12" ht="23.25" customHeight="1">
      <c r="A67" s="8">
        <v>2100</v>
      </c>
      <c r="B67" s="8">
        <f>A67-A66</f>
        <v>60</v>
      </c>
      <c r="C67" s="10">
        <f>'fc (2)'!N10</f>
        <v>1.1672999999999738</v>
      </c>
      <c r="D67" s="16">
        <f>(1.303+1.167)/2*60</f>
        <v>74.099999999999994</v>
      </c>
      <c r="E67" s="14"/>
      <c r="I67" s="8">
        <v>3780</v>
      </c>
      <c r="J67" s="8">
        <f t="shared" si="4"/>
        <v>60</v>
      </c>
      <c r="K67" s="10">
        <f>'[1]fc (2)'!V1174</f>
        <v>0</v>
      </c>
      <c r="L67" s="16">
        <f>(1.342+1.37)/2*60</f>
        <v>81.36</v>
      </c>
    </row>
    <row r="68" spans="1:12" ht="22.5" customHeight="1">
      <c r="A68" s="8">
        <v>2160</v>
      </c>
      <c r="B68" s="8">
        <f t="shared" ref="B68:B76" si="6">A68-A67</f>
        <v>60</v>
      </c>
      <c r="C68" s="10">
        <f>'fc (2)'!N45</f>
        <v>1.6846000000000083</v>
      </c>
      <c r="D68" s="16">
        <f>(1.685+1.167)/2*60</f>
        <v>85.56</v>
      </c>
      <c r="E68" s="14"/>
      <c r="I68" s="8">
        <v>3840</v>
      </c>
      <c r="J68" s="8">
        <f t="shared" si="4"/>
        <v>60</v>
      </c>
      <c r="K68" s="10">
        <f>'[1]fc (2)'!V1222</f>
        <v>0</v>
      </c>
      <c r="L68" s="16">
        <f>(1.235+1.37)/2*60</f>
        <v>78.150000000000006</v>
      </c>
    </row>
    <row r="69" spans="1:12" ht="19.5" customHeight="1">
      <c r="A69" s="8">
        <v>2220</v>
      </c>
      <c r="B69" s="8">
        <f t="shared" si="6"/>
        <v>60</v>
      </c>
      <c r="C69" s="10">
        <f>'fc (2)'!N89</f>
        <v>1.2241000000000155</v>
      </c>
      <c r="D69" s="16">
        <f>(1.685+1.224)/2*60</f>
        <v>87.27</v>
      </c>
      <c r="E69" s="14"/>
      <c r="I69" s="8">
        <v>3900</v>
      </c>
      <c r="J69" s="8">
        <f>I69-I68</f>
        <v>60</v>
      </c>
      <c r="K69" s="10">
        <f>'[1]fc (2)'!V1257</f>
        <v>0</v>
      </c>
      <c r="L69" s="16">
        <f>(1.235+1.314)/2*60</f>
        <v>76.470000000000013</v>
      </c>
    </row>
    <row r="70" spans="1:12" ht="22.5" customHeight="1">
      <c r="A70" s="8">
        <v>2280</v>
      </c>
      <c r="B70" s="8">
        <f t="shared" si="6"/>
        <v>60</v>
      </c>
      <c r="C70" s="10">
        <f>'fc (2)'!N127</f>
        <v>1.5975499999999911</v>
      </c>
      <c r="D70" s="16">
        <f>(1.598+1.224)/2*60</f>
        <v>84.66</v>
      </c>
      <c r="E70" s="14"/>
      <c r="I70" s="8">
        <v>3960</v>
      </c>
      <c r="J70" s="8">
        <f t="shared" ref="J70:J75" si="7">I70-I69</f>
        <v>60</v>
      </c>
      <c r="K70" s="10">
        <f>'[1]fc (2)'!V1304</f>
        <v>0</v>
      </c>
      <c r="L70" s="16">
        <f>(1.363+1.314)/2*60</f>
        <v>80.31</v>
      </c>
    </row>
    <row r="71" spans="1:12" ht="23.25" customHeight="1">
      <c r="A71" s="8">
        <v>2340</v>
      </c>
      <c r="B71" s="8">
        <f t="shared" si="6"/>
        <v>60</v>
      </c>
      <c r="C71" s="10">
        <f>'fc (2)'!N172</f>
        <v>1.4901000000000038</v>
      </c>
      <c r="D71" s="16">
        <f>(1.598+1.49)/2*60</f>
        <v>92.64</v>
      </c>
      <c r="E71" s="14"/>
      <c r="I71" s="8">
        <v>4020</v>
      </c>
      <c r="J71" s="8">
        <f t="shared" si="7"/>
        <v>60</v>
      </c>
      <c r="K71" s="10">
        <f>'[1]fc (2)'!V1341</f>
        <v>0</v>
      </c>
      <c r="L71" s="16">
        <f>(1.363+1.266)/2*60</f>
        <v>78.87</v>
      </c>
    </row>
    <row r="72" spans="1:12" ht="22.5" customHeight="1">
      <c r="A72" s="8">
        <v>2400</v>
      </c>
      <c r="B72" s="8">
        <f t="shared" si="6"/>
        <v>60</v>
      </c>
      <c r="C72" s="10">
        <f>'fc (2)'!N212</f>
        <v>0.79999999999998295</v>
      </c>
      <c r="D72" s="16">
        <f>(0.8+1.49)/2*60</f>
        <v>68.7</v>
      </c>
      <c r="E72" s="14"/>
      <c r="I72" s="8">
        <v>4080</v>
      </c>
      <c r="J72" s="8">
        <f t="shared" si="7"/>
        <v>60</v>
      </c>
      <c r="K72" s="10">
        <f>'[1]fc (2)'!V1382</f>
        <v>0</v>
      </c>
      <c r="L72" s="16">
        <f>(1.282+1.266)/2*60</f>
        <v>76.44</v>
      </c>
    </row>
    <row r="73" spans="1:12" ht="19.5" customHeight="1">
      <c r="A73" s="8">
        <v>2460</v>
      </c>
      <c r="B73" s="8">
        <f t="shared" si="6"/>
        <v>60</v>
      </c>
      <c r="C73" s="10">
        <f>'fc (2)'!N255</f>
        <v>1.1011000000000044</v>
      </c>
      <c r="D73" s="16">
        <f>(0.8+1.101)/2*60</f>
        <v>57.03</v>
      </c>
      <c r="E73" s="14"/>
      <c r="I73" s="8">
        <v>4140</v>
      </c>
      <c r="J73" s="8">
        <f t="shared" si="7"/>
        <v>60</v>
      </c>
      <c r="K73" s="10">
        <f>'[1]fc (2)'!V1425</f>
        <v>0</v>
      </c>
      <c r="L73" s="16">
        <f>(1.282+1.355)/2*60</f>
        <v>79.11</v>
      </c>
    </row>
    <row r="74" spans="1:12" ht="22.5" customHeight="1">
      <c r="A74" s="8">
        <v>2520</v>
      </c>
      <c r="B74" s="8">
        <f t="shared" si="6"/>
        <v>60</v>
      </c>
      <c r="C74" s="10">
        <f>'fc (2)'!N290</f>
        <v>0.87800000000000789</v>
      </c>
      <c r="D74" s="16">
        <f>(0.878+1.101)/2*60</f>
        <v>59.370000000000005</v>
      </c>
      <c r="E74" s="14"/>
      <c r="I74" s="8">
        <v>4200</v>
      </c>
      <c r="J74" s="8">
        <f t="shared" si="7"/>
        <v>60</v>
      </c>
      <c r="K74" s="10">
        <f>'[1]fc (3)'!V10</f>
        <v>0</v>
      </c>
      <c r="L74" s="16">
        <f>(1.355+1.355)/2*60</f>
        <v>81.3</v>
      </c>
    </row>
    <row r="75" spans="1:12" ht="19.5" customHeight="1">
      <c r="A75" s="8">
        <v>2580</v>
      </c>
      <c r="B75" s="8">
        <f t="shared" si="6"/>
        <v>60</v>
      </c>
      <c r="C75" s="10">
        <f>'fc (2)'!N338</f>
        <v>1.2337000000000211</v>
      </c>
      <c r="D75" s="16">
        <f>(0.878+1.234)/2*60</f>
        <v>63.36</v>
      </c>
      <c r="E75" s="14"/>
      <c r="I75" s="8">
        <v>4260</v>
      </c>
      <c r="J75" s="8">
        <f t="shared" si="7"/>
        <v>60</v>
      </c>
      <c r="K75" s="10">
        <f>'[1]fc (3)'!V45</f>
        <v>0</v>
      </c>
      <c r="L75" s="16">
        <f>(1.355+1.534)/2*60</f>
        <v>86.67</v>
      </c>
    </row>
    <row r="76" spans="1:12" ht="22.5" customHeight="1">
      <c r="A76" s="8">
        <v>2640</v>
      </c>
      <c r="B76" s="8">
        <f t="shared" si="6"/>
        <v>60</v>
      </c>
      <c r="C76" s="10">
        <f>'fc (2)'!N374</f>
        <v>1.2631500000000004</v>
      </c>
      <c r="D76" s="16">
        <f>(1.263+1.234)/2*60</f>
        <v>74.91</v>
      </c>
      <c r="E76" s="14"/>
      <c r="I76" s="8">
        <v>4320</v>
      </c>
      <c r="J76" s="8">
        <f>I76-I75</f>
        <v>60</v>
      </c>
      <c r="K76" s="10">
        <f>'[1]fc (3)'!V89</f>
        <v>0</v>
      </c>
      <c r="L76" s="16">
        <f>(1.534+1.474)/2*60</f>
        <v>90.24</v>
      </c>
    </row>
    <row r="77" spans="1:12" ht="23.25" customHeight="1">
      <c r="A77" s="8">
        <v>2700</v>
      </c>
      <c r="B77" s="8">
        <f>A77-A76</f>
        <v>60</v>
      </c>
      <c r="C77" s="10">
        <f>'fc (2)'!N421</f>
        <v>1.3300999999999836</v>
      </c>
      <c r="D77" s="16">
        <f>(1.263+1.33)/2*60</f>
        <v>77.789999999999992</v>
      </c>
      <c r="E77" s="14"/>
      <c r="I77" s="8">
        <v>4380</v>
      </c>
      <c r="J77" s="8">
        <f t="shared" ref="J77:J85" si="8">I77-I76</f>
        <v>60</v>
      </c>
      <c r="K77" s="10">
        <f>'[1]fc (3)'!V127</f>
        <v>0</v>
      </c>
      <c r="L77" s="16">
        <f>(1.554+1.474)/2*60</f>
        <v>90.84</v>
      </c>
    </row>
    <row r="78" spans="1:12" ht="22.5" customHeight="1">
      <c r="A78" s="8">
        <v>2760</v>
      </c>
      <c r="B78" s="8">
        <f t="shared" ref="B78:B86" si="9">A78-A77</f>
        <v>60</v>
      </c>
      <c r="C78" s="10">
        <f>'fc (2)'!N470</f>
        <v>1.3088000000000057</v>
      </c>
      <c r="D78" s="16">
        <f>(1.309+1.33)/2*60</f>
        <v>79.17</v>
      </c>
      <c r="E78" s="14"/>
      <c r="I78" s="8">
        <v>4440</v>
      </c>
      <c r="J78" s="8">
        <f t="shared" si="8"/>
        <v>60</v>
      </c>
      <c r="K78" s="10">
        <f>'[1]fc (3)'!V172</f>
        <v>0</v>
      </c>
      <c r="L78" s="16">
        <f>(1.554+1.478)/2*60</f>
        <v>90.960000000000008</v>
      </c>
    </row>
    <row r="79" spans="1:12" ht="19.5" customHeight="1">
      <c r="A79" s="8">
        <v>2820</v>
      </c>
      <c r="B79" s="8">
        <f t="shared" si="9"/>
        <v>60</v>
      </c>
      <c r="C79" s="10">
        <f>'fc (2)'!N505</f>
        <v>1.3393500000000025</v>
      </c>
      <c r="D79" s="16">
        <f>(1.309+1.339)/2*60</f>
        <v>79.44</v>
      </c>
      <c r="E79" s="14"/>
      <c r="I79" s="8">
        <v>4500</v>
      </c>
      <c r="J79" s="8">
        <f t="shared" si="8"/>
        <v>60</v>
      </c>
      <c r="K79" s="10">
        <f>'[1]fc (3)'!V212</f>
        <v>0</v>
      </c>
      <c r="L79" s="16">
        <f>(1.38+1.478)/2*60</f>
        <v>85.74</v>
      </c>
    </row>
    <row r="80" spans="1:12" ht="22.5" customHeight="1">
      <c r="A80" s="8">
        <v>2880</v>
      </c>
      <c r="B80" s="8">
        <f t="shared" si="9"/>
        <v>60</v>
      </c>
      <c r="C80" s="10">
        <f>'fc (2)'!N549</f>
        <v>1.3486999999999916</v>
      </c>
      <c r="D80" s="16">
        <f>(1.349+1.339)/2*60</f>
        <v>80.639999999999986</v>
      </c>
      <c r="E80" s="14"/>
      <c r="I80" s="8">
        <v>4560</v>
      </c>
      <c r="J80" s="8">
        <f t="shared" si="8"/>
        <v>60</v>
      </c>
      <c r="K80" s="10">
        <f>'[1]fc (3)'!V255</f>
        <v>0</v>
      </c>
      <c r="L80" s="16">
        <f>(1.38+1.496)/2*60</f>
        <v>86.28</v>
      </c>
    </row>
    <row r="81" spans="1:12" ht="23.25" customHeight="1">
      <c r="A81" s="8">
        <v>2940</v>
      </c>
      <c r="B81" s="8">
        <f t="shared" si="9"/>
        <v>60</v>
      </c>
      <c r="C81" s="10">
        <f>'fc (2)'!N588</f>
        <v>1.2448499999999789</v>
      </c>
      <c r="D81" s="16">
        <f>(1.349+1.245)/2*60</f>
        <v>77.820000000000007</v>
      </c>
      <c r="E81" s="14"/>
      <c r="I81" s="8">
        <v>4620</v>
      </c>
      <c r="J81" s="8">
        <f t="shared" si="8"/>
        <v>60</v>
      </c>
      <c r="K81" s="10">
        <f>'[1]fc (3)'!V290</f>
        <v>0</v>
      </c>
      <c r="L81" s="16">
        <f>(1.311+1.496)/2*60</f>
        <v>84.21</v>
      </c>
    </row>
    <row r="82" spans="1:12" ht="22.5" customHeight="1">
      <c r="A82" s="8">
        <v>3000</v>
      </c>
      <c r="B82" s="8">
        <f t="shared" si="9"/>
        <v>60</v>
      </c>
      <c r="C82" s="10">
        <f>'fc (2)'!N633</f>
        <v>1.3771500000000059</v>
      </c>
      <c r="D82" s="16">
        <f>(1.377+1.245)/2*60</f>
        <v>78.66</v>
      </c>
      <c r="E82" s="14"/>
      <c r="I82" s="8">
        <v>4680</v>
      </c>
      <c r="J82" s="8">
        <f t="shared" si="8"/>
        <v>60</v>
      </c>
      <c r="K82" s="10">
        <f>'[1]fc (3)'!V338</f>
        <v>0</v>
      </c>
      <c r="L82" s="16">
        <f>(1.311+1.739)/2*60</f>
        <v>91.5</v>
      </c>
    </row>
    <row r="83" spans="1:12" ht="19.5" customHeight="1">
      <c r="A83" s="8">
        <v>3060</v>
      </c>
      <c r="B83" s="8">
        <f t="shared" si="9"/>
        <v>60</v>
      </c>
      <c r="C83" s="10">
        <f>'fc (2)'!N672</f>
        <v>1.3327499999999952</v>
      </c>
      <c r="D83" s="16">
        <f>(1.377+1.333)/2*60</f>
        <v>81.3</v>
      </c>
      <c r="E83" s="14"/>
      <c r="I83" s="8">
        <v>4740</v>
      </c>
      <c r="J83" s="8">
        <f t="shared" si="8"/>
        <v>60</v>
      </c>
      <c r="K83" s="10">
        <f>'[1]fc (3)'!V374</f>
        <v>0</v>
      </c>
      <c r="L83" s="16">
        <f>(1.815+1.739)/2*60</f>
        <v>106.62</v>
      </c>
    </row>
    <row r="84" spans="1:12" ht="22.5" customHeight="1">
      <c r="A84" s="8">
        <v>3120</v>
      </c>
      <c r="B84" s="8">
        <f t="shared" si="9"/>
        <v>60</v>
      </c>
      <c r="C84" s="10">
        <f>'fc (2)'!N715</f>
        <v>1.3201499999999995</v>
      </c>
      <c r="D84" s="16">
        <f>(1.32+1.333)/2*60</f>
        <v>79.59</v>
      </c>
      <c r="E84" s="14"/>
      <c r="I84" s="8">
        <v>4800</v>
      </c>
      <c r="J84" s="8">
        <f t="shared" si="8"/>
        <v>60</v>
      </c>
      <c r="K84" s="10">
        <f>'[1]fc (3)'!V421</f>
        <v>0</v>
      </c>
      <c r="L84" s="16">
        <f>(1.815+1.881)/2*60</f>
        <v>110.88</v>
      </c>
    </row>
    <row r="85" spans="1:12" ht="19.5" customHeight="1">
      <c r="A85" s="8">
        <v>3180</v>
      </c>
      <c r="B85" s="8">
        <f t="shared" si="9"/>
        <v>60</v>
      </c>
      <c r="C85" s="10">
        <f>'fc (2)'!N756</f>
        <v>1.2970999999999726</v>
      </c>
      <c r="D85" s="16">
        <f>(1.32+1.297)/2*60</f>
        <v>78.510000000000005</v>
      </c>
      <c r="E85" s="14"/>
      <c r="I85" s="8">
        <v>4860</v>
      </c>
      <c r="J85" s="8">
        <f t="shared" si="8"/>
        <v>60</v>
      </c>
      <c r="K85" s="10">
        <f>'[1]fc (3)'!V470</f>
        <v>0</v>
      </c>
      <c r="L85" s="16">
        <f>(1.485+1.881)/2*60</f>
        <v>100.98</v>
      </c>
    </row>
    <row r="86" spans="1:12" ht="22.5" customHeight="1">
      <c r="A86" s="8">
        <v>3240</v>
      </c>
      <c r="B86" s="8">
        <f t="shared" si="9"/>
        <v>60</v>
      </c>
      <c r="C86" s="10">
        <f>'fc (2)'!N804</f>
        <v>1.3213999999999892</v>
      </c>
      <c r="D86" s="16">
        <f>(1.321+1.297)/2*60</f>
        <v>78.539999999999992</v>
      </c>
      <c r="E86" s="14"/>
      <c r="I86" s="8">
        <v>4920</v>
      </c>
      <c r="J86" s="8">
        <f>I86-I85</f>
        <v>60</v>
      </c>
      <c r="K86" s="10">
        <f>'[1]fc (3)'!V505</f>
        <v>0</v>
      </c>
      <c r="L86" s="16">
        <f>(1.485+1.87)/2*60</f>
        <v>100.65</v>
      </c>
    </row>
    <row r="87" spans="1:12" ht="23.25" customHeight="1">
      <c r="A87" s="8">
        <v>3300</v>
      </c>
      <c r="B87" s="8">
        <f>A87-A86</f>
        <v>60</v>
      </c>
      <c r="C87" s="10">
        <f>'fc (2)'!N839</f>
        <v>1.2457499999999768</v>
      </c>
      <c r="D87" s="16">
        <f>(1.321+1.246)/2*60</f>
        <v>77.010000000000005</v>
      </c>
      <c r="E87" s="14"/>
      <c r="I87" s="8">
        <v>4980</v>
      </c>
      <c r="J87" s="8">
        <f t="shared" ref="J87:J95" si="10">I87-I86</f>
        <v>60</v>
      </c>
      <c r="K87" s="10">
        <f>'[1]fc (3)'!V549</f>
        <v>0</v>
      </c>
      <c r="L87" s="16">
        <f>(1.28+1.87)/2*60</f>
        <v>94.500000000000014</v>
      </c>
    </row>
    <row r="88" spans="1:12" ht="22.5" customHeight="1">
      <c r="A88" s="8">
        <v>3360</v>
      </c>
      <c r="B88" s="8">
        <f t="shared" ref="B88:B96" si="11">A88-A87</f>
        <v>60</v>
      </c>
      <c r="C88" s="10">
        <f>'fc (2)'!N886</f>
        <v>1.271800000000004</v>
      </c>
      <c r="D88" s="16">
        <f>(1.272+1.246)/2*60</f>
        <v>75.539999999999992</v>
      </c>
      <c r="E88" s="14"/>
      <c r="I88" s="8">
        <v>5040</v>
      </c>
      <c r="J88" s="8">
        <f t="shared" si="10"/>
        <v>60</v>
      </c>
      <c r="K88" s="10">
        <f>'[1]fc (3)'!V588</f>
        <v>0</v>
      </c>
      <c r="L88" s="16">
        <f>(1.28+1.349)/2*60</f>
        <v>78.87</v>
      </c>
    </row>
    <row r="89" spans="1:12" ht="19.5" customHeight="1">
      <c r="A89" s="8">
        <v>3420</v>
      </c>
      <c r="B89" s="8">
        <f t="shared" si="11"/>
        <v>60</v>
      </c>
      <c r="C89" s="10">
        <f>'fc (2)'!N923</f>
        <v>1.3246499999999948</v>
      </c>
      <c r="D89" s="16">
        <f>(1.272+1.325)/2*60</f>
        <v>77.91</v>
      </c>
      <c r="E89" s="14"/>
      <c r="I89" s="8">
        <v>5100</v>
      </c>
      <c r="J89" s="8">
        <f t="shared" si="10"/>
        <v>60</v>
      </c>
      <c r="K89" s="10">
        <f>'[1]fc (3)'!V633</f>
        <v>0</v>
      </c>
      <c r="L89" s="16">
        <f>(1.199+1.349)/2*60</f>
        <v>76.44</v>
      </c>
    </row>
    <row r="90" spans="1:12" ht="22.5" customHeight="1">
      <c r="A90" s="8">
        <v>3480</v>
      </c>
      <c r="B90" s="8">
        <f t="shared" si="11"/>
        <v>60</v>
      </c>
      <c r="C90" s="10">
        <f>'fc (2)'!N967</f>
        <v>1.2057500000000261</v>
      </c>
      <c r="D90" s="16">
        <f>(1.206+1.325)/2*60</f>
        <v>75.929999999999993</v>
      </c>
      <c r="E90" s="14"/>
      <c r="I90" s="8">
        <v>5160</v>
      </c>
      <c r="J90" s="8">
        <f t="shared" si="10"/>
        <v>60</v>
      </c>
      <c r="K90" s="10">
        <f>'[1]fc (3)'!V672</f>
        <v>0</v>
      </c>
      <c r="L90" s="16">
        <f>(1.199+1.232)/2*60</f>
        <v>72.930000000000007</v>
      </c>
    </row>
    <row r="91" spans="1:12" ht="23.25" customHeight="1">
      <c r="A91" s="8">
        <v>3540</v>
      </c>
      <c r="B91" s="8">
        <f t="shared" si="11"/>
        <v>60</v>
      </c>
      <c r="C91" s="10">
        <f>'fc (2)'!N1006</f>
        <v>1.5151999999999866</v>
      </c>
      <c r="D91" s="16">
        <f>(1.206+1.515)/2*60</f>
        <v>81.63</v>
      </c>
      <c r="E91" s="14"/>
      <c r="I91" s="8">
        <v>5220</v>
      </c>
      <c r="J91" s="8">
        <f t="shared" si="10"/>
        <v>60</v>
      </c>
      <c r="K91" s="10">
        <f>'[1]fc (3)'!V715</f>
        <v>0</v>
      </c>
      <c r="L91" s="16">
        <f>(1.307+1.232)/2*60</f>
        <v>76.169999999999987</v>
      </c>
    </row>
    <row r="92" spans="1:12" ht="22.5" customHeight="1">
      <c r="A92" s="8">
        <v>3600</v>
      </c>
      <c r="B92" s="8">
        <f t="shared" si="11"/>
        <v>60</v>
      </c>
      <c r="C92" s="10">
        <f>'fc (2)'!N1051</f>
        <v>1.3275999999999948</v>
      </c>
      <c r="D92" s="16">
        <f>(1.328+1.515)/2*60</f>
        <v>85.289999999999992</v>
      </c>
      <c r="E92" s="14"/>
      <c r="I92" s="8">
        <v>5280</v>
      </c>
      <c r="J92" s="8">
        <f t="shared" si="10"/>
        <v>60</v>
      </c>
      <c r="K92" s="10">
        <f>'[1]fc (3)'!V756</f>
        <v>0</v>
      </c>
      <c r="L92" s="16">
        <f>(1.307+1.226)/2*60</f>
        <v>75.989999999999995</v>
      </c>
    </row>
    <row r="93" spans="1:12" ht="19.5" customHeight="1">
      <c r="A93" s="8">
        <v>3660</v>
      </c>
      <c r="B93" s="8">
        <f t="shared" si="11"/>
        <v>60</v>
      </c>
      <c r="C93" s="10">
        <f>'fc (2)'!N1090</f>
        <v>1.4479499999999945</v>
      </c>
      <c r="D93" s="16">
        <f>(1.328+1.448)/2*60</f>
        <v>83.28</v>
      </c>
      <c r="E93" s="14"/>
      <c r="I93" s="8">
        <v>5340</v>
      </c>
      <c r="J93" s="8">
        <f t="shared" si="10"/>
        <v>60</v>
      </c>
      <c r="K93" s="10">
        <f>'[1]fc (3)'!V804</f>
        <v>0</v>
      </c>
      <c r="L93" s="16">
        <f>(1.283+1.226)/2*60</f>
        <v>75.27</v>
      </c>
    </row>
    <row r="94" spans="1:12" ht="22.5" customHeight="1">
      <c r="A94" s="8">
        <v>3720</v>
      </c>
      <c r="B94" s="8">
        <f t="shared" si="11"/>
        <v>60</v>
      </c>
      <c r="C94" s="10">
        <f>'fc (2)'!N1133</f>
        <v>1.3422999999999932</v>
      </c>
      <c r="D94" s="16">
        <f>(1.342+1.448)/2*60</f>
        <v>83.7</v>
      </c>
      <c r="E94" s="14"/>
      <c r="I94" s="8">
        <v>5400</v>
      </c>
      <c r="J94" s="8">
        <f t="shared" si="10"/>
        <v>60</v>
      </c>
      <c r="K94" s="10">
        <f>'[1]fc (3)'!V839</f>
        <v>0</v>
      </c>
      <c r="L94" s="16">
        <f>(1.283+1.339)/2*60</f>
        <v>78.66</v>
      </c>
    </row>
    <row r="95" spans="1:12" ht="19.5" customHeight="1">
      <c r="A95" s="8">
        <v>3780</v>
      </c>
      <c r="B95" s="8">
        <f t="shared" si="11"/>
        <v>60</v>
      </c>
      <c r="C95" s="10">
        <f>'fc (2)'!N1174</f>
        <v>1.3697499999999991</v>
      </c>
      <c r="D95" s="16">
        <f>(1.342+1.37)/2*60</f>
        <v>81.36</v>
      </c>
      <c r="E95" s="14"/>
      <c r="I95" s="8">
        <v>5460</v>
      </c>
      <c r="J95" s="8">
        <f t="shared" si="10"/>
        <v>60</v>
      </c>
      <c r="K95" s="10">
        <f>'[1]fc (3)'!V886</f>
        <v>0</v>
      </c>
      <c r="L95" s="16">
        <f>(1.226+1.339)/2*60</f>
        <v>76.95</v>
      </c>
    </row>
    <row r="96" spans="1:12" ht="22.5" customHeight="1">
      <c r="A96" s="8">
        <v>3840</v>
      </c>
      <c r="B96" s="8">
        <f t="shared" si="11"/>
        <v>60</v>
      </c>
      <c r="C96" s="10">
        <f>'fc (2)'!N1222</f>
        <v>1.2349000000000159</v>
      </c>
      <c r="D96" s="16">
        <f>(1.235+1.37)/2*60</f>
        <v>78.150000000000006</v>
      </c>
      <c r="E96" s="14"/>
      <c r="I96" s="8">
        <v>5520</v>
      </c>
      <c r="J96" s="8">
        <f>I96-I95</f>
        <v>60</v>
      </c>
      <c r="K96" s="10">
        <f>'[1]fc (3)'!V923</f>
        <v>0</v>
      </c>
      <c r="L96" s="16">
        <f>(1.226+1.27)/2*60</f>
        <v>74.88</v>
      </c>
    </row>
    <row r="97" spans="1:12" ht="23.25" customHeight="1">
      <c r="A97" s="8">
        <v>3900</v>
      </c>
      <c r="B97" s="8">
        <f>A97-A96</f>
        <v>60</v>
      </c>
      <c r="C97" s="10">
        <f>'fc (2)'!N1257</f>
        <v>1.3140499999999986</v>
      </c>
      <c r="D97" s="16">
        <f>(1.235+1.314)/2*60</f>
        <v>76.470000000000013</v>
      </c>
      <c r="E97" s="14"/>
      <c r="I97" s="8">
        <v>5580</v>
      </c>
      <c r="J97" s="8">
        <f t="shared" ref="J97:J105" si="12">I97-I96</f>
        <v>60</v>
      </c>
      <c r="K97" s="10">
        <f>'[1]fc (3)'!V967</f>
        <v>0</v>
      </c>
      <c r="L97" s="16">
        <f>(1.353+1.27)/2*60</f>
        <v>78.690000000000012</v>
      </c>
    </row>
    <row r="98" spans="1:12" ht="22.5" customHeight="1">
      <c r="A98" s="8">
        <v>3960</v>
      </c>
      <c r="B98" s="8">
        <f t="shared" ref="B98:B103" si="13">A98-A97</f>
        <v>60</v>
      </c>
      <c r="C98" s="10">
        <f>'fc (2)'!N1304</f>
        <v>1.3629999999999904</v>
      </c>
      <c r="D98" s="16">
        <f>(1.363+1.314)/2*60</f>
        <v>80.31</v>
      </c>
      <c r="E98" s="14"/>
      <c r="I98" s="8">
        <v>5640</v>
      </c>
      <c r="J98" s="8">
        <f t="shared" si="12"/>
        <v>60</v>
      </c>
      <c r="K98" s="10">
        <f>'[1]fc (3)'!V1006</f>
        <v>0</v>
      </c>
      <c r="L98" s="16">
        <f>(1.353+1.242)/2*60</f>
        <v>77.849999999999994</v>
      </c>
    </row>
    <row r="99" spans="1:12" ht="19.5" customHeight="1">
      <c r="A99" s="8">
        <v>4020</v>
      </c>
      <c r="B99" s="8">
        <f t="shared" si="13"/>
        <v>60</v>
      </c>
      <c r="C99" s="10">
        <f>'fc (2)'!N1341</f>
        <v>1.2660000000000187</v>
      </c>
      <c r="D99" s="16">
        <f>(1.363+1.266)/2*60</f>
        <v>78.87</v>
      </c>
      <c r="E99" s="14"/>
      <c r="I99" s="8">
        <v>5700</v>
      </c>
      <c r="J99" s="8">
        <f t="shared" si="12"/>
        <v>60</v>
      </c>
      <c r="K99" s="10">
        <f>'[1]fc (3)'!V1051</f>
        <v>0</v>
      </c>
      <c r="L99" s="16">
        <f>(1.476+1.242)/2*60</f>
        <v>81.539999999999992</v>
      </c>
    </row>
    <row r="100" spans="1:12" ht="22.5" customHeight="1">
      <c r="A100" s="8">
        <v>4080</v>
      </c>
      <c r="B100" s="8">
        <f t="shared" si="13"/>
        <v>60</v>
      </c>
      <c r="C100" s="10">
        <f>'fc (2)'!N1382</f>
        <v>1.2815000000000025</v>
      </c>
      <c r="D100" s="16">
        <f>(1.282+1.266)/2*60</f>
        <v>76.44</v>
      </c>
      <c r="E100" s="14"/>
      <c r="I100" s="8">
        <v>5760</v>
      </c>
      <c r="J100" s="8">
        <f t="shared" si="12"/>
        <v>60</v>
      </c>
      <c r="K100" s="10">
        <f>'[1]fc (3)'!V1090</f>
        <v>0</v>
      </c>
      <c r="L100" s="16">
        <f>(1.476+1.354)/2*60</f>
        <v>84.9</v>
      </c>
    </row>
    <row r="101" spans="1:12" ht="22.5" customHeight="1">
      <c r="A101" s="8">
        <v>4140</v>
      </c>
      <c r="B101" s="8">
        <f t="shared" si="13"/>
        <v>60</v>
      </c>
      <c r="C101" s="10">
        <f>'fc (2)'!N1425</f>
        <v>1.3550999999999909</v>
      </c>
      <c r="D101" s="16">
        <f>(1.282+1.355)/2*60</f>
        <v>79.11</v>
      </c>
      <c r="E101" s="14"/>
      <c r="I101" s="8">
        <v>5820</v>
      </c>
      <c r="J101" s="8">
        <f t="shared" si="12"/>
        <v>60</v>
      </c>
      <c r="K101" s="10">
        <f>'[1]fc (3)'!V1133</f>
        <v>0</v>
      </c>
      <c r="L101" s="16">
        <f>(1.261+1.354)/2*60</f>
        <v>78.45</v>
      </c>
    </row>
    <row r="102" spans="1:12" ht="19.5" customHeight="1">
      <c r="A102" s="8">
        <v>4200</v>
      </c>
      <c r="B102" s="8">
        <f t="shared" si="13"/>
        <v>60</v>
      </c>
      <c r="C102" s="10">
        <f>'fc (3)'!N10</f>
        <v>1.3547500000000057</v>
      </c>
      <c r="D102" s="16">
        <f>(1.355+1.355)/2*60</f>
        <v>81.3</v>
      </c>
      <c r="E102" s="14"/>
      <c r="I102" s="8">
        <v>5880</v>
      </c>
      <c r="J102" s="8">
        <f t="shared" si="12"/>
        <v>60</v>
      </c>
      <c r="K102" s="10">
        <f>'[1]fc (3)'!V1174</f>
        <v>0</v>
      </c>
      <c r="L102" s="16">
        <f>(1.261+1.278)/2*60</f>
        <v>76.169999999999987</v>
      </c>
    </row>
    <row r="103" spans="1:12" ht="22.5" customHeight="1">
      <c r="A103" s="8">
        <v>4260</v>
      </c>
      <c r="B103" s="8">
        <f t="shared" si="13"/>
        <v>60</v>
      </c>
      <c r="C103" s="10">
        <f>'fc (3)'!N45</f>
        <v>1.5342000000000078</v>
      </c>
      <c r="D103" s="16">
        <f>(1.355+1.534)/2*60</f>
        <v>86.67</v>
      </c>
      <c r="E103" s="14"/>
      <c r="I103" s="8">
        <v>5940</v>
      </c>
      <c r="J103" s="8">
        <f t="shared" si="12"/>
        <v>60</v>
      </c>
      <c r="K103" s="10">
        <f>'[1]fc (3)'!V1222</f>
        <v>0</v>
      </c>
      <c r="L103" s="16">
        <f>(1.332+1.278)/2*60</f>
        <v>78.300000000000011</v>
      </c>
    </row>
    <row r="104" spans="1:12" ht="23.25" customHeight="1">
      <c r="A104" s="8">
        <v>4320</v>
      </c>
      <c r="B104" s="8">
        <f>A104-A103</f>
        <v>60</v>
      </c>
      <c r="C104" s="10">
        <f>'fc (3)'!N89</f>
        <v>1.4740500000000119</v>
      </c>
      <c r="D104" s="16">
        <f>(1.534+1.474)/2*60</f>
        <v>90.24</v>
      </c>
      <c r="E104" s="14"/>
      <c r="I104" s="8">
        <v>6000</v>
      </c>
      <c r="J104" s="8">
        <f t="shared" si="12"/>
        <v>60</v>
      </c>
      <c r="K104" s="10">
        <f>'[1]fc (3)'!V1257</f>
        <v>0</v>
      </c>
      <c r="L104" s="16">
        <f>(1.332+1.517)/2*60</f>
        <v>85.47</v>
      </c>
    </row>
    <row r="105" spans="1:12" ht="22.5" customHeight="1">
      <c r="A105" s="8">
        <v>4380</v>
      </c>
      <c r="B105" s="8">
        <f t="shared" ref="B105:B113" si="14">A105-A104</f>
        <v>60</v>
      </c>
      <c r="C105" s="10">
        <f>'fc (3)'!N127</f>
        <v>1.5543000000000005</v>
      </c>
      <c r="D105" s="16">
        <f>(1.554+1.474)/2*60</f>
        <v>90.84</v>
      </c>
      <c r="E105" s="14"/>
      <c r="I105" s="8">
        <v>6060</v>
      </c>
      <c r="J105" s="8">
        <f t="shared" si="12"/>
        <v>60</v>
      </c>
      <c r="K105" s="10">
        <f>'[1]fc (3)'!V1304</f>
        <v>0</v>
      </c>
      <c r="L105" s="16">
        <f>(1.371+1.517)/2*60</f>
        <v>86.64</v>
      </c>
    </row>
    <row r="106" spans="1:12" ht="19.5" customHeight="1">
      <c r="A106" s="8">
        <v>4440</v>
      </c>
      <c r="B106" s="8">
        <f t="shared" si="14"/>
        <v>60</v>
      </c>
      <c r="C106" s="10">
        <f>'fc (3)'!N172</f>
        <v>1.4776499999999948</v>
      </c>
      <c r="D106" s="16">
        <f>(1.554+1.478)/2*60</f>
        <v>90.960000000000008</v>
      </c>
      <c r="E106" s="14"/>
      <c r="I106" s="8">
        <v>6120</v>
      </c>
      <c r="J106" s="8">
        <f>I106-I105</f>
        <v>60</v>
      </c>
      <c r="K106" s="10">
        <f>'[1]fc (3)'!V1341</f>
        <v>0</v>
      </c>
      <c r="L106" s="16">
        <f>(1.371+1.554)/2*60</f>
        <v>87.75</v>
      </c>
    </row>
    <row r="107" spans="1:12" ht="22.5" customHeight="1">
      <c r="A107" s="8">
        <v>4500</v>
      </c>
      <c r="B107" s="8">
        <f t="shared" si="14"/>
        <v>60</v>
      </c>
      <c r="C107" s="10">
        <f>'fc (3)'!N212</f>
        <v>1.3803999999999883</v>
      </c>
      <c r="D107" s="16">
        <f>(1.38+1.478)/2*60</f>
        <v>85.74</v>
      </c>
      <c r="E107" s="14"/>
      <c r="I107" s="8">
        <v>6180</v>
      </c>
      <c r="J107" s="8">
        <f t="shared" ref="J107:J115" si="15">I107-I106</f>
        <v>60</v>
      </c>
      <c r="K107" s="10">
        <f>'[1]fc (3)'!V1382</f>
        <v>0</v>
      </c>
      <c r="L107" s="16">
        <f>(1.497+1.554)/2*60</f>
        <v>91.53</v>
      </c>
    </row>
    <row r="108" spans="1:12" ht="23.25" customHeight="1">
      <c r="A108" s="8">
        <v>4560</v>
      </c>
      <c r="B108" s="8">
        <f t="shared" si="14"/>
        <v>60</v>
      </c>
      <c r="C108" s="10">
        <f>'fc (3)'!N255</f>
        <v>1.4958999999999725</v>
      </c>
      <c r="D108" s="16">
        <f>(1.38+1.496)/2*60</f>
        <v>86.28</v>
      </c>
      <c r="E108" s="14"/>
      <c r="I108" s="8">
        <v>6240</v>
      </c>
      <c r="J108" s="8">
        <f t="shared" si="15"/>
        <v>60</v>
      </c>
      <c r="K108" s="10">
        <f>'[1]fc (3)'!V1425</f>
        <v>0</v>
      </c>
      <c r="L108" s="16">
        <f>(1.497+1.29)/2*60</f>
        <v>83.61</v>
      </c>
    </row>
    <row r="109" spans="1:12" ht="22.5" customHeight="1">
      <c r="A109" s="8">
        <v>4620</v>
      </c>
      <c r="B109" s="8">
        <f t="shared" si="14"/>
        <v>60</v>
      </c>
      <c r="C109" s="10">
        <f>'fc (3)'!N290</f>
        <v>1.3114000000000026</v>
      </c>
      <c r="D109" s="16">
        <f>(1.311+1.496)/2*60</f>
        <v>84.21</v>
      </c>
      <c r="E109" s="14"/>
      <c r="I109" s="8">
        <v>6300</v>
      </c>
      <c r="J109" s="8">
        <f t="shared" si="15"/>
        <v>60</v>
      </c>
      <c r="K109" s="10">
        <f>'[1]fc (4)'!V10</f>
        <v>0</v>
      </c>
      <c r="L109" s="16">
        <f>(1.355+1.29)/2*60</f>
        <v>79.349999999999994</v>
      </c>
    </row>
    <row r="110" spans="1:12" ht="19.5" customHeight="1">
      <c r="A110" s="8">
        <v>4680</v>
      </c>
      <c r="B110" s="8">
        <f t="shared" si="14"/>
        <v>60</v>
      </c>
      <c r="C110" s="10">
        <f>'fc (3)'!N338</f>
        <v>1.7385500000000129</v>
      </c>
      <c r="D110" s="16">
        <f>(1.311+1.739)/2*60</f>
        <v>91.5</v>
      </c>
      <c r="E110" s="14"/>
      <c r="I110" s="8">
        <v>6360</v>
      </c>
      <c r="J110" s="8">
        <f t="shared" si="15"/>
        <v>60</v>
      </c>
      <c r="K110" s="10">
        <f>'[1]fc (4)'!V45</f>
        <v>0</v>
      </c>
      <c r="L110" s="16">
        <f>(1.355+1.361)/2*60</f>
        <v>81.48</v>
      </c>
    </row>
    <row r="111" spans="1:12" ht="22.5" customHeight="1">
      <c r="A111" s="8">
        <v>4740</v>
      </c>
      <c r="B111" s="8">
        <f t="shared" si="14"/>
        <v>60</v>
      </c>
      <c r="C111" s="10">
        <f>'fc (3)'!N374</f>
        <v>1.8150000000000013</v>
      </c>
      <c r="D111" s="16">
        <f>(1.815+1.739)/2*60</f>
        <v>106.62</v>
      </c>
      <c r="E111" s="14"/>
      <c r="I111" s="8">
        <v>6420</v>
      </c>
      <c r="J111" s="8">
        <f t="shared" si="15"/>
        <v>60</v>
      </c>
      <c r="K111" s="10">
        <f>'[1]fc (4)'!V89</f>
        <v>0</v>
      </c>
      <c r="L111" s="16">
        <f>(1.547+1.361)/2*60</f>
        <v>87.24</v>
      </c>
    </row>
    <row r="112" spans="1:12" ht="19.5" customHeight="1">
      <c r="A112" s="8">
        <v>4800</v>
      </c>
      <c r="B112" s="8">
        <f t="shared" si="14"/>
        <v>60</v>
      </c>
      <c r="C112" s="10">
        <f>'fc (3)'!N421</f>
        <v>1.880899999999976</v>
      </c>
      <c r="D112" s="16">
        <f>(1.815+1.881)/2*60</f>
        <v>110.88</v>
      </c>
      <c r="E112" s="14"/>
      <c r="I112" s="8">
        <v>6480</v>
      </c>
      <c r="J112" s="8">
        <f t="shared" si="15"/>
        <v>60</v>
      </c>
      <c r="K112" s="10">
        <f>'[1]fc (4)'!V127</f>
        <v>0</v>
      </c>
      <c r="L112" s="16">
        <f>(1.547+1.468)/2*60</f>
        <v>90.449999999999989</v>
      </c>
    </row>
    <row r="113" spans="1:12" ht="22.5" customHeight="1">
      <c r="A113" s="8">
        <v>4860</v>
      </c>
      <c r="B113" s="8">
        <f t="shared" si="14"/>
        <v>60</v>
      </c>
      <c r="C113" s="10">
        <f>'fc (3)'!N470</f>
        <v>1.4849999999999894</v>
      </c>
      <c r="D113" s="16">
        <f>(1.485+1.881)/2*60</f>
        <v>100.98</v>
      </c>
      <c r="E113" s="14"/>
      <c r="I113" s="8">
        <v>6540</v>
      </c>
      <c r="J113" s="8">
        <f t="shared" si="15"/>
        <v>60</v>
      </c>
      <c r="K113" s="10">
        <f>'[1]fc (4)'!V172</f>
        <v>0</v>
      </c>
      <c r="L113" s="16">
        <f>(1.265+1.468)/2*60</f>
        <v>81.99</v>
      </c>
    </row>
    <row r="114" spans="1:12" ht="23.25" customHeight="1">
      <c r="A114" s="8">
        <v>4920</v>
      </c>
      <c r="B114" s="8">
        <f>A114-A113</f>
        <v>60</v>
      </c>
      <c r="C114" s="10">
        <f>'fc (3)'!N505</f>
        <v>1.8697999999999722</v>
      </c>
      <c r="D114" s="16">
        <f>(1.485+1.87)/2*60</f>
        <v>100.65</v>
      </c>
      <c r="E114" s="14"/>
      <c r="I114" s="8">
        <v>6600</v>
      </c>
      <c r="J114" s="8">
        <f t="shared" si="15"/>
        <v>60</v>
      </c>
      <c r="K114" s="10">
        <f>'[1]fc (4)'!V212</f>
        <v>0</v>
      </c>
      <c r="L114" s="16">
        <f>(1.265+1.531)/2*60</f>
        <v>83.88</v>
      </c>
    </row>
    <row r="115" spans="1:12" ht="22.5" customHeight="1">
      <c r="A115" s="8">
        <v>4980</v>
      </c>
      <c r="B115" s="8">
        <f t="shared" ref="B115:B123" si="16">A115-A114</f>
        <v>60</v>
      </c>
      <c r="C115" s="10">
        <f>'fc (3)'!N549</f>
        <v>1.2799000000000036</v>
      </c>
      <c r="D115" s="16">
        <f>(1.28+1.87)/2*60</f>
        <v>94.500000000000014</v>
      </c>
      <c r="E115" s="14"/>
      <c r="I115" s="8">
        <v>6660</v>
      </c>
      <c r="J115" s="8">
        <f t="shared" si="15"/>
        <v>60</v>
      </c>
      <c r="K115" s="10">
        <f>'[1]fc (4)'!V255</f>
        <v>0</v>
      </c>
      <c r="L115" s="16">
        <f>(1.71+1.531)/2*60</f>
        <v>97.22999999999999</v>
      </c>
    </row>
    <row r="116" spans="1:12" ht="19.5" customHeight="1">
      <c r="A116" s="8">
        <v>5040</v>
      </c>
      <c r="B116" s="8">
        <f t="shared" si="16"/>
        <v>60</v>
      </c>
      <c r="C116" s="10">
        <f>'fc (3)'!N588</f>
        <v>1.3488999999999991</v>
      </c>
      <c r="D116" s="16">
        <f>(1.28+1.349)/2*60</f>
        <v>78.87</v>
      </c>
      <c r="E116" s="14"/>
      <c r="I116" s="8">
        <v>6720</v>
      </c>
      <c r="J116" s="8">
        <f>I116-I115</f>
        <v>60</v>
      </c>
      <c r="K116" s="10">
        <f>'[1]fc (4)'!V290</f>
        <v>0</v>
      </c>
      <c r="L116" s="16">
        <f>(1.71+1.197)/2*60</f>
        <v>87.210000000000008</v>
      </c>
    </row>
    <row r="117" spans="1:12" ht="22.5" customHeight="1">
      <c r="A117" s="8">
        <v>5100</v>
      </c>
      <c r="B117" s="8">
        <f t="shared" si="16"/>
        <v>60</v>
      </c>
      <c r="C117" s="10">
        <f>'fc (3)'!N633</f>
        <v>1.1988999999999763</v>
      </c>
      <c r="D117" s="16">
        <f>(1.199+1.349)/2*60</f>
        <v>76.44</v>
      </c>
      <c r="E117" s="14"/>
      <c r="I117" s="8">
        <v>6780</v>
      </c>
      <c r="J117" s="8">
        <f t="shared" ref="J117:J119" si="17">I117-I116</f>
        <v>60</v>
      </c>
      <c r="K117" s="10">
        <f>'[1]fc (4)'!V338</f>
        <v>0</v>
      </c>
      <c r="L117" s="16">
        <f>(1.263+1.197)/2*60</f>
        <v>73.8</v>
      </c>
    </row>
    <row r="118" spans="1:12" ht="23.25" customHeight="1">
      <c r="A118" s="8">
        <v>5160</v>
      </c>
      <c r="B118" s="8">
        <f t="shared" si="16"/>
        <v>60</v>
      </c>
      <c r="C118" s="10">
        <f>'fc (3)'!N672</f>
        <v>1.2315500000000028</v>
      </c>
      <c r="D118" s="16">
        <f>(1.199+1.232)/2*60</f>
        <v>72.930000000000007</v>
      </c>
      <c r="E118" s="14"/>
      <c r="I118" s="8">
        <v>6840</v>
      </c>
      <c r="J118" s="8">
        <f t="shared" si="17"/>
        <v>60</v>
      </c>
      <c r="K118" s="10">
        <f>'[1]fc (4)'!V374</f>
        <v>0</v>
      </c>
      <c r="L118" s="16">
        <f>(1.263+1.297)/2*60</f>
        <v>76.799999999999983</v>
      </c>
    </row>
    <row r="119" spans="1:12" ht="22.5" customHeight="1">
      <c r="A119" s="8">
        <v>5220</v>
      </c>
      <c r="B119" s="8">
        <f t="shared" si="16"/>
        <v>60</v>
      </c>
      <c r="C119" s="10">
        <f>'fc (3)'!N715</f>
        <v>1.3072000000000266</v>
      </c>
      <c r="D119" s="16">
        <f>(1.307+1.232)/2*60</f>
        <v>76.169999999999987</v>
      </c>
      <c r="E119" s="14"/>
      <c r="I119" s="8">
        <v>6900</v>
      </c>
      <c r="J119" s="8">
        <f t="shared" si="17"/>
        <v>60</v>
      </c>
      <c r="K119" s="10">
        <f>'[1]fc (4)'!V421</f>
        <v>0</v>
      </c>
      <c r="L119" s="16">
        <f>(0.882+1.297)/2*60</f>
        <v>65.36999999999999</v>
      </c>
    </row>
    <row r="120" spans="1:12" ht="19.5" customHeight="1">
      <c r="A120" s="8">
        <v>5280</v>
      </c>
      <c r="B120" s="8">
        <f t="shared" si="16"/>
        <v>60</v>
      </c>
      <c r="C120" s="10">
        <f>'fc (3)'!N756</f>
        <v>1.2259500000000159</v>
      </c>
      <c r="D120" s="16">
        <f>(1.307+1.226)/2*60</f>
        <v>75.989999999999995</v>
      </c>
      <c r="E120" s="14"/>
      <c r="I120" s="15"/>
      <c r="J120" s="15"/>
      <c r="K120" s="16"/>
      <c r="L120" s="17">
        <f>SUM(L4:L119)</f>
        <v>8374.3199999999979</v>
      </c>
    </row>
    <row r="121" spans="1:12" ht="22.5" customHeight="1">
      <c r="A121" s="8">
        <v>5340</v>
      </c>
      <c r="B121" s="8">
        <f t="shared" si="16"/>
        <v>60</v>
      </c>
      <c r="C121" s="10">
        <f>'fc (3)'!N804</f>
        <v>1.2828999999999717</v>
      </c>
      <c r="D121" s="16">
        <f>(1.283+1.226)/2*60</f>
        <v>75.27</v>
      </c>
      <c r="E121" s="14"/>
    </row>
    <row r="122" spans="1:12" ht="19.5" customHeight="1">
      <c r="A122" s="8">
        <v>5400</v>
      </c>
      <c r="B122" s="8">
        <f t="shared" si="16"/>
        <v>60</v>
      </c>
      <c r="C122" s="10">
        <f>'fc (3)'!N839</f>
        <v>1.3385499999999917</v>
      </c>
      <c r="D122" s="16">
        <f>(1.283+1.339)/2*60</f>
        <v>78.66</v>
      </c>
      <c r="E122" s="14"/>
    </row>
    <row r="123" spans="1:12" ht="22.5" customHeight="1">
      <c r="A123" s="8">
        <v>5460</v>
      </c>
      <c r="B123" s="8">
        <f t="shared" si="16"/>
        <v>60</v>
      </c>
      <c r="C123" s="10">
        <f>'fc (3)'!N886</f>
        <v>1.2262500000000132</v>
      </c>
      <c r="D123" s="16">
        <f>(1.226+1.339)/2*60</f>
        <v>76.95</v>
      </c>
      <c r="E123" s="14"/>
    </row>
    <row r="124" spans="1:12" ht="23.25" customHeight="1">
      <c r="A124" s="8">
        <v>5520</v>
      </c>
      <c r="B124" s="8">
        <f>A124-A123</f>
        <v>60</v>
      </c>
      <c r="C124" s="10">
        <f>'fc (3)'!N923</f>
        <v>1.2695500000000095</v>
      </c>
      <c r="D124" s="16">
        <f>(1.226+1.27)/2*60</f>
        <v>74.88</v>
      </c>
      <c r="E124" s="14"/>
    </row>
    <row r="125" spans="1:12" ht="22.5" customHeight="1">
      <c r="A125" s="8">
        <v>5580</v>
      </c>
      <c r="B125" s="8">
        <f t="shared" ref="B125:B133" si="18">A125-A124</f>
        <v>60</v>
      </c>
      <c r="C125" s="10">
        <f>'fc (3)'!N967</f>
        <v>1.353149999999993</v>
      </c>
      <c r="D125" s="16">
        <f>(1.353+1.27)/2*60</f>
        <v>78.690000000000012</v>
      </c>
      <c r="E125" s="14"/>
    </row>
    <row r="126" spans="1:12" ht="19.5" customHeight="1">
      <c r="A126" s="8">
        <v>5640</v>
      </c>
      <c r="B126" s="8">
        <f t="shared" si="18"/>
        <v>60</v>
      </c>
      <c r="C126" s="10">
        <f>'fc (3)'!N1006</f>
        <v>1.241750000000011</v>
      </c>
      <c r="D126" s="16">
        <f>(1.353+1.242)/2*60</f>
        <v>77.849999999999994</v>
      </c>
      <c r="E126" s="14"/>
    </row>
    <row r="127" spans="1:12" ht="22.5" customHeight="1">
      <c r="A127" s="8">
        <v>5700</v>
      </c>
      <c r="B127" s="8">
        <f t="shared" si="18"/>
        <v>60</v>
      </c>
      <c r="C127" s="10">
        <f>'fc (3)'!N1051</f>
        <v>1.4764500000000103</v>
      </c>
      <c r="D127" s="16">
        <f>(1.476+1.242)/2*60</f>
        <v>81.539999999999992</v>
      </c>
      <c r="E127" s="14"/>
    </row>
    <row r="128" spans="1:12" ht="23.25" customHeight="1">
      <c r="A128" s="8">
        <v>5760</v>
      </c>
      <c r="B128" s="8">
        <f t="shared" si="18"/>
        <v>60</v>
      </c>
      <c r="C128" s="10">
        <f>'fc (3)'!N1090</f>
        <v>1.3538499999999958</v>
      </c>
      <c r="D128" s="16">
        <f>(1.476+1.354)/2*60</f>
        <v>84.9</v>
      </c>
      <c r="E128" s="14"/>
    </row>
    <row r="129" spans="1:5" ht="22.5" customHeight="1">
      <c r="A129" s="8">
        <v>5820</v>
      </c>
      <c r="B129" s="8">
        <f t="shared" si="18"/>
        <v>60</v>
      </c>
      <c r="C129" s="10">
        <f>'fc (3)'!N1133</f>
        <v>1.2607500000000167</v>
      </c>
      <c r="D129" s="16">
        <f>(1.261+1.354)/2*60</f>
        <v>78.45</v>
      </c>
      <c r="E129" s="14"/>
    </row>
    <row r="130" spans="1:5" ht="19.5" customHeight="1">
      <c r="A130" s="8">
        <v>5880</v>
      </c>
      <c r="B130" s="8">
        <f t="shared" si="18"/>
        <v>60</v>
      </c>
      <c r="C130" s="10">
        <f>'fc (3)'!N1174</f>
        <v>1.2781500000000077</v>
      </c>
      <c r="D130" s="16">
        <f>(1.261+1.278)/2*60</f>
        <v>76.169999999999987</v>
      </c>
      <c r="E130" s="14"/>
    </row>
    <row r="131" spans="1:5" ht="22.5" customHeight="1">
      <c r="A131" s="8">
        <v>5940</v>
      </c>
      <c r="B131" s="8">
        <f t="shared" si="18"/>
        <v>60</v>
      </c>
      <c r="C131" s="10">
        <f>'fc (3)'!N1222</f>
        <v>1.3319499999999977</v>
      </c>
      <c r="D131" s="16">
        <f>(1.332+1.278)/2*60</f>
        <v>78.300000000000011</v>
      </c>
      <c r="E131" s="14"/>
    </row>
    <row r="132" spans="1:5" ht="19.5" customHeight="1">
      <c r="A132" s="8">
        <v>6000</v>
      </c>
      <c r="B132" s="8">
        <f t="shared" si="18"/>
        <v>60</v>
      </c>
      <c r="C132" s="10">
        <f>'fc (3)'!N1257</f>
        <v>1.5169999999999999</v>
      </c>
      <c r="D132" s="16">
        <f>(1.332+1.517)/2*60</f>
        <v>85.47</v>
      </c>
      <c r="E132" s="14"/>
    </row>
    <row r="133" spans="1:5" ht="22.5" customHeight="1">
      <c r="A133" s="8">
        <v>6060</v>
      </c>
      <c r="B133" s="8">
        <f t="shared" si="18"/>
        <v>60</v>
      </c>
      <c r="C133" s="10">
        <f>'fc (3)'!N1304</f>
        <v>1.371249999999995</v>
      </c>
      <c r="D133" s="16">
        <f>(1.371+1.517)/2*60</f>
        <v>86.64</v>
      </c>
      <c r="E133" s="14"/>
    </row>
    <row r="134" spans="1:5" ht="23.25" customHeight="1">
      <c r="A134" s="8">
        <v>6120</v>
      </c>
      <c r="B134" s="8">
        <f>A134-A133</f>
        <v>60</v>
      </c>
      <c r="C134" s="10">
        <f>'fc (3)'!N1341</f>
        <v>1.5537499999999722</v>
      </c>
      <c r="D134" s="16">
        <f>(1.371+1.554)/2*60</f>
        <v>87.75</v>
      </c>
      <c r="E134" s="14"/>
    </row>
    <row r="135" spans="1:5" ht="22.5" customHeight="1">
      <c r="A135" s="8">
        <v>6180</v>
      </c>
      <c r="B135" s="8">
        <f t="shared" ref="B135:B143" si="19">A135-A134</f>
        <v>60</v>
      </c>
      <c r="C135" s="10">
        <f>'fc (3)'!N1382</f>
        <v>1.4971999999999739</v>
      </c>
      <c r="D135" s="16">
        <f>(1.497+1.554)/2*60</f>
        <v>91.53</v>
      </c>
      <c r="E135" s="14"/>
    </row>
    <row r="136" spans="1:5" ht="19.5" customHeight="1">
      <c r="A136" s="8">
        <v>6240</v>
      </c>
      <c r="B136" s="8">
        <f t="shared" si="19"/>
        <v>60</v>
      </c>
      <c r="C136" s="10">
        <f>'fc (3)'!N1425</f>
        <v>1.2904500000000083</v>
      </c>
      <c r="D136" s="16">
        <f>(1.497+1.29)/2*60</f>
        <v>83.61</v>
      </c>
      <c r="E136" s="14"/>
    </row>
    <row r="137" spans="1:5" ht="22.5" customHeight="1">
      <c r="A137" s="8">
        <v>6300</v>
      </c>
      <c r="B137" s="8">
        <f t="shared" si="19"/>
        <v>60</v>
      </c>
      <c r="C137" s="10">
        <f>'fc (4)'!N10</f>
        <v>1.3551999999999966</v>
      </c>
      <c r="D137" s="16">
        <f>(1.355+1.29)/2*60</f>
        <v>79.349999999999994</v>
      </c>
      <c r="E137" s="14"/>
    </row>
    <row r="138" spans="1:5" ht="23.25" customHeight="1">
      <c r="A138" s="8">
        <v>6360</v>
      </c>
      <c r="B138" s="8">
        <f t="shared" si="19"/>
        <v>60</v>
      </c>
      <c r="C138" s="10">
        <f>'fc (4)'!N45</f>
        <v>1.3613499999999936</v>
      </c>
      <c r="D138" s="16">
        <f>(1.355+1.361)/2*60</f>
        <v>81.48</v>
      </c>
      <c r="E138" s="14"/>
    </row>
    <row r="139" spans="1:5" ht="22.5" customHeight="1">
      <c r="A139" s="8">
        <v>6420</v>
      </c>
      <c r="B139" s="8">
        <f t="shared" si="19"/>
        <v>60</v>
      </c>
      <c r="C139" s="10">
        <f>'fc (4)'!N89</f>
        <v>1.5469999999999799</v>
      </c>
      <c r="D139" s="16">
        <f>(1.547+1.361)/2*60</f>
        <v>87.24</v>
      </c>
      <c r="E139" s="14"/>
    </row>
    <row r="140" spans="1:5" ht="19.5" customHeight="1">
      <c r="A140" s="8">
        <v>6480</v>
      </c>
      <c r="B140" s="8">
        <f t="shared" si="19"/>
        <v>60</v>
      </c>
      <c r="C140" s="10">
        <f>'fc (4)'!N127</f>
        <v>1.4675000000000065</v>
      </c>
      <c r="D140" s="16">
        <f>(1.547+1.468)/2*60</f>
        <v>90.449999999999989</v>
      </c>
      <c r="E140" s="14"/>
    </row>
    <row r="141" spans="1:5" ht="22.5" customHeight="1">
      <c r="A141" s="8">
        <v>6540</v>
      </c>
      <c r="B141" s="8">
        <f t="shared" si="19"/>
        <v>60</v>
      </c>
      <c r="C141" s="10">
        <f>'fc (4)'!N172</f>
        <v>1.2647999999999699</v>
      </c>
      <c r="D141" s="16">
        <f>(1.265+1.468)/2*60</f>
        <v>81.99</v>
      </c>
      <c r="E141" s="14"/>
    </row>
    <row r="142" spans="1:5" ht="19.5" customHeight="1">
      <c r="A142" s="8">
        <v>6600</v>
      </c>
      <c r="B142" s="8">
        <f t="shared" si="19"/>
        <v>60</v>
      </c>
      <c r="C142" s="10">
        <f>'fc (4)'!N212</f>
        <v>1.5313500000000173</v>
      </c>
      <c r="D142" s="16">
        <f>(1.265+1.531)/2*60</f>
        <v>83.88</v>
      </c>
      <c r="E142" s="14"/>
    </row>
    <row r="143" spans="1:5" ht="22.5" customHeight="1">
      <c r="A143" s="8">
        <v>6660</v>
      </c>
      <c r="B143" s="8">
        <f t="shared" si="19"/>
        <v>60</v>
      </c>
      <c r="C143" s="10">
        <f>'fc (4)'!N255</f>
        <v>1.7104999999999939</v>
      </c>
      <c r="D143" s="16">
        <f>(1.71+1.531)/2*60</f>
        <v>97.22999999999999</v>
      </c>
      <c r="E143" s="14"/>
    </row>
    <row r="144" spans="1:5" ht="23.25" customHeight="1">
      <c r="A144" s="8">
        <v>6720</v>
      </c>
      <c r="B144" s="8">
        <f>A144-A143</f>
        <v>60</v>
      </c>
      <c r="C144" s="10">
        <f>'fc (4)'!N290</f>
        <v>1.1972499999999762</v>
      </c>
      <c r="D144" s="16">
        <f>(1.71+1.197)/2*60</f>
        <v>87.210000000000008</v>
      </c>
      <c r="E144" s="14"/>
    </row>
    <row r="145" spans="1:5" ht="22.5" customHeight="1">
      <c r="A145" s="8">
        <v>6780</v>
      </c>
      <c r="B145" s="8">
        <f t="shared" ref="B145:B147" si="20">A145-A144</f>
        <v>60</v>
      </c>
      <c r="C145" s="10">
        <f>'fc (4)'!N338</f>
        <v>1.2628500000000069</v>
      </c>
      <c r="D145" s="16">
        <f>(1.263+1.197)/2*60</f>
        <v>73.8</v>
      </c>
      <c r="E145" s="14"/>
    </row>
    <row r="146" spans="1:5" ht="19.5" customHeight="1">
      <c r="A146" s="8">
        <v>6840</v>
      </c>
      <c r="B146" s="8">
        <f t="shared" si="20"/>
        <v>60</v>
      </c>
      <c r="C146" s="10">
        <f>'fc (4)'!N374</f>
        <v>1.2974999999999917</v>
      </c>
      <c r="D146" s="16">
        <f>(1.263+1.297)/2*60</f>
        <v>76.799999999999983</v>
      </c>
      <c r="E146" s="14"/>
    </row>
    <row r="147" spans="1:5" ht="22.5" customHeight="1">
      <c r="A147" s="8">
        <v>6900</v>
      </c>
      <c r="B147" s="8">
        <f t="shared" si="20"/>
        <v>60</v>
      </c>
      <c r="C147" s="10">
        <f>'fc (4)'!N421</f>
        <v>0.88244999999999285</v>
      </c>
      <c r="D147" s="16">
        <f>(0.882+1.297)/2*60</f>
        <v>65.36999999999999</v>
      </c>
      <c r="E147" s="14"/>
    </row>
    <row r="148" spans="1:5" ht="22.5" customHeight="1">
      <c r="A148" s="15"/>
      <c r="B148" s="15"/>
      <c r="C148" s="16"/>
      <c r="D148" s="17">
        <f>SUM(D4:D147)</f>
        <v>7361.6714999999976</v>
      </c>
      <c r="E148" s="19" t="s">
        <v>14</v>
      </c>
    </row>
    <row r="149" spans="1:5" s="18" customFormat="1"/>
    <row r="150" spans="1:5" s="18" customFormat="1"/>
    <row r="151" spans="1:5" s="18" customFormat="1">
      <c r="D151" s="28"/>
    </row>
    <row r="152" spans="1:5" s="18" customFormat="1"/>
    <row r="153" spans="1:5" s="18" customFormat="1"/>
    <row r="154" spans="1:5" s="18" customFormat="1"/>
    <row r="155" spans="1:5" s="18" customFormat="1">
      <c r="A155"/>
      <c r="B155"/>
      <c r="C155"/>
      <c r="D155"/>
    </row>
    <row r="156" spans="1:5" s="18" customFormat="1">
      <c r="A156"/>
      <c r="B156"/>
      <c r="C156"/>
      <c r="D156"/>
    </row>
    <row r="157" spans="1:5" s="18" customFormat="1">
      <c r="A157"/>
      <c r="B157"/>
      <c r="C157"/>
      <c r="D157"/>
    </row>
    <row r="158" spans="1:5" s="18" customFormat="1">
      <c r="A158"/>
      <c r="B158"/>
      <c r="C158"/>
      <c r="D158"/>
    </row>
    <row r="159" spans="1:5" s="18" customFormat="1">
      <c r="A159"/>
      <c r="B159"/>
      <c r="C159"/>
      <c r="D159"/>
    </row>
    <row r="160" spans="1:5" s="18" customFormat="1">
      <c r="A160"/>
      <c r="B160"/>
      <c r="C160"/>
      <c r="D160"/>
    </row>
    <row r="161" spans="1:4" s="18" customFormat="1">
      <c r="A161"/>
      <c r="B161"/>
      <c r="C161"/>
      <c r="D161"/>
    </row>
    <row r="162" spans="1:4" s="18" customFormat="1">
      <c r="A162"/>
      <c r="B162"/>
      <c r="C162"/>
      <c r="D162"/>
    </row>
  </sheetData>
  <mergeCells count="6">
    <mergeCell ref="A1:E1"/>
    <mergeCell ref="A2:A3"/>
    <mergeCell ref="B2:B3"/>
    <mergeCell ref="C2:C3"/>
    <mergeCell ref="D2:D3"/>
    <mergeCell ref="E2:E3"/>
  </mergeCells>
  <pageMargins left="1.2" right="0.7" top="0.75" bottom="0.75" header="0.3" footer="0.3"/>
  <pageSetup paperSize="9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P1731"/>
  <sheetViews>
    <sheetView view="pageBreakPreview" topLeftCell="A409" zoomScaleSheetLayoutView="100" workbookViewId="0">
      <selection activeCell="F418" sqref="F418"/>
    </sheetView>
  </sheetViews>
  <sheetFormatPr defaultRowHeight="15"/>
  <cols>
    <col min="1" max="1" width="14.42578125" customWidth="1"/>
    <col min="2" max="2" width="10.42578125" customWidth="1"/>
    <col min="3" max="3" width="9.7109375" customWidth="1"/>
    <col min="4" max="4" width="11.5703125" customWidth="1"/>
    <col min="5" max="5" width="9.7109375" customWidth="1"/>
    <col min="6" max="6" width="7.5703125" customWidth="1"/>
    <col min="7" max="8" width="9.7109375" customWidth="1"/>
    <col min="9" max="9" width="10.85546875" customWidth="1"/>
    <col min="10" max="12" width="9.7109375" customWidth="1"/>
    <col min="13" max="14" width="8.5703125" customWidth="1"/>
  </cols>
  <sheetData>
    <row r="1" spans="1:15" ht="24.75" customHeight="1">
      <c r="A1" s="183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5" ht="24.75" customHeight="1">
      <c r="A2" s="177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</row>
    <row r="3" spans="1:15" ht="18" customHeight="1">
      <c r="A3" s="184" t="s">
        <v>0</v>
      </c>
      <c r="B3" s="185"/>
      <c r="C3" s="185"/>
      <c r="D3" s="185"/>
      <c r="E3" s="185"/>
      <c r="F3" s="185"/>
      <c r="G3" s="20">
        <v>6300</v>
      </c>
      <c r="H3" s="1" t="s">
        <v>15</v>
      </c>
      <c r="I3" s="1"/>
      <c r="J3" s="33"/>
      <c r="K3" s="1"/>
      <c r="L3" s="1"/>
      <c r="M3" s="1"/>
      <c r="N3" s="1"/>
    </row>
    <row r="4" spans="1:15" ht="18" customHeight="1">
      <c r="A4" s="42" t="s">
        <v>1</v>
      </c>
      <c r="B4" s="82"/>
      <c r="C4" s="83">
        <v>0</v>
      </c>
      <c r="D4" s="84">
        <v>0.6</v>
      </c>
      <c r="E4" s="84">
        <v>0.7</v>
      </c>
      <c r="F4" s="85">
        <v>1.7</v>
      </c>
      <c r="G4" s="85">
        <v>2.7</v>
      </c>
      <c r="H4" s="84">
        <v>2.8</v>
      </c>
      <c r="I4" s="52">
        <v>3.6</v>
      </c>
      <c r="J4" s="52"/>
      <c r="K4" s="84"/>
      <c r="L4" s="86"/>
      <c r="M4" s="45"/>
      <c r="N4" s="47"/>
      <c r="O4" s="22"/>
    </row>
    <row r="5" spans="1:15" ht="18" customHeight="1">
      <c r="A5" s="42" t="s">
        <v>2</v>
      </c>
      <c r="B5" s="82"/>
      <c r="C5" s="83">
        <v>95.24</v>
      </c>
      <c r="D5" s="84">
        <v>94.11</v>
      </c>
      <c r="E5" s="84">
        <v>94.11</v>
      </c>
      <c r="F5" s="84">
        <v>94.11</v>
      </c>
      <c r="G5" s="84">
        <v>94.11</v>
      </c>
      <c r="H5" s="84">
        <v>94.11</v>
      </c>
      <c r="I5" s="84">
        <v>95.42</v>
      </c>
      <c r="J5" s="84"/>
      <c r="K5" s="84"/>
      <c r="L5" s="86"/>
      <c r="M5" s="45"/>
      <c r="N5" s="47"/>
      <c r="O5" s="21"/>
    </row>
    <row r="6" spans="1:15" ht="18" customHeight="1">
      <c r="A6" s="42" t="s">
        <v>1</v>
      </c>
      <c r="B6" s="82"/>
      <c r="C6" s="83">
        <v>0</v>
      </c>
      <c r="D6" s="84">
        <v>0.6</v>
      </c>
      <c r="E6" s="84">
        <v>0.7</v>
      </c>
      <c r="F6" s="85">
        <v>1.7</v>
      </c>
      <c r="G6" s="85">
        <v>2.7</v>
      </c>
      <c r="H6" s="84">
        <v>2.8</v>
      </c>
      <c r="I6" s="52">
        <v>3.6</v>
      </c>
      <c r="J6" s="52"/>
      <c r="K6" s="84"/>
      <c r="L6" s="86"/>
      <c r="M6" s="45"/>
      <c r="N6" s="47"/>
      <c r="O6" s="22"/>
    </row>
    <row r="7" spans="1:15" ht="18" customHeight="1">
      <c r="A7" s="42" t="s">
        <v>3</v>
      </c>
      <c r="B7" s="87"/>
      <c r="C7" s="83">
        <v>95.24</v>
      </c>
      <c r="D7" s="84">
        <v>94.649000000000001</v>
      </c>
      <c r="E7" s="84">
        <v>94.55</v>
      </c>
      <c r="F7" s="84">
        <v>94.55</v>
      </c>
      <c r="G7" s="84">
        <v>94.55</v>
      </c>
      <c r="H7" s="84">
        <v>94.649000000000001</v>
      </c>
      <c r="I7" s="84">
        <v>95.42</v>
      </c>
      <c r="J7" s="84"/>
      <c r="K7" s="84"/>
      <c r="L7" s="86"/>
      <c r="M7" s="45"/>
      <c r="N7" s="52"/>
      <c r="O7" s="23"/>
    </row>
    <row r="8" spans="1:15" ht="18" customHeight="1">
      <c r="A8" s="42" t="s">
        <v>18</v>
      </c>
      <c r="B8" s="87"/>
      <c r="C8" s="52">
        <f t="shared" ref="C8" si="0">C5-C7</f>
        <v>0</v>
      </c>
      <c r="D8" s="52">
        <f>D7-D5</f>
        <v>0.53900000000000148</v>
      </c>
      <c r="E8" s="52">
        <f t="shared" ref="E8:I8" si="1">E7-E5</f>
        <v>0.43999999999999773</v>
      </c>
      <c r="F8" s="52">
        <f t="shared" si="1"/>
        <v>0.43999999999999773</v>
      </c>
      <c r="G8" s="52">
        <f t="shared" si="1"/>
        <v>0.43999999999999773</v>
      </c>
      <c r="H8" s="52">
        <f t="shared" si="1"/>
        <v>0.53900000000000148</v>
      </c>
      <c r="I8" s="52">
        <f t="shared" si="1"/>
        <v>0</v>
      </c>
      <c r="J8" s="52"/>
      <c r="K8" s="52"/>
      <c r="L8" s="52"/>
      <c r="M8" s="47"/>
      <c r="N8" s="47"/>
      <c r="O8" s="21"/>
    </row>
    <row r="9" spans="1:15" ht="18" customHeight="1">
      <c r="A9" s="42" t="s">
        <v>5</v>
      </c>
      <c r="B9" s="87"/>
      <c r="C9" s="52">
        <f t="shared" ref="C9" si="2">(C8+B8)/2*(C4-B4)</f>
        <v>0</v>
      </c>
      <c r="D9" s="52">
        <f>(D8+C8)/2*(D4-C4)</f>
        <v>0.16170000000000043</v>
      </c>
      <c r="E9" s="52">
        <f t="shared" ref="E9:I9" si="3">(E8+D8)/2*(E4-D4)</f>
        <v>4.8949999999999952E-2</v>
      </c>
      <c r="F9" s="52">
        <f t="shared" si="3"/>
        <v>0.43999999999999773</v>
      </c>
      <c r="G9" s="52">
        <f t="shared" si="3"/>
        <v>0.43999999999999784</v>
      </c>
      <c r="H9" s="52">
        <f t="shared" si="3"/>
        <v>4.8949999999999785E-2</v>
      </c>
      <c r="I9" s="52">
        <f t="shared" si="3"/>
        <v>0.21560000000000065</v>
      </c>
      <c r="J9" s="52"/>
      <c r="K9" s="52"/>
      <c r="L9" s="52"/>
      <c r="M9" s="47"/>
      <c r="N9" s="77">
        <f>SUM(B9:M9)</f>
        <v>1.3551999999999966</v>
      </c>
      <c r="O9" s="21"/>
    </row>
    <row r="10" spans="1:15" ht="18" customHeight="1">
      <c r="A10" s="2"/>
      <c r="B10" s="2"/>
      <c r="C10" s="30"/>
      <c r="D10" s="30"/>
      <c r="E10" s="4"/>
      <c r="F10" s="4"/>
      <c r="G10" s="4"/>
      <c r="H10" s="4"/>
      <c r="I10" s="4"/>
      <c r="J10" s="179" t="s">
        <v>6</v>
      </c>
      <c r="K10" s="179"/>
      <c r="L10" s="179"/>
      <c r="M10" s="179"/>
      <c r="N10" s="110">
        <f>N9</f>
        <v>1.3551999999999966</v>
      </c>
      <c r="O10" s="21"/>
    </row>
    <row r="11" spans="1:15" ht="18" customHeight="1">
      <c r="A11" s="24"/>
      <c r="B11" s="78"/>
      <c r="C11" s="18"/>
      <c r="D11" s="18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4.1" customHeight="1">
      <c r="A12" s="2"/>
      <c r="B12" s="2"/>
      <c r="C12" s="30"/>
      <c r="D12" s="30"/>
      <c r="E12" s="4"/>
      <c r="F12" s="4"/>
      <c r="G12" s="4"/>
      <c r="H12" s="4"/>
      <c r="I12" s="4"/>
      <c r="J12" s="180"/>
      <c r="K12" s="180"/>
      <c r="L12" s="180"/>
      <c r="M12" s="180"/>
      <c r="N12" s="30"/>
    </row>
    <row r="13" spans="1:15" ht="14.1" customHeight="1">
      <c r="A13" s="6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5" ht="14.1" customHeight="1">
      <c r="A14" s="6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5" ht="14.1" customHeight="1">
      <c r="A15" s="6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5" ht="14.1" customHeight="1">
      <c r="A16" s="6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ht="14.1" customHeight="1">
      <c r="A17" s="6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ht="14.1" customHeight="1">
      <c r="A18" s="6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ht="14.1" customHeight="1">
      <c r="A19" s="6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ht="14.1" customHeight="1">
      <c r="A20" s="6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ht="14.1" customHeight="1">
      <c r="A21" s="6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ht="14.1" customHeight="1">
      <c r="A22" s="6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 ht="14.1" customHeight="1">
      <c r="A23" s="6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 ht="14.1" customHeight="1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ht="14.1" customHeight="1">
      <c r="A25" s="6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ht="14.1" customHeight="1">
      <c r="A26" s="6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ht="14.1" customHeight="1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ht="14.1" customHeight="1">
      <c r="A28" s="6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ht="14.1" customHeight="1">
      <c r="A29" s="6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ht="14.1" customHeight="1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ht="14.1" customHeight="1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ht="14.1" customHeight="1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6" ht="14.1" customHeight="1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6" ht="14.1" customHeight="1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6" ht="14.1" customHeight="1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6" ht="14.1" customHeight="1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6" ht="14.1" customHeight="1">
      <c r="A37" s="6"/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6" ht="18.75" customHeight="1">
      <c r="A38" s="184" t="s">
        <v>0</v>
      </c>
      <c r="B38" s="185"/>
      <c r="C38" s="185"/>
      <c r="D38" s="185"/>
      <c r="E38" s="185"/>
      <c r="F38" s="186"/>
      <c r="G38" s="20">
        <v>6360</v>
      </c>
      <c r="H38" s="1" t="s">
        <v>15</v>
      </c>
      <c r="I38" s="1"/>
      <c r="J38" s="32"/>
      <c r="K38" s="1"/>
      <c r="L38" s="1"/>
      <c r="M38" s="1"/>
      <c r="N38" s="1"/>
    </row>
    <row r="39" spans="1:16" ht="18.75" customHeight="1">
      <c r="A39" s="42" t="s">
        <v>1</v>
      </c>
      <c r="B39" s="82"/>
      <c r="C39" s="83">
        <v>0</v>
      </c>
      <c r="D39" s="84">
        <v>0.6</v>
      </c>
      <c r="E39" s="84">
        <v>0.7</v>
      </c>
      <c r="F39" s="85">
        <v>1.7</v>
      </c>
      <c r="G39" s="85">
        <v>2.7</v>
      </c>
      <c r="H39" s="84">
        <v>2.8</v>
      </c>
      <c r="I39" s="52">
        <v>3.5</v>
      </c>
      <c r="J39" s="52"/>
      <c r="K39" s="84"/>
      <c r="L39" s="86"/>
      <c r="M39" s="45"/>
      <c r="N39" s="47"/>
      <c r="O39" s="22"/>
      <c r="P39" s="22"/>
    </row>
    <row r="40" spans="1:16" ht="18.75" customHeight="1">
      <c r="A40" s="42" t="s">
        <v>2</v>
      </c>
      <c r="B40" s="82"/>
      <c r="C40" s="83">
        <v>95.29</v>
      </c>
      <c r="D40" s="84">
        <v>93.86</v>
      </c>
      <c r="E40" s="84">
        <v>93.86</v>
      </c>
      <c r="F40" s="84">
        <v>93.86</v>
      </c>
      <c r="G40" s="84">
        <v>93.86</v>
      </c>
      <c r="H40" s="84">
        <v>93.86</v>
      </c>
      <c r="I40" s="84">
        <v>95.46</v>
      </c>
      <c r="J40" s="84"/>
      <c r="K40" s="84"/>
      <c r="L40" s="86"/>
      <c r="M40" s="45"/>
      <c r="N40" s="47"/>
      <c r="O40" s="21"/>
      <c r="P40" s="21"/>
    </row>
    <row r="41" spans="1:16" ht="18.75" customHeight="1">
      <c r="A41" s="42" t="s">
        <v>1</v>
      </c>
      <c r="B41" s="82"/>
      <c r="C41" s="83">
        <v>0</v>
      </c>
      <c r="D41" s="84">
        <v>0.6</v>
      </c>
      <c r="E41" s="84">
        <v>0.7</v>
      </c>
      <c r="F41" s="85">
        <v>1.7</v>
      </c>
      <c r="G41" s="85">
        <v>2.7</v>
      </c>
      <c r="H41" s="84">
        <v>2.8</v>
      </c>
      <c r="I41" s="52">
        <v>3.5</v>
      </c>
      <c r="J41" s="52"/>
      <c r="K41" s="84"/>
      <c r="L41" s="86"/>
      <c r="M41" s="45"/>
      <c r="N41" s="47"/>
      <c r="O41" s="22"/>
      <c r="P41" s="22"/>
    </row>
    <row r="42" spans="1:16" ht="18.75" customHeight="1">
      <c r="A42" s="42" t="s">
        <v>3</v>
      </c>
      <c r="B42" s="87"/>
      <c r="C42" s="83">
        <v>95.29</v>
      </c>
      <c r="D42" s="84">
        <v>94.441000000000003</v>
      </c>
      <c r="E42" s="84">
        <v>94.3</v>
      </c>
      <c r="F42" s="84">
        <v>94.3</v>
      </c>
      <c r="G42" s="84">
        <v>94.3</v>
      </c>
      <c r="H42" s="84">
        <v>94.444999999999993</v>
      </c>
      <c r="I42" s="84">
        <v>95.46</v>
      </c>
      <c r="J42" s="84"/>
      <c r="K42" s="84"/>
      <c r="L42" s="86"/>
      <c r="M42" s="45"/>
      <c r="N42" s="52"/>
      <c r="O42" s="23"/>
      <c r="P42" s="23"/>
    </row>
    <row r="43" spans="1:16" ht="18.75" customHeight="1">
      <c r="A43" s="42" t="s">
        <v>18</v>
      </c>
      <c r="B43" s="87"/>
      <c r="C43" s="52">
        <f t="shared" ref="C43" si="4">C40-C42</f>
        <v>0</v>
      </c>
      <c r="D43" s="52">
        <f>D42-D40</f>
        <v>0.58100000000000307</v>
      </c>
      <c r="E43" s="52">
        <f t="shared" ref="E43:I43" si="5">E42-E40</f>
        <v>0.43999999999999773</v>
      </c>
      <c r="F43" s="52">
        <f t="shared" si="5"/>
        <v>0.43999999999999773</v>
      </c>
      <c r="G43" s="52">
        <f t="shared" si="5"/>
        <v>0.43999999999999773</v>
      </c>
      <c r="H43" s="52">
        <f t="shared" si="5"/>
        <v>0.58499999999999375</v>
      </c>
      <c r="I43" s="52">
        <f t="shared" si="5"/>
        <v>0</v>
      </c>
      <c r="J43" s="52"/>
      <c r="K43" s="52"/>
      <c r="L43" s="52"/>
      <c r="M43" s="47"/>
      <c r="N43" s="47"/>
      <c r="O43" s="21"/>
      <c r="P43" s="21"/>
    </row>
    <row r="44" spans="1:16" ht="18.75" customHeight="1">
      <c r="A44" s="42" t="s">
        <v>5</v>
      </c>
      <c r="B44" s="87"/>
      <c r="C44" s="52">
        <f t="shared" ref="C44" si="6">(C43+B43)/2*(C39-B39)</f>
        <v>0</v>
      </c>
      <c r="D44" s="52">
        <f>(D43+C43)/2*(D39-C39)</f>
        <v>0.17430000000000093</v>
      </c>
      <c r="E44" s="52">
        <f t="shared" ref="E44" si="7">(E43+D43)/2*(E39-D39)</f>
        <v>5.1050000000000026E-2</v>
      </c>
      <c r="F44" s="52">
        <f t="shared" ref="F44" si="8">(F43+E43)/2*(F39-E39)</f>
        <v>0.43999999999999773</v>
      </c>
      <c r="G44" s="52">
        <f t="shared" ref="G44" si="9">(G43+F43)/2*(G39-F39)</f>
        <v>0.43999999999999784</v>
      </c>
      <c r="H44" s="52">
        <f t="shared" ref="H44" si="10">(H43+G43)/2*(H39-G39)</f>
        <v>5.1249999999999393E-2</v>
      </c>
      <c r="I44" s="52">
        <f t="shared" ref="I44" si="11">(I43+H43)/2*(I39-H39)</f>
        <v>0.20474999999999785</v>
      </c>
      <c r="J44" s="52"/>
      <c r="K44" s="52"/>
      <c r="L44" s="52"/>
      <c r="M44" s="47"/>
      <c r="N44" s="77">
        <f>SUM(B44:M44)</f>
        <v>1.3613499999999936</v>
      </c>
      <c r="O44" s="21"/>
      <c r="P44" s="21"/>
    </row>
    <row r="45" spans="1:16" ht="18.75" customHeight="1">
      <c r="A45" s="2"/>
      <c r="B45" s="2"/>
      <c r="C45" s="30"/>
      <c r="D45" s="30"/>
      <c r="E45" s="4"/>
      <c r="F45" s="4"/>
      <c r="G45" s="4"/>
      <c r="H45" s="4"/>
      <c r="I45" s="4"/>
      <c r="J45" s="179" t="s">
        <v>6</v>
      </c>
      <c r="K45" s="179"/>
      <c r="L45" s="179"/>
      <c r="M45" s="179"/>
      <c r="N45" s="110">
        <f>N44</f>
        <v>1.3613499999999936</v>
      </c>
      <c r="O45" s="21"/>
      <c r="P45" s="21"/>
    </row>
    <row r="46" spans="1:16" ht="18.75" customHeight="1">
      <c r="A46" s="24"/>
      <c r="B46" s="78"/>
      <c r="C46" s="18"/>
      <c r="D46" s="18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31"/>
      <c r="P46" s="21"/>
    </row>
    <row r="47" spans="1:16" ht="18.75" customHeight="1">
      <c r="A47" s="2"/>
      <c r="B47" s="2"/>
      <c r="C47" s="30"/>
      <c r="D47" s="30"/>
      <c r="E47" s="4"/>
      <c r="F47" s="4"/>
      <c r="G47" s="4"/>
      <c r="H47" s="4"/>
      <c r="I47" s="4"/>
      <c r="J47" s="180"/>
      <c r="K47" s="180"/>
      <c r="L47" s="180"/>
      <c r="M47" s="180"/>
      <c r="N47" s="30"/>
    </row>
    <row r="48" spans="1:16" ht="14.1" customHeight="1">
      <c r="A48" s="6"/>
      <c r="B48" s="6"/>
      <c r="C48" s="7"/>
      <c r="D48" s="7"/>
      <c r="E48" s="7"/>
      <c r="F48" s="7"/>
      <c r="G48" s="7"/>
      <c r="H48" s="7"/>
      <c r="I48" s="7"/>
      <c r="K48" s="7"/>
      <c r="L48" s="7"/>
      <c r="M48" s="7"/>
      <c r="N48" s="7"/>
    </row>
    <row r="49" spans="1:14" ht="14.1" customHeight="1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ht="14.1" customHeight="1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ht="14.1" customHeight="1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ht="14.1" customHeight="1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ht="14.1" customHeight="1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ht="14.1" customHeight="1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 ht="14.1" customHeight="1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 ht="14.1" customHeight="1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 ht="14.1" customHeight="1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1:14" ht="14.1" customHeight="1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 ht="14.1" customHeight="1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 ht="14.1" customHeight="1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4" ht="14.1" customHeight="1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 ht="14.1" customHeight="1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4" ht="14.1" customHeight="1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1:14" ht="14.1" customHeight="1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1:14" ht="14.1" customHeight="1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spans="1:14" ht="14.1" customHeight="1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1:14" ht="14.1" customHeight="1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1:14" ht="14.1" customHeight="1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1:14" ht="14.1" customHeight="1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1:14" ht="14.1" customHeight="1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1:14" ht="14.1" customHeight="1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spans="1:14" ht="14.1" customHeight="1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spans="1:14" ht="14.1" customHeight="1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spans="1:14" ht="14.1" customHeight="1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1:14" ht="14.1" customHeight="1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1:14" ht="14.1" customHeight="1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1:14" ht="14.1" customHeight="1">
      <c r="B77" s="181"/>
      <c r="C77" s="181"/>
      <c r="D77" s="181"/>
      <c r="E77" s="25"/>
      <c r="F77" s="25"/>
      <c r="G77" s="167"/>
      <c r="H77" s="167"/>
      <c r="I77" s="167"/>
      <c r="J77" s="7"/>
      <c r="K77" s="182"/>
      <c r="L77" s="182"/>
    </row>
    <row r="78" spans="1:14" ht="14.1" customHeight="1">
      <c r="B78" s="170"/>
      <c r="C78" s="170"/>
      <c r="D78" s="170"/>
      <c r="E78" s="26"/>
      <c r="F78" s="26"/>
      <c r="G78" s="170"/>
      <c r="H78" s="170"/>
      <c r="I78" s="170"/>
      <c r="J78" s="25"/>
      <c r="K78" s="171"/>
      <c r="L78" s="171"/>
    </row>
    <row r="79" spans="1:14" ht="14.1" customHeight="1">
      <c r="A79" s="6"/>
      <c r="B79" s="6"/>
      <c r="C79" s="7"/>
      <c r="D79" s="7"/>
      <c r="E79" s="7"/>
      <c r="F79" s="7"/>
      <c r="G79" s="7"/>
      <c r="H79" s="7"/>
      <c r="I79" s="7"/>
      <c r="J79" s="27"/>
      <c r="K79" s="7"/>
      <c r="L79" s="7"/>
      <c r="M79" s="7"/>
      <c r="N79" s="7"/>
    </row>
    <row r="80" spans="1:14" ht="14.1" customHeight="1">
      <c r="A80" s="6"/>
      <c r="B80" s="6"/>
      <c r="C80" s="7"/>
      <c r="D80" s="7"/>
      <c r="E80" s="7"/>
      <c r="F80" s="7"/>
      <c r="G80" s="7"/>
      <c r="H80" s="7"/>
      <c r="I80" s="7"/>
      <c r="J80" s="27"/>
      <c r="K80" s="7"/>
      <c r="L80" s="7"/>
      <c r="M80" s="7"/>
      <c r="N80" s="7"/>
    </row>
    <row r="81" spans="1:16" ht="14.1" customHeight="1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spans="1:16" ht="18" customHeight="1">
      <c r="A82" s="184" t="s">
        <v>0</v>
      </c>
      <c r="B82" s="185"/>
      <c r="C82" s="185"/>
      <c r="D82" s="185"/>
      <c r="E82" s="185"/>
      <c r="F82" s="185"/>
      <c r="G82" s="20">
        <v>6420</v>
      </c>
      <c r="H82" s="1" t="s">
        <v>15</v>
      </c>
      <c r="I82" s="1"/>
      <c r="J82" s="32"/>
      <c r="K82" s="1"/>
      <c r="L82" s="1"/>
      <c r="M82" s="1"/>
      <c r="N82" s="1"/>
    </row>
    <row r="83" spans="1:16" ht="18" customHeight="1">
      <c r="A83" s="42" t="s">
        <v>1</v>
      </c>
      <c r="B83" s="82"/>
      <c r="C83" s="83">
        <v>0</v>
      </c>
      <c r="D83" s="84">
        <v>0.6</v>
      </c>
      <c r="E83" s="84">
        <v>0.7</v>
      </c>
      <c r="F83" s="85">
        <v>1.7</v>
      </c>
      <c r="G83" s="85">
        <v>2.7</v>
      </c>
      <c r="H83" s="84">
        <v>2.8</v>
      </c>
      <c r="I83" s="52">
        <v>3.6</v>
      </c>
      <c r="J83" s="52"/>
      <c r="K83" s="84"/>
      <c r="L83" s="86"/>
      <c r="M83" s="45"/>
      <c r="N83" s="47"/>
      <c r="O83" s="22"/>
      <c r="P83" s="22"/>
    </row>
    <row r="84" spans="1:16" ht="18" customHeight="1">
      <c r="A84" s="42" t="s">
        <v>2</v>
      </c>
      <c r="B84" s="82"/>
      <c r="C84" s="83">
        <v>94.69</v>
      </c>
      <c r="D84" s="84">
        <v>93.59</v>
      </c>
      <c r="E84" s="84">
        <v>93.59</v>
      </c>
      <c r="F84" s="84">
        <v>93.59</v>
      </c>
      <c r="G84" s="84">
        <v>93.59</v>
      </c>
      <c r="H84" s="84">
        <v>93.59</v>
      </c>
      <c r="I84" s="84">
        <v>94.89</v>
      </c>
      <c r="J84" s="84"/>
      <c r="K84" s="84"/>
      <c r="L84" s="86"/>
      <c r="M84" s="45"/>
      <c r="N84" s="47"/>
      <c r="O84" s="21"/>
      <c r="P84" s="21"/>
    </row>
    <row r="85" spans="1:16" ht="18" customHeight="1">
      <c r="A85" s="42" t="s">
        <v>1</v>
      </c>
      <c r="B85" s="82"/>
      <c r="C85" s="83">
        <v>0</v>
      </c>
      <c r="D85" s="84">
        <v>0.6</v>
      </c>
      <c r="E85" s="84">
        <v>0.7</v>
      </c>
      <c r="F85" s="85">
        <v>1.7</v>
      </c>
      <c r="G85" s="85">
        <v>2.7</v>
      </c>
      <c r="H85" s="84">
        <v>2.8</v>
      </c>
      <c r="I85" s="52">
        <v>3.6</v>
      </c>
      <c r="J85" s="52"/>
      <c r="K85" s="84"/>
      <c r="L85" s="86"/>
      <c r="M85" s="45"/>
      <c r="N85" s="47"/>
      <c r="O85" s="22"/>
      <c r="P85" s="22"/>
    </row>
    <row r="86" spans="1:16" ht="18" customHeight="1">
      <c r="A86" s="42" t="s">
        <v>3</v>
      </c>
      <c r="B86" s="87"/>
      <c r="C86" s="83">
        <v>94.69</v>
      </c>
      <c r="D86" s="84">
        <v>94.185000000000002</v>
      </c>
      <c r="E86" s="84">
        <v>94.1</v>
      </c>
      <c r="F86" s="84">
        <v>94.1</v>
      </c>
      <c r="G86" s="84">
        <v>94.1</v>
      </c>
      <c r="H86" s="84">
        <v>94.185000000000002</v>
      </c>
      <c r="I86" s="84">
        <v>94.89</v>
      </c>
      <c r="J86" s="84"/>
      <c r="K86" s="84"/>
      <c r="L86" s="86"/>
      <c r="M86" s="45"/>
      <c r="N86" s="52"/>
      <c r="O86" s="23"/>
      <c r="P86" s="23"/>
    </row>
    <row r="87" spans="1:16" ht="18" customHeight="1">
      <c r="A87" s="42" t="s">
        <v>18</v>
      </c>
      <c r="B87" s="87"/>
      <c r="C87" s="52">
        <f t="shared" ref="C87" si="12">C84-C86</f>
        <v>0</v>
      </c>
      <c r="D87" s="52">
        <f>D86-D84</f>
        <v>0.59499999999999886</v>
      </c>
      <c r="E87" s="52">
        <f t="shared" ref="E87:I87" si="13">E86-E84</f>
        <v>0.50999999999999091</v>
      </c>
      <c r="F87" s="52">
        <f t="shared" si="13"/>
        <v>0.50999999999999091</v>
      </c>
      <c r="G87" s="52">
        <f t="shared" si="13"/>
        <v>0.50999999999999091</v>
      </c>
      <c r="H87" s="52">
        <f t="shared" si="13"/>
        <v>0.59499999999999886</v>
      </c>
      <c r="I87" s="52">
        <f t="shared" si="13"/>
        <v>0</v>
      </c>
      <c r="J87" s="52"/>
      <c r="K87" s="52"/>
      <c r="L87" s="52"/>
      <c r="M87" s="47"/>
      <c r="N87" s="47"/>
      <c r="O87" s="21"/>
      <c r="P87" s="21"/>
    </row>
    <row r="88" spans="1:16" ht="18" customHeight="1">
      <c r="A88" s="42" t="s">
        <v>5</v>
      </c>
      <c r="B88" s="87"/>
      <c r="C88" s="52">
        <f t="shared" ref="C88" si="14">(C87+B87)/2*(C83-B83)</f>
        <v>0</v>
      </c>
      <c r="D88" s="52">
        <f>(D87+C87)/2*(D83-C83)</f>
        <v>0.17849999999999966</v>
      </c>
      <c r="E88" s="52">
        <f t="shared" ref="E88" si="15">(E87+D87)/2*(E83-D83)</f>
        <v>5.5249999999999473E-2</v>
      </c>
      <c r="F88" s="52">
        <f t="shared" ref="F88" si="16">(F87+E87)/2*(F83-E83)</f>
        <v>0.50999999999999091</v>
      </c>
      <c r="G88" s="52">
        <f t="shared" ref="G88" si="17">(G87+F87)/2*(G83-F83)</f>
        <v>0.50999999999999102</v>
      </c>
      <c r="H88" s="52">
        <f t="shared" ref="H88" si="18">(H87+G87)/2*(H83-G83)</f>
        <v>5.5249999999999293E-2</v>
      </c>
      <c r="I88" s="52">
        <f t="shared" ref="I88" si="19">(I87+H87)/2*(I83-H83)</f>
        <v>0.23799999999999963</v>
      </c>
      <c r="J88" s="52"/>
      <c r="K88" s="52"/>
      <c r="L88" s="52"/>
      <c r="M88" s="47"/>
      <c r="N88" s="77">
        <f>SUM(B88:M88)</f>
        <v>1.5469999999999799</v>
      </c>
      <c r="O88" s="21"/>
      <c r="P88" s="21"/>
    </row>
    <row r="89" spans="1:16" ht="18" customHeight="1">
      <c r="A89" s="2"/>
      <c r="B89" s="2"/>
      <c r="C89" s="30"/>
      <c r="D89" s="30"/>
      <c r="E89" s="4"/>
      <c r="F89" s="4"/>
      <c r="G89" s="4"/>
      <c r="H89" s="4"/>
      <c r="I89" s="4"/>
      <c r="J89" s="179" t="s">
        <v>6</v>
      </c>
      <c r="K89" s="179"/>
      <c r="L89" s="179"/>
      <c r="M89" s="179"/>
      <c r="N89" s="110">
        <f>N88</f>
        <v>1.5469999999999799</v>
      </c>
      <c r="O89" s="21"/>
      <c r="P89" s="21"/>
    </row>
    <row r="90" spans="1:16" ht="18" customHeight="1">
      <c r="A90" s="24"/>
      <c r="B90" s="78"/>
      <c r="C90" s="18"/>
      <c r="D90" s="18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31"/>
      <c r="P90" s="21"/>
    </row>
    <row r="91" spans="1:16" ht="14.1" customHeight="1">
      <c r="A91" s="2"/>
      <c r="B91" s="2"/>
      <c r="C91" s="30"/>
      <c r="D91" s="30"/>
      <c r="E91" s="4"/>
      <c r="F91" s="4"/>
      <c r="G91" s="4"/>
      <c r="H91" s="4"/>
      <c r="I91" s="4"/>
      <c r="J91" s="180"/>
      <c r="K91" s="180"/>
      <c r="L91" s="180"/>
      <c r="M91" s="180"/>
      <c r="N91" s="30"/>
    </row>
    <row r="92" spans="1:16" ht="14.1" customHeight="1">
      <c r="A92" s="2"/>
      <c r="B92" s="2"/>
      <c r="C92" s="30"/>
      <c r="D92" s="30"/>
      <c r="E92" s="4"/>
      <c r="F92" s="4"/>
      <c r="G92" s="4"/>
      <c r="H92" s="4"/>
      <c r="I92" s="4"/>
      <c r="J92" s="30"/>
      <c r="K92" s="30"/>
      <c r="L92" s="30"/>
      <c r="M92" s="30"/>
      <c r="N92" s="30"/>
    </row>
    <row r="93" spans="1:16" ht="14.1" customHeight="1">
      <c r="A93" s="2"/>
      <c r="B93" s="2"/>
      <c r="C93" s="30"/>
      <c r="D93" s="30"/>
      <c r="E93" s="4"/>
      <c r="F93" s="4"/>
      <c r="G93" s="4"/>
      <c r="H93" s="4"/>
      <c r="I93" s="4"/>
      <c r="J93" s="30"/>
      <c r="K93" s="30"/>
      <c r="L93" s="30"/>
      <c r="M93" s="30"/>
      <c r="N93" s="30"/>
    </row>
    <row r="94" spans="1:16" ht="14.1" customHeight="1">
      <c r="A94" s="6"/>
      <c r="B94" s="6"/>
      <c r="C94" s="7"/>
      <c r="D94" s="7"/>
      <c r="E94" s="7"/>
      <c r="F94" s="7"/>
      <c r="G94" s="7"/>
      <c r="H94" s="7"/>
      <c r="I94" s="7"/>
      <c r="K94" s="7"/>
      <c r="L94" s="7"/>
      <c r="M94" s="7"/>
      <c r="N94" s="7"/>
    </row>
    <row r="95" spans="1:16" ht="14.1" customHeight="1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1:16" ht="14.1" customHeight="1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1:14" ht="14.1" customHeight="1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 spans="1:14" ht="14.1" customHeight="1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 spans="1:14" ht="14.1" customHeight="1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 spans="1:14" ht="14.1" customHeight="1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 spans="1:14" ht="14.1" customHeight="1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 spans="1:14" ht="14.1" customHeight="1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 spans="1:14" ht="14.1" customHeight="1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1:14" ht="14.1" customHeight="1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1:14" ht="14.1" customHeight="1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1:14" ht="14.1" customHeight="1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4" ht="14.1" customHeight="1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1:14" ht="14.1" customHeight="1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1:14" ht="14.1" customHeight="1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1:14" ht="14.1" customHeight="1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4" ht="14.1" customHeight="1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4" ht="14.1" customHeight="1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1:14" ht="14.1" customHeight="1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 ht="14.1" customHeight="1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ht="14.1" customHeight="1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 ht="14.1" customHeight="1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 ht="14.1" customHeight="1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 ht="14.1" customHeight="1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 ht="14.1" customHeight="1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 ht="18" customHeight="1">
      <c r="A120" s="184" t="s">
        <v>0</v>
      </c>
      <c r="B120" s="185"/>
      <c r="C120" s="185"/>
      <c r="D120" s="185"/>
      <c r="E120" s="185"/>
      <c r="F120" s="186"/>
      <c r="G120" s="20">
        <v>6480</v>
      </c>
      <c r="H120" s="1" t="s">
        <v>15</v>
      </c>
      <c r="I120" s="1"/>
      <c r="J120" s="32"/>
      <c r="K120" s="1"/>
      <c r="L120" s="1"/>
      <c r="M120" s="1"/>
      <c r="N120" s="1"/>
    </row>
    <row r="121" spans="1:14" ht="18" customHeight="1">
      <c r="A121" s="42" t="s">
        <v>1</v>
      </c>
      <c r="B121" s="82"/>
      <c r="C121" s="83">
        <v>0</v>
      </c>
      <c r="D121" s="84">
        <v>0.6</v>
      </c>
      <c r="E121" s="84">
        <v>0.7</v>
      </c>
      <c r="F121" s="85">
        <v>1.7</v>
      </c>
      <c r="G121" s="85">
        <v>2.7</v>
      </c>
      <c r="H121" s="84">
        <v>2.8</v>
      </c>
      <c r="I121" s="52">
        <v>3.5</v>
      </c>
      <c r="J121" s="52"/>
      <c r="K121" s="84"/>
      <c r="L121" s="86"/>
      <c r="M121" s="45"/>
      <c r="N121" s="47"/>
    </row>
    <row r="122" spans="1:14" ht="18" customHeight="1">
      <c r="A122" s="42" t="s">
        <v>2</v>
      </c>
      <c r="B122" s="82"/>
      <c r="C122" s="83">
        <v>93.53</v>
      </c>
      <c r="D122" s="84">
        <v>92.14</v>
      </c>
      <c r="E122" s="84">
        <v>92.14</v>
      </c>
      <c r="F122" s="84">
        <v>92.14</v>
      </c>
      <c r="G122" s="84">
        <v>92.14</v>
      </c>
      <c r="H122" s="84">
        <v>92.14</v>
      </c>
      <c r="I122" s="84">
        <v>93.68</v>
      </c>
      <c r="J122" s="84"/>
      <c r="K122" s="84"/>
      <c r="L122" s="86"/>
      <c r="M122" s="45"/>
      <c r="N122" s="47"/>
    </row>
    <row r="123" spans="1:14" ht="18" customHeight="1">
      <c r="A123" s="42" t="s">
        <v>1</v>
      </c>
      <c r="B123" s="82"/>
      <c r="C123" s="83">
        <v>0</v>
      </c>
      <c r="D123" s="84">
        <v>0.6</v>
      </c>
      <c r="E123" s="84">
        <v>0.7</v>
      </c>
      <c r="F123" s="85">
        <v>1.7</v>
      </c>
      <c r="G123" s="85">
        <v>2.7</v>
      </c>
      <c r="H123" s="84">
        <v>2.8</v>
      </c>
      <c r="I123" s="52">
        <v>3.5</v>
      </c>
      <c r="J123" s="52"/>
      <c r="K123" s="84"/>
      <c r="L123" s="86"/>
      <c r="M123" s="45"/>
      <c r="N123" s="47"/>
    </row>
    <row r="124" spans="1:14" ht="18" customHeight="1">
      <c r="A124" s="42" t="s">
        <v>3</v>
      </c>
      <c r="B124" s="87"/>
      <c r="C124" s="83">
        <v>93.53</v>
      </c>
      <c r="D124" s="84">
        <v>92.75</v>
      </c>
      <c r="E124" s="84">
        <v>92.62</v>
      </c>
      <c r="F124" s="84">
        <v>92.62</v>
      </c>
      <c r="G124" s="84">
        <v>92.62</v>
      </c>
      <c r="H124" s="84">
        <v>92.754999999999995</v>
      </c>
      <c r="I124" s="84">
        <v>93.68</v>
      </c>
      <c r="J124" s="84"/>
      <c r="K124" s="84"/>
      <c r="L124" s="86"/>
      <c r="M124" s="45"/>
      <c r="N124" s="52"/>
    </row>
    <row r="125" spans="1:14" ht="18" customHeight="1">
      <c r="A125" s="42" t="s">
        <v>18</v>
      </c>
      <c r="B125" s="87"/>
      <c r="C125" s="52">
        <f t="shared" ref="C125" si="20">C122-C124</f>
        <v>0</v>
      </c>
      <c r="D125" s="52">
        <f>D124-D122</f>
        <v>0.60999999999999943</v>
      </c>
      <c r="E125" s="52">
        <f t="shared" ref="E125:I125" si="21">E124-E122</f>
        <v>0.48000000000000398</v>
      </c>
      <c r="F125" s="52">
        <f t="shared" si="21"/>
        <v>0.48000000000000398</v>
      </c>
      <c r="G125" s="52">
        <f t="shared" si="21"/>
        <v>0.48000000000000398</v>
      </c>
      <c r="H125" s="52">
        <f t="shared" si="21"/>
        <v>0.61499999999999488</v>
      </c>
      <c r="I125" s="52">
        <f t="shared" si="21"/>
        <v>0</v>
      </c>
      <c r="J125" s="52"/>
      <c r="K125" s="52"/>
      <c r="L125" s="52"/>
      <c r="M125" s="47"/>
      <c r="N125" s="47"/>
    </row>
    <row r="126" spans="1:14" ht="18" customHeight="1">
      <c r="A126" s="42" t="s">
        <v>5</v>
      </c>
      <c r="B126" s="87"/>
      <c r="C126" s="52">
        <f t="shared" ref="C126" si="22">(C125+B125)/2*(C121-B121)</f>
        <v>0</v>
      </c>
      <c r="D126" s="52">
        <f>(D125+C125)/2*(D121-C121)</f>
        <v>0.18299999999999983</v>
      </c>
      <c r="E126" s="52">
        <f t="shared" ref="E126" si="23">(E125+D125)/2*(E121-D121)</f>
        <v>5.4500000000000159E-2</v>
      </c>
      <c r="F126" s="52">
        <f t="shared" ref="F126" si="24">(F125+E125)/2*(F121-E121)</f>
        <v>0.48000000000000398</v>
      </c>
      <c r="G126" s="52">
        <f t="shared" ref="G126" si="25">(G125+F125)/2*(G121-F121)</f>
        <v>0.48000000000000409</v>
      </c>
      <c r="H126" s="52">
        <f t="shared" ref="H126" si="26">(H125+G125)/2*(H121-G121)</f>
        <v>5.474999999999975E-2</v>
      </c>
      <c r="I126" s="52">
        <f t="shared" ref="I126" si="27">(I125+H125)/2*(I121-H121)</f>
        <v>0.21524999999999828</v>
      </c>
      <c r="J126" s="52"/>
      <c r="K126" s="52"/>
      <c r="L126" s="52"/>
      <c r="M126" s="47"/>
      <c r="N126" s="77">
        <f>SUM(B126:M126)</f>
        <v>1.4675000000000065</v>
      </c>
    </row>
    <row r="127" spans="1:14" ht="18" customHeight="1">
      <c r="A127" s="2"/>
      <c r="B127" s="2"/>
      <c r="C127" s="30"/>
      <c r="D127" s="30"/>
      <c r="E127" s="4"/>
      <c r="F127" s="4"/>
      <c r="G127" s="4"/>
      <c r="H127" s="4"/>
      <c r="I127" s="4"/>
      <c r="J127" s="179" t="s">
        <v>6</v>
      </c>
      <c r="K127" s="179"/>
      <c r="L127" s="179"/>
      <c r="M127" s="179"/>
      <c r="N127" s="110">
        <f>N126</f>
        <v>1.4675000000000065</v>
      </c>
    </row>
    <row r="128" spans="1:14" ht="18" customHeight="1">
      <c r="A128" s="24"/>
      <c r="B128" s="78"/>
      <c r="C128" s="18"/>
      <c r="D128" s="18"/>
      <c r="E128" s="21"/>
      <c r="F128" s="21"/>
      <c r="G128" s="21"/>
      <c r="H128" s="21"/>
      <c r="I128" s="21"/>
      <c r="J128" s="21"/>
      <c r="K128" s="21"/>
      <c r="L128" s="21"/>
      <c r="M128" s="21"/>
      <c r="N128" s="21"/>
    </row>
    <row r="129" spans="1:14" ht="14.1" customHeight="1">
      <c r="A129" s="2"/>
      <c r="B129" s="2"/>
      <c r="C129" s="30"/>
      <c r="D129" s="30"/>
      <c r="E129" s="4"/>
      <c r="F129" s="4"/>
      <c r="G129" s="4"/>
      <c r="H129" s="4"/>
      <c r="I129" s="4"/>
      <c r="J129" s="180"/>
      <c r="K129" s="180"/>
      <c r="L129" s="180"/>
      <c r="M129" s="180"/>
      <c r="N129" s="30"/>
    </row>
    <row r="130" spans="1:14" ht="14.1" customHeight="1">
      <c r="A130" s="6"/>
      <c r="B130" s="6"/>
      <c r="C130" s="7"/>
      <c r="D130" s="7"/>
      <c r="E130" s="7"/>
      <c r="F130" s="7"/>
      <c r="G130" s="7"/>
      <c r="H130" s="7"/>
      <c r="I130" s="7"/>
      <c r="K130" s="7"/>
      <c r="L130" s="7"/>
      <c r="M130" s="7"/>
      <c r="N130" s="7"/>
    </row>
    <row r="131" spans="1:14" ht="14.1" customHeight="1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ht="14.1" customHeight="1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spans="1:14" ht="14.1" customHeight="1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spans="1:14" ht="14.1" customHeight="1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 spans="1:14" ht="14.1" customHeight="1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 spans="1:14" ht="14.1" customHeight="1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 spans="1:14" ht="14.1" customHeight="1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 spans="1:14" ht="14.1" customHeight="1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 spans="1:14" ht="14.1" customHeight="1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spans="1:14" ht="14.1" customHeight="1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 spans="1:14" ht="14.1" customHeight="1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 spans="1:14" ht="14.1" customHeight="1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 spans="1:14" ht="14.1" customHeight="1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 spans="1:14" ht="14.1" customHeight="1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 spans="1:14" ht="14.1" customHeight="1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 spans="1:14" ht="14.1" customHeight="1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 spans="1:14" ht="14.1" customHeight="1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 spans="1:14" ht="14.1" customHeight="1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 spans="1:14" ht="14.1" customHeight="1">
      <c r="A149" s="6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 spans="1:14" ht="14.1" customHeight="1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 spans="1:14" ht="14.1" customHeight="1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 spans="1:14" ht="14.1" customHeight="1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 spans="1:14" ht="14.1" customHeight="1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 spans="1:14" ht="14.1" customHeight="1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 spans="1:14" ht="14.1" customHeight="1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 spans="1:14" ht="14.1" customHeight="1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 spans="1:14" ht="14.1" customHeight="1">
      <c r="B157" s="181"/>
      <c r="C157" s="181"/>
      <c r="D157" s="181"/>
      <c r="E157" s="25"/>
      <c r="F157" s="25"/>
      <c r="G157" s="167"/>
      <c r="H157" s="167"/>
      <c r="I157" s="167"/>
      <c r="J157" s="7"/>
      <c r="K157" s="182"/>
      <c r="L157" s="182"/>
    </row>
    <row r="158" spans="1:14" ht="14.1" customHeight="1">
      <c r="B158" s="170"/>
      <c r="C158" s="170"/>
      <c r="D158" s="170"/>
      <c r="E158" s="26"/>
      <c r="F158" s="26"/>
      <c r="G158" s="170"/>
      <c r="H158" s="170"/>
      <c r="I158" s="170"/>
      <c r="J158" s="25"/>
      <c r="K158" s="171"/>
      <c r="L158" s="171"/>
    </row>
    <row r="159" spans="1:14" ht="14.1" customHeight="1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 spans="1:14" ht="14.1" customHeight="1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 spans="1:15" ht="14.1" customHeight="1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 spans="1:15" ht="14.1" customHeight="1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 spans="1:15" ht="14.1" customHeight="1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 spans="1:15" ht="14.1" customHeight="1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 spans="1:15" ht="18" customHeight="1">
      <c r="A165" s="184" t="s">
        <v>0</v>
      </c>
      <c r="B165" s="185"/>
      <c r="C165" s="185"/>
      <c r="D165" s="185"/>
      <c r="E165" s="185"/>
      <c r="F165" s="185"/>
      <c r="G165" s="79">
        <v>6540</v>
      </c>
      <c r="H165" s="1" t="s">
        <v>15</v>
      </c>
      <c r="I165" s="1"/>
      <c r="J165" s="32"/>
      <c r="K165" s="1"/>
      <c r="L165" s="1"/>
      <c r="M165" s="1"/>
      <c r="N165" s="1"/>
    </row>
    <row r="166" spans="1:15" ht="18" customHeight="1">
      <c r="A166" s="42" t="s">
        <v>1</v>
      </c>
      <c r="B166" s="82"/>
      <c r="C166" s="83">
        <v>0</v>
      </c>
      <c r="D166" s="84">
        <v>0.6</v>
      </c>
      <c r="E166" s="84">
        <v>0.7</v>
      </c>
      <c r="F166" s="85">
        <v>1.7</v>
      </c>
      <c r="G166" s="85">
        <v>2.7</v>
      </c>
      <c r="H166" s="84">
        <v>2.8</v>
      </c>
      <c r="I166" s="52">
        <v>3.6</v>
      </c>
      <c r="J166" s="52"/>
      <c r="K166" s="84"/>
      <c r="L166" s="86"/>
      <c r="M166" s="45"/>
      <c r="N166" s="47"/>
      <c r="O166" s="18"/>
    </row>
    <row r="167" spans="1:15" ht="18" customHeight="1">
      <c r="A167" s="42" t="s">
        <v>2</v>
      </c>
      <c r="B167" s="82"/>
      <c r="C167" s="83">
        <v>92.59</v>
      </c>
      <c r="D167" s="84">
        <v>91.79</v>
      </c>
      <c r="E167" s="84">
        <v>91.79</v>
      </c>
      <c r="F167" s="84">
        <v>91.79</v>
      </c>
      <c r="G167" s="84">
        <v>91.79</v>
      </c>
      <c r="H167" s="84">
        <v>91.79</v>
      </c>
      <c r="I167" s="84">
        <v>92.77</v>
      </c>
      <c r="J167" s="84"/>
      <c r="K167" s="84"/>
      <c r="L167" s="86"/>
      <c r="M167" s="45"/>
      <c r="N167" s="47"/>
      <c r="O167" s="18"/>
    </row>
    <row r="168" spans="1:15" ht="18" customHeight="1">
      <c r="A168" s="42" t="s">
        <v>1</v>
      </c>
      <c r="B168" s="82"/>
      <c r="C168" s="83">
        <v>0</v>
      </c>
      <c r="D168" s="84">
        <v>0.6</v>
      </c>
      <c r="E168" s="84">
        <v>0.7</v>
      </c>
      <c r="F168" s="85">
        <v>1.7</v>
      </c>
      <c r="G168" s="85">
        <v>2.7</v>
      </c>
      <c r="H168" s="84">
        <v>2.8</v>
      </c>
      <c r="I168" s="52">
        <v>3.6</v>
      </c>
      <c r="J168" s="52"/>
      <c r="K168" s="84"/>
      <c r="L168" s="86"/>
      <c r="M168" s="45"/>
      <c r="N168" s="47"/>
      <c r="O168" s="18"/>
    </row>
    <row r="169" spans="1:15" ht="18" customHeight="1">
      <c r="A169" s="42" t="s">
        <v>3</v>
      </c>
      <c r="B169" s="87"/>
      <c r="C169" s="83">
        <v>92.59</v>
      </c>
      <c r="D169" s="84">
        <v>92.263999999999996</v>
      </c>
      <c r="E169" s="84">
        <v>92.21</v>
      </c>
      <c r="F169" s="84">
        <v>92.21</v>
      </c>
      <c r="G169" s="84">
        <v>92.21</v>
      </c>
      <c r="H169" s="84">
        <v>92.272000000000006</v>
      </c>
      <c r="I169" s="84">
        <v>92.77</v>
      </c>
      <c r="J169" s="84"/>
      <c r="K169" s="84"/>
      <c r="L169" s="86"/>
      <c r="M169" s="45"/>
      <c r="N169" s="52"/>
      <c r="O169" s="18"/>
    </row>
    <row r="170" spans="1:15" ht="18" customHeight="1">
      <c r="A170" s="42" t="s">
        <v>18</v>
      </c>
      <c r="B170" s="87"/>
      <c r="C170" s="52">
        <f t="shared" ref="C170" si="28">C167-C169</f>
        <v>0</v>
      </c>
      <c r="D170" s="52">
        <f>D169-D167</f>
        <v>0.47399999999998954</v>
      </c>
      <c r="E170" s="52">
        <f t="shared" ref="E170:I170" si="29">E169-E167</f>
        <v>0.41999999999998749</v>
      </c>
      <c r="F170" s="52">
        <f t="shared" si="29"/>
        <v>0.41999999999998749</v>
      </c>
      <c r="G170" s="52">
        <f t="shared" si="29"/>
        <v>0.41999999999998749</v>
      </c>
      <c r="H170" s="52">
        <f t="shared" si="29"/>
        <v>0.48199999999999932</v>
      </c>
      <c r="I170" s="52">
        <f t="shared" si="29"/>
        <v>0</v>
      </c>
      <c r="J170" s="52"/>
      <c r="K170" s="52"/>
      <c r="L170" s="52"/>
      <c r="M170" s="47"/>
      <c r="N170" s="47"/>
      <c r="O170" s="18"/>
    </row>
    <row r="171" spans="1:15" ht="18" customHeight="1">
      <c r="A171" s="42" t="s">
        <v>5</v>
      </c>
      <c r="B171" s="87"/>
      <c r="C171" s="52">
        <f t="shared" ref="C171" si="30">(C170+B170)/2*(C166-B166)</f>
        <v>0</v>
      </c>
      <c r="D171" s="52">
        <f>(D170+C170)/2*(D166-C166)</f>
        <v>0.14219999999999686</v>
      </c>
      <c r="E171" s="52">
        <f t="shared" ref="E171" si="31">(E170+D170)/2*(E166-D166)</f>
        <v>4.4699999999998845E-2</v>
      </c>
      <c r="F171" s="52">
        <f t="shared" ref="F171" si="32">(F170+E170)/2*(F166-E166)</f>
        <v>0.41999999999998749</v>
      </c>
      <c r="G171" s="52">
        <f t="shared" ref="G171" si="33">(G170+F170)/2*(G166-F166)</f>
        <v>0.41999999999998761</v>
      </c>
      <c r="H171" s="52">
        <f t="shared" ref="H171" si="34">(H170+G170)/2*(H166-G166)</f>
        <v>4.5099999999999182E-2</v>
      </c>
      <c r="I171" s="52">
        <f t="shared" ref="I171" si="35">(I170+H170)/2*(I166-H166)</f>
        <v>0.1927999999999998</v>
      </c>
      <c r="J171" s="52"/>
      <c r="K171" s="52"/>
      <c r="L171" s="52"/>
      <c r="M171" s="47"/>
      <c r="N171" s="77">
        <f>SUM(B171:M171)</f>
        <v>1.2647999999999699</v>
      </c>
      <c r="O171" s="18"/>
    </row>
    <row r="172" spans="1:15" ht="18" customHeight="1">
      <c r="A172" s="2"/>
      <c r="B172" s="2"/>
      <c r="C172" s="30"/>
      <c r="D172" s="30"/>
      <c r="E172" s="4"/>
      <c r="F172" s="4"/>
      <c r="G172" s="4"/>
      <c r="H172" s="4"/>
      <c r="I172" s="4"/>
      <c r="J172" s="179" t="s">
        <v>6</v>
      </c>
      <c r="K172" s="179"/>
      <c r="L172" s="179"/>
      <c r="M172" s="179"/>
      <c r="N172" s="110">
        <f>N171</f>
        <v>1.2647999999999699</v>
      </c>
      <c r="O172" s="18"/>
    </row>
    <row r="173" spans="1:15" ht="18" customHeight="1">
      <c r="A173" s="24"/>
      <c r="B173" s="78"/>
      <c r="C173" s="18"/>
      <c r="D173" s="18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1:15" ht="14.1" customHeight="1">
      <c r="A174" s="2"/>
      <c r="B174" s="2"/>
      <c r="C174" s="30"/>
      <c r="D174" s="30"/>
      <c r="E174" s="4"/>
      <c r="F174" s="4"/>
      <c r="G174" s="4"/>
      <c r="H174" s="4"/>
      <c r="I174" s="4"/>
      <c r="J174" s="180"/>
      <c r="K174" s="180"/>
      <c r="L174" s="180"/>
      <c r="M174" s="180"/>
      <c r="N174" s="30"/>
    </row>
    <row r="175" spans="1:15" ht="14.1" customHeight="1">
      <c r="A175" s="6"/>
      <c r="B175" s="6"/>
      <c r="C175" s="7"/>
      <c r="D175" s="7"/>
      <c r="E175" s="7"/>
      <c r="F175" s="7"/>
      <c r="G175" s="7"/>
      <c r="H175" s="7"/>
      <c r="I175" s="7"/>
      <c r="K175" s="7"/>
      <c r="L175" s="7"/>
      <c r="M175" s="7"/>
      <c r="N175" s="7"/>
    </row>
    <row r="176" spans="1:15" ht="14.1" customHeight="1">
      <c r="A176" s="6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</row>
    <row r="177" spans="1:14" ht="14.1" customHeight="1">
      <c r="A177" s="6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</row>
    <row r="178" spans="1:14" ht="14.1" customHeight="1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</row>
    <row r="179" spans="1:14" ht="14.1" customHeight="1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</row>
    <row r="180" spans="1:14" ht="14.1" customHeight="1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</row>
    <row r="181" spans="1:14" ht="14.1" customHeight="1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</row>
    <row r="182" spans="1:14" ht="14.1" customHeight="1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</row>
    <row r="183" spans="1:14" ht="14.1" customHeight="1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</row>
    <row r="184" spans="1:14" ht="14.1" customHeight="1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</row>
    <row r="185" spans="1:14" ht="14.1" customHeight="1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</row>
    <row r="186" spans="1:14" ht="14.1" customHeight="1">
      <c r="A186" s="6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</row>
    <row r="187" spans="1:14" ht="14.1" customHeight="1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</row>
    <row r="188" spans="1:14" ht="14.1" customHeight="1">
      <c r="A188" s="6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</row>
    <row r="189" spans="1:14" ht="14.1" customHeight="1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</row>
    <row r="190" spans="1:14" ht="14.1" customHeight="1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</row>
    <row r="191" spans="1:14" ht="14.1" customHeight="1">
      <c r="A191" s="6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</row>
    <row r="192" spans="1:14" ht="14.1" customHeight="1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</row>
    <row r="193" spans="1:15" ht="14.1" customHeight="1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</row>
    <row r="194" spans="1:15" ht="14.1" customHeight="1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</row>
    <row r="195" spans="1:15" ht="14.1" customHeight="1">
      <c r="A195" s="6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</row>
    <row r="196" spans="1:15" ht="14.1" customHeight="1">
      <c r="A196" s="6"/>
      <c r="B196" s="6"/>
      <c r="C196" s="7"/>
      <c r="D196" s="7"/>
      <c r="E196" s="7"/>
      <c r="F196" s="7"/>
      <c r="G196" s="7"/>
      <c r="H196" s="7"/>
      <c r="I196" s="7"/>
      <c r="J196" s="36"/>
      <c r="K196" s="7"/>
      <c r="L196" s="7"/>
      <c r="M196" s="7"/>
      <c r="N196" s="7"/>
    </row>
    <row r="197" spans="1:15" ht="14.1" customHeight="1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</row>
    <row r="198" spans="1:15" ht="14.1" customHeight="1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</row>
    <row r="199" spans="1:15" ht="14.1" customHeight="1">
      <c r="A199" s="6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</row>
    <row r="200" spans="1:15" ht="14.1" customHeight="1">
      <c r="A200" s="24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</row>
    <row r="201" spans="1:15" ht="14.1" customHeight="1"/>
    <row r="202" spans="1:15" ht="14.1" customHeight="1"/>
    <row r="203" spans="1:15" ht="14.1" customHeight="1"/>
    <row r="204" spans="1:15" ht="14.1" customHeight="1"/>
    <row r="205" spans="1:15" ht="18" customHeight="1">
      <c r="A205" s="184" t="s">
        <v>0</v>
      </c>
      <c r="B205" s="185"/>
      <c r="C205" s="185"/>
      <c r="D205" s="185"/>
      <c r="E205" s="185"/>
      <c r="F205" s="185"/>
      <c r="G205" s="20">
        <v>6600</v>
      </c>
      <c r="H205" s="1" t="s">
        <v>15</v>
      </c>
      <c r="I205" s="1"/>
      <c r="J205" s="32"/>
      <c r="K205" s="1"/>
      <c r="L205" s="1"/>
      <c r="M205" s="1"/>
      <c r="N205" s="1"/>
    </row>
    <row r="206" spans="1:15" ht="18" customHeight="1">
      <c r="A206" s="42" t="s">
        <v>1</v>
      </c>
      <c r="B206" s="82"/>
      <c r="C206" s="83">
        <v>0</v>
      </c>
      <c r="D206" s="84">
        <v>0.6</v>
      </c>
      <c r="E206" s="84">
        <v>0.7</v>
      </c>
      <c r="F206" s="85">
        <v>1.7</v>
      </c>
      <c r="G206" s="85">
        <v>2.7</v>
      </c>
      <c r="H206" s="84">
        <v>2.8</v>
      </c>
      <c r="I206" s="52">
        <v>3.5</v>
      </c>
      <c r="J206" s="52"/>
      <c r="K206" s="84"/>
      <c r="L206" s="86"/>
      <c r="M206" s="45"/>
      <c r="N206" s="47"/>
      <c r="O206" s="18"/>
    </row>
    <row r="207" spans="1:15" ht="18" customHeight="1">
      <c r="A207" s="42" t="s">
        <v>2</v>
      </c>
      <c r="B207" s="82"/>
      <c r="C207" s="83">
        <v>91.19</v>
      </c>
      <c r="D207" s="84">
        <v>89.99</v>
      </c>
      <c r="E207" s="84">
        <v>89.99</v>
      </c>
      <c r="F207" s="84">
        <v>89.99</v>
      </c>
      <c r="G207" s="84">
        <v>89.99</v>
      </c>
      <c r="H207" s="84">
        <v>89.99</v>
      </c>
      <c r="I207" s="84">
        <v>91.36</v>
      </c>
      <c r="J207" s="84"/>
      <c r="K207" s="84"/>
      <c r="L207" s="86"/>
      <c r="M207" s="45"/>
      <c r="N207" s="47"/>
      <c r="O207" s="18"/>
    </row>
    <row r="208" spans="1:15" ht="18" customHeight="1">
      <c r="A208" s="42" t="s">
        <v>1</v>
      </c>
      <c r="B208" s="82"/>
      <c r="C208" s="83">
        <v>0</v>
      </c>
      <c r="D208" s="84">
        <v>0.6</v>
      </c>
      <c r="E208" s="84">
        <v>0.7</v>
      </c>
      <c r="F208" s="85">
        <v>1.7</v>
      </c>
      <c r="G208" s="85">
        <v>2.7</v>
      </c>
      <c r="H208" s="84">
        <v>2.8</v>
      </c>
      <c r="I208" s="52">
        <v>3.5</v>
      </c>
      <c r="J208" s="52"/>
      <c r="K208" s="84"/>
      <c r="L208" s="86"/>
      <c r="M208" s="45"/>
      <c r="N208" s="47"/>
      <c r="O208" s="18"/>
    </row>
    <row r="209" spans="1:15" ht="18" customHeight="1">
      <c r="A209" s="42" t="s">
        <v>3</v>
      </c>
      <c r="B209" s="87"/>
      <c r="C209" s="83">
        <v>91.19</v>
      </c>
      <c r="D209" s="84">
        <v>90.599000000000004</v>
      </c>
      <c r="E209" s="84">
        <v>90.5</v>
      </c>
      <c r="F209" s="84">
        <v>90.5</v>
      </c>
      <c r="G209" s="84">
        <v>90.5</v>
      </c>
      <c r="H209" s="84">
        <v>90.608000000000004</v>
      </c>
      <c r="I209" s="84">
        <v>91.36</v>
      </c>
      <c r="J209" s="84"/>
      <c r="K209" s="84"/>
      <c r="L209" s="86"/>
      <c r="M209" s="45"/>
      <c r="N209" s="52"/>
      <c r="O209" s="18"/>
    </row>
    <row r="210" spans="1:15" ht="18" customHeight="1">
      <c r="A210" s="42" t="s">
        <v>18</v>
      </c>
      <c r="B210" s="87"/>
      <c r="C210" s="52">
        <f t="shared" ref="C210" si="36">C207-C209</f>
        <v>0</v>
      </c>
      <c r="D210" s="52">
        <f>D209-D207</f>
        <v>0.60900000000000887</v>
      </c>
      <c r="E210" s="52">
        <f t="shared" ref="E210:I210" si="37">E209-E207</f>
        <v>0.51000000000000512</v>
      </c>
      <c r="F210" s="52">
        <f t="shared" si="37"/>
        <v>0.51000000000000512</v>
      </c>
      <c r="G210" s="52">
        <f t="shared" si="37"/>
        <v>0.51000000000000512</v>
      </c>
      <c r="H210" s="52">
        <f t="shared" si="37"/>
        <v>0.61800000000000921</v>
      </c>
      <c r="I210" s="52">
        <f t="shared" si="37"/>
        <v>0</v>
      </c>
      <c r="J210" s="52"/>
      <c r="K210" s="52"/>
      <c r="L210" s="52"/>
      <c r="M210" s="47"/>
      <c r="N210" s="47"/>
      <c r="O210" s="18"/>
    </row>
    <row r="211" spans="1:15" ht="18" customHeight="1">
      <c r="A211" s="42" t="s">
        <v>5</v>
      </c>
      <c r="B211" s="87"/>
      <c r="C211" s="52">
        <f t="shared" ref="C211" si="38">(C210+B210)/2*(C206-B206)</f>
        <v>0</v>
      </c>
      <c r="D211" s="52">
        <f>(D210+C210)/2*(D206-C206)</f>
        <v>0.18270000000000267</v>
      </c>
      <c r="E211" s="52">
        <f t="shared" ref="E211" si="39">(E210+D210)/2*(E206-D206)</f>
        <v>5.5950000000000687E-2</v>
      </c>
      <c r="F211" s="52">
        <f t="shared" ref="F211" si="40">(F210+E210)/2*(F206-E206)</f>
        <v>0.51000000000000512</v>
      </c>
      <c r="G211" s="52">
        <f t="shared" ref="G211" si="41">(G210+F210)/2*(G206-F206)</f>
        <v>0.51000000000000523</v>
      </c>
      <c r="H211" s="52">
        <f t="shared" ref="H211" si="42">(H210+G210)/2*(H206-G206)</f>
        <v>5.6400000000000519E-2</v>
      </c>
      <c r="I211" s="52">
        <f t="shared" ref="I211" si="43">(I210+H210)/2*(I206-H206)</f>
        <v>0.21630000000000327</v>
      </c>
      <c r="J211" s="52"/>
      <c r="K211" s="52"/>
      <c r="L211" s="52"/>
      <c r="M211" s="47"/>
      <c r="N211" s="77">
        <f>SUM(B211:M211)</f>
        <v>1.5313500000000173</v>
      </c>
      <c r="O211" s="18"/>
    </row>
    <row r="212" spans="1:15" ht="18" customHeight="1">
      <c r="A212" s="2"/>
      <c r="B212" s="2"/>
      <c r="C212" s="30"/>
      <c r="D212" s="30"/>
      <c r="E212" s="4"/>
      <c r="F212" s="4"/>
      <c r="G212" s="4"/>
      <c r="H212" s="4"/>
      <c r="I212" s="4"/>
      <c r="J212" s="179" t="s">
        <v>6</v>
      </c>
      <c r="K212" s="179"/>
      <c r="L212" s="179"/>
      <c r="M212" s="179"/>
      <c r="N212" s="110">
        <f>N211</f>
        <v>1.5313500000000173</v>
      </c>
      <c r="O212" s="18"/>
    </row>
    <row r="213" spans="1:15" ht="18" customHeight="1">
      <c r="A213" s="24"/>
      <c r="B213" s="78"/>
      <c r="C213" s="18"/>
      <c r="D213" s="18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spans="1:15" ht="14.1" customHeight="1">
      <c r="A214" s="2"/>
      <c r="B214" s="2"/>
      <c r="C214" s="30"/>
      <c r="D214" s="30"/>
      <c r="E214" s="4"/>
      <c r="F214" s="4"/>
      <c r="G214" s="4"/>
      <c r="H214" s="4"/>
      <c r="I214" s="4"/>
      <c r="J214" s="180"/>
      <c r="K214" s="180"/>
      <c r="L214" s="180"/>
      <c r="M214" s="180"/>
      <c r="N214" s="30"/>
    </row>
    <row r="215" spans="1:15" ht="14.1" customHeight="1">
      <c r="A215" s="6"/>
      <c r="B215" s="6"/>
      <c r="C215" s="7"/>
      <c r="D215" s="7"/>
      <c r="E215" s="7"/>
      <c r="F215" s="7"/>
      <c r="G215" s="7"/>
      <c r="H215" s="7"/>
      <c r="I215" s="7"/>
      <c r="K215" s="7"/>
      <c r="L215" s="7"/>
      <c r="M215" s="7"/>
      <c r="N215" s="7"/>
    </row>
    <row r="216" spans="1:15" ht="14.1" customHeight="1">
      <c r="A216" s="6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 spans="1:15" ht="14.1" customHeight="1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 spans="1:15" ht="14.1" customHeight="1">
      <c r="A218" s="6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 spans="1:15" ht="14.1" customHeight="1">
      <c r="A219" s="6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1:15" ht="14.1" customHeight="1">
      <c r="A220" s="6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 spans="1:15" ht="14.1" customHeight="1">
      <c r="A221" s="6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 spans="1:15" ht="14.1" customHeight="1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 spans="1:15" ht="14.1" customHeight="1">
      <c r="A223" s="6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 spans="1:15" ht="14.1" customHeight="1">
      <c r="A224" s="6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 spans="1:14" ht="14.1" customHeight="1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 spans="1:14" ht="14.1" customHeight="1">
      <c r="A226" s="6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 spans="1:14" ht="14.1" customHeight="1">
      <c r="A227" s="6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 spans="1:14" ht="14.1" customHeight="1">
      <c r="A228" s="6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 spans="1:14" ht="14.1" customHeight="1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 spans="1:14" ht="14.1" customHeight="1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 spans="1:14" ht="14.1" customHeight="1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 spans="1:14" ht="14.1" customHeight="1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 spans="1:14" ht="14.1" customHeight="1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 spans="1:14" ht="14.1" customHeight="1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 spans="1:14" ht="14.1" customHeight="1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 spans="1:14" ht="14.1" customHeight="1">
      <c r="A236" s="6"/>
      <c r="B236" s="6"/>
      <c r="C236" s="7"/>
      <c r="D236" s="7"/>
      <c r="E236" s="7"/>
      <c r="F236" s="7"/>
      <c r="G236" s="7"/>
      <c r="H236" s="7"/>
      <c r="I236" s="7"/>
      <c r="J236" s="30"/>
      <c r="K236" s="7"/>
      <c r="L236" s="7"/>
      <c r="M236" s="7"/>
      <c r="N236" s="7"/>
    </row>
    <row r="237" spans="1:14" ht="14.1" customHeight="1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 spans="1:14" ht="14.1" customHeight="1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 spans="1:14" ht="14.1" customHeight="1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 spans="1:14" ht="14.1" customHeight="1">
      <c r="A240" s="24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</row>
    <row r="241" spans="1:15" ht="14.1" customHeight="1"/>
    <row r="242" spans="1:15" ht="14.1" customHeight="1"/>
    <row r="243" spans="1:15" ht="14.1" customHeight="1">
      <c r="B243" s="181"/>
      <c r="C243" s="181"/>
      <c r="D243" s="181"/>
      <c r="E243" s="25"/>
      <c r="F243" s="25"/>
      <c r="G243" s="167"/>
      <c r="H243" s="167"/>
      <c r="I243" s="167"/>
      <c r="J243" s="7"/>
      <c r="K243" s="182"/>
      <c r="L243" s="182"/>
    </row>
    <row r="244" spans="1:15" ht="14.1" customHeight="1">
      <c r="B244" s="170"/>
      <c r="C244" s="170"/>
      <c r="D244" s="170"/>
      <c r="E244" s="26"/>
      <c r="F244" s="26"/>
      <c r="G244" s="170"/>
      <c r="H244" s="170"/>
      <c r="I244" s="170"/>
      <c r="J244" s="25"/>
      <c r="K244" s="171"/>
      <c r="L244" s="171"/>
    </row>
    <row r="245" spans="1:15" ht="14.1" customHeight="1"/>
    <row r="246" spans="1:15" ht="14.1" customHeight="1"/>
    <row r="247" spans="1:15" ht="14.1" customHeight="1"/>
    <row r="248" spans="1:15" ht="18" customHeight="1">
      <c r="A248" s="184" t="s">
        <v>0</v>
      </c>
      <c r="B248" s="185"/>
      <c r="C248" s="185"/>
      <c r="D248" s="185"/>
      <c r="E248" s="185"/>
      <c r="F248" s="185"/>
      <c r="G248" s="20">
        <v>6660</v>
      </c>
      <c r="H248" s="1" t="s">
        <v>15</v>
      </c>
      <c r="I248" s="1"/>
      <c r="J248" s="32"/>
      <c r="K248" s="1"/>
      <c r="L248" s="1"/>
      <c r="M248" s="1"/>
      <c r="N248" s="1"/>
    </row>
    <row r="249" spans="1:15" ht="18" customHeight="1">
      <c r="A249" s="42" t="s">
        <v>1</v>
      </c>
      <c r="B249" s="82"/>
      <c r="C249" s="83">
        <v>0</v>
      </c>
      <c r="D249" s="84">
        <v>0.6</v>
      </c>
      <c r="E249" s="84">
        <v>0.7</v>
      </c>
      <c r="F249" s="85">
        <v>1.7</v>
      </c>
      <c r="G249" s="85">
        <v>2.7</v>
      </c>
      <c r="H249" s="84">
        <v>2.8</v>
      </c>
      <c r="I249" s="52">
        <v>3.6</v>
      </c>
      <c r="J249" s="52"/>
      <c r="K249" s="84"/>
      <c r="L249" s="86"/>
      <c r="M249" s="45"/>
      <c r="N249" s="47"/>
      <c r="O249" s="18"/>
    </row>
    <row r="250" spans="1:15" ht="18" customHeight="1">
      <c r="A250" s="42" t="s">
        <v>2</v>
      </c>
      <c r="B250" s="82"/>
      <c r="C250" s="83">
        <v>90.87</v>
      </c>
      <c r="D250" s="84">
        <v>89.27</v>
      </c>
      <c r="E250" s="84">
        <v>89.27</v>
      </c>
      <c r="F250" s="84">
        <v>89.27</v>
      </c>
      <c r="G250" s="84">
        <v>89.27</v>
      </c>
      <c r="H250" s="84">
        <v>89.27</v>
      </c>
      <c r="I250" s="84">
        <v>91.07</v>
      </c>
      <c r="J250" s="84"/>
      <c r="K250" s="84"/>
      <c r="L250" s="86"/>
      <c r="M250" s="45"/>
      <c r="N250" s="47"/>
      <c r="O250" s="18"/>
    </row>
    <row r="251" spans="1:15" ht="18" customHeight="1">
      <c r="A251" s="42" t="s">
        <v>1</v>
      </c>
      <c r="B251" s="82"/>
      <c r="C251" s="83">
        <v>0</v>
      </c>
      <c r="D251" s="84">
        <v>0.6</v>
      </c>
      <c r="E251" s="84">
        <v>0.7</v>
      </c>
      <c r="F251" s="85">
        <v>1.7</v>
      </c>
      <c r="G251" s="85">
        <v>2.7</v>
      </c>
      <c r="H251" s="84">
        <v>2.8</v>
      </c>
      <c r="I251" s="52">
        <v>3.6</v>
      </c>
      <c r="J251" s="52"/>
      <c r="K251" s="84"/>
      <c r="L251" s="86"/>
      <c r="M251" s="45"/>
      <c r="N251" s="47"/>
      <c r="O251" s="18"/>
    </row>
    <row r="252" spans="1:15" ht="18" customHeight="1">
      <c r="A252" s="42" t="s">
        <v>3</v>
      </c>
      <c r="B252" s="87"/>
      <c r="C252" s="83">
        <v>90.87</v>
      </c>
      <c r="D252" s="84">
        <v>89.97</v>
      </c>
      <c r="E252" s="84">
        <v>89.82</v>
      </c>
      <c r="F252" s="84">
        <v>89.82</v>
      </c>
      <c r="G252" s="84">
        <v>89.82</v>
      </c>
      <c r="H252" s="84">
        <v>89.96</v>
      </c>
      <c r="I252" s="84">
        <v>91.07</v>
      </c>
      <c r="J252" s="84"/>
      <c r="K252" s="84"/>
      <c r="L252" s="86"/>
      <c r="M252" s="45"/>
      <c r="N252" s="52"/>
      <c r="O252" s="18"/>
    </row>
    <row r="253" spans="1:15" ht="18" customHeight="1">
      <c r="A253" s="42" t="s">
        <v>18</v>
      </c>
      <c r="B253" s="87"/>
      <c r="C253" s="52">
        <f t="shared" ref="C253" si="44">C250-C252</f>
        <v>0</v>
      </c>
      <c r="D253" s="52">
        <f>D252-D250</f>
        <v>0.70000000000000284</v>
      </c>
      <c r="E253" s="52">
        <f t="shared" ref="E253:I253" si="45">E252-E250</f>
        <v>0.54999999999999716</v>
      </c>
      <c r="F253" s="52">
        <f t="shared" si="45"/>
        <v>0.54999999999999716</v>
      </c>
      <c r="G253" s="52">
        <f t="shared" si="45"/>
        <v>0.54999999999999716</v>
      </c>
      <c r="H253" s="52">
        <f t="shared" si="45"/>
        <v>0.68999999999999773</v>
      </c>
      <c r="I253" s="52">
        <f t="shared" si="45"/>
        <v>0</v>
      </c>
      <c r="J253" s="52"/>
      <c r="K253" s="52"/>
      <c r="L253" s="52"/>
      <c r="M253" s="47"/>
      <c r="N253" s="47"/>
      <c r="O253" s="18"/>
    </row>
    <row r="254" spans="1:15" ht="18" customHeight="1">
      <c r="A254" s="42" t="s">
        <v>5</v>
      </c>
      <c r="B254" s="87"/>
      <c r="C254" s="52">
        <f t="shared" ref="C254" si="46">(C253+B253)/2*(C249-B249)</f>
        <v>0</v>
      </c>
      <c r="D254" s="52">
        <f>(D253+C253)/2*(D249-C249)</f>
        <v>0.21000000000000085</v>
      </c>
      <c r="E254" s="52">
        <f t="shared" ref="E254" si="47">(E253+D253)/2*(E249-D249)</f>
        <v>6.2499999999999986E-2</v>
      </c>
      <c r="F254" s="52">
        <f t="shared" ref="F254" si="48">(F253+E253)/2*(F249-E249)</f>
        <v>0.54999999999999716</v>
      </c>
      <c r="G254" s="52">
        <f t="shared" ref="G254" si="49">(G253+F253)/2*(G249-F249)</f>
        <v>0.54999999999999727</v>
      </c>
      <c r="H254" s="52">
        <f t="shared" ref="H254" si="50">(H253+G253)/2*(H249-G249)</f>
        <v>6.1999999999999521E-2</v>
      </c>
      <c r="I254" s="52">
        <f t="shared" ref="I254" si="51">(I253+H253)/2*(I249-H249)</f>
        <v>0.27599999999999919</v>
      </c>
      <c r="J254" s="52"/>
      <c r="K254" s="52"/>
      <c r="L254" s="52"/>
      <c r="M254" s="47"/>
      <c r="N254" s="77">
        <f>SUM(B254:M254)</f>
        <v>1.7104999999999939</v>
      </c>
      <c r="O254" s="18"/>
    </row>
    <row r="255" spans="1:15" ht="18" customHeight="1">
      <c r="A255" s="2"/>
      <c r="B255" s="2"/>
      <c r="C255" s="30"/>
      <c r="D255" s="30"/>
      <c r="E255" s="4"/>
      <c r="F255" s="4"/>
      <c r="G255" s="4"/>
      <c r="H255" s="4"/>
      <c r="I255" s="4"/>
      <c r="J255" s="179" t="s">
        <v>6</v>
      </c>
      <c r="K255" s="179"/>
      <c r="L255" s="179"/>
      <c r="M255" s="179"/>
      <c r="N255" s="110">
        <f>N254</f>
        <v>1.7104999999999939</v>
      </c>
      <c r="O255" s="18"/>
    </row>
    <row r="256" spans="1:15" ht="18" customHeight="1">
      <c r="A256" s="24"/>
      <c r="B256" s="78"/>
      <c r="C256" s="18"/>
      <c r="D256" s="18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</row>
    <row r="257" spans="1:14" ht="14.1" customHeight="1">
      <c r="A257" s="2"/>
      <c r="B257" s="2"/>
      <c r="C257" s="30"/>
      <c r="D257" s="30"/>
      <c r="E257" s="4"/>
      <c r="F257" s="4"/>
      <c r="G257" s="4"/>
      <c r="H257" s="4"/>
      <c r="I257" s="4"/>
      <c r="J257" s="180"/>
      <c r="K257" s="180"/>
      <c r="L257" s="180"/>
      <c r="M257" s="180"/>
      <c r="N257" s="30"/>
    </row>
    <row r="258" spans="1:14" ht="14.1" customHeight="1">
      <c r="A258" s="6"/>
      <c r="B258" s="6"/>
      <c r="C258" s="7"/>
      <c r="D258" s="7"/>
      <c r="E258" s="7"/>
      <c r="F258" s="7"/>
      <c r="G258" s="7"/>
      <c r="H258" s="7"/>
      <c r="I258" s="7"/>
      <c r="K258" s="7"/>
      <c r="L258" s="7"/>
      <c r="M258" s="7"/>
      <c r="N258" s="7"/>
    </row>
    <row r="259" spans="1:14" ht="14.1" customHeight="1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</row>
    <row r="260" spans="1:14" ht="14.1" customHeight="1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</row>
    <row r="261" spans="1:14" ht="14.1" customHeight="1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</row>
    <row r="262" spans="1:14" ht="14.1" customHeight="1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</row>
    <row r="263" spans="1:14" ht="14.1" customHeight="1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</row>
    <row r="264" spans="1:14" ht="14.1" customHeight="1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</row>
    <row r="265" spans="1:14" ht="14.1" customHeight="1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</row>
    <row r="266" spans="1:14" ht="14.1" customHeight="1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</row>
    <row r="267" spans="1:14" ht="14.1" customHeight="1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</row>
    <row r="268" spans="1:14" ht="14.1" customHeight="1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</row>
    <row r="269" spans="1:14" ht="14.1" customHeight="1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</row>
    <row r="270" spans="1:14" ht="14.1" customHeight="1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</row>
    <row r="271" spans="1:14" ht="14.1" customHeight="1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</row>
    <row r="272" spans="1:14" ht="14.1" customHeight="1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</row>
    <row r="273" spans="1:15" ht="14.1" customHeight="1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</row>
    <row r="274" spans="1:15" ht="14.1" customHeight="1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</row>
    <row r="275" spans="1:15" ht="14.1" customHeight="1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</row>
    <row r="276" spans="1:15" ht="14.1" customHeight="1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</row>
    <row r="277" spans="1:15" ht="14.1" customHeight="1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</row>
    <row r="278" spans="1:15" ht="14.1" customHeight="1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</row>
    <row r="279" spans="1:15" ht="14.1" customHeight="1">
      <c r="A279" s="6"/>
      <c r="B279" s="6"/>
      <c r="C279" s="7"/>
      <c r="D279" s="7"/>
      <c r="E279" s="7"/>
      <c r="F279" s="7"/>
      <c r="G279" s="7"/>
      <c r="H279" s="7"/>
      <c r="I279" s="7"/>
      <c r="J279" s="36"/>
      <c r="K279" s="7"/>
      <c r="L279" s="7"/>
      <c r="M279" s="7"/>
      <c r="N279" s="7"/>
    </row>
    <row r="280" spans="1:15" ht="14.1" customHeight="1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</row>
    <row r="281" spans="1:15" ht="14.1" customHeight="1"/>
    <row r="282" spans="1:15" ht="14.1" customHeight="1"/>
    <row r="283" spans="1:15" ht="18" customHeight="1">
      <c r="A283" s="184" t="s">
        <v>0</v>
      </c>
      <c r="B283" s="185"/>
      <c r="C283" s="185"/>
      <c r="D283" s="185"/>
      <c r="E283" s="185"/>
      <c r="F283" s="185"/>
      <c r="G283" s="20">
        <v>6720</v>
      </c>
      <c r="H283" s="1" t="s">
        <v>15</v>
      </c>
      <c r="I283" s="1"/>
      <c r="J283" s="33"/>
      <c r="K283" s="1"/>
      <c r="L283" s="1"/>
      <c r="M283" s="1"/>
      <c r="N283" s="1"/>
    </row>
    <row r="284" spans="1:15" ht="18" customHeight="1">
      <c r="A284" s="42" t="s">
        <v>1</v>
      </c>
      <c r="B284" s="82"/>
      <c r="C284" s="83">
        <v>0</v>
      </c>
      <c r="D284" s="84">
        <v>0.6</v>
      </c>
      <c r="E284" s="84">
        <v>0.7</v>
      </c>
      <c r="F284" s="85">
        <v>1.7</v>
      </c>
      <c r="G284" s="85">
        <v>2.7</v>
      </c>
      <c r="H284" s="84">
        <v>2.8</v>
      </c>
      <c r="I284" s="52">
        <v>3.5</v>
      </c>
      <c r="J284" s="52"/>
      <c r="K284" s="84"/>
      <c r="L284" s="86"/>
      <c r="M284" s="45"/>
      <c r="N284" s="47"/>
      <c r="O284" s="22"/>
    </row>
    <row r="285" spans="1:15" ht="18" customHeight="1">
      <c r="A285" s="42" t="s">
        <v>2</v>
      </c>
      <c r="B285" s="82"/>
      <c r="C285" s="83">
        <v>89.77</v>
      </c>
      <c r="D285" s="84">
        <v>88.87</v>
      </c>
      <c r="E285" s="84">
        <v>88.87</v>
      </c>
      <c r="F285" s="84">
        <v>88.87</v>
      </c>
      <c r="G285" s="84">
        <v>88.87</v>
      </c>
      <c r="H285" s="84">
        <v>88.87</v>
      </c>
      <c r="I285" s="84">
        <v>89.92</v>
      </c>
      <c r="J285" s="84"/>
      <c r="K285" s="84"/>
      <c r="L285" s="86"/>
      <c r="M285" s="45"/>
      <c r="N285" s="47"/>
      <c r="O285" s="21"/>
    </row>
    <row r="286" spans="1:15" ht="18" customHeight="1">
      <c r="A286" s="42" t="s">
        <v>1</v>
      </c>
      <c r="B286" s="82"/>
      <c r="C286" s="83">
        <v>0</v>
      </c>
      <c r="D286" s="84">
        <v>0.6</v>
      </c>
      <c r="E286" s="84">
        <v>0.7</v>
      </c>
      <c r="F286" s="85">
        <v>1.7</v>
      </c>
      <c r="G286" s="85">
        <v>2.7</v>
      </c>
      <c r="H286" s="84">
        <v>2.8</v>
      </c>
      <c r="I286" s="52">
        <v>3.5</v>
      </c>
      <c r="J286" s="52"/>
      <c r="K286" s="84"/>
      <c r="L286" s="86"/>
      <c r="M286" s="45"/>
      <c r="N286" s="47"/>
      <c r="O286" s="22"/>
    </row>
    <row r="287" spans="1:15" ht="18" customHeight="1">
      <c r="A287" s="42" t="s">
        <v>3</v>
      </c>
      <c r="B287" s="87"/>
      <c r="C287" s="83">
        <v>89.77</v>
      </c>
      <c r="D287" s="84">
        <v>89.340999999999994</v>
      </c>
      <c r="E287" s="84">
        <v>89.27</v>
      </c>
      <c r="F287" s="84">
        <v>89.27</v>
      </c>
      <c r="G287" s="84">
        <v>89.27</v>
      </c>
      <c r="H287" s="84">
        <v>89.350999999999999</v>
      </c>
      <c r="I287" s="84">
        <v>89.92</v>
      </c>
      <c r="J287" s="84"/>
      <c r="K287" s="84"/>
      <c r="L287" s="86"/>
      <c r="M287" s="45"/>
      <c r="N287" s="52"/>
      <c r="O287" s="23"/>
    </row>
    <row r="288" spans="1:15" ht="18" customHeight="1">
      <c r="A288" s="42" t="s">
        <v>18</v>
      </c>
      <c r="B288" s="87"/>
      <c r="C288" s="52">
        <f t="shared" ref="C288" si="52">C285-C287</f>
        <v>0</v>
      </c>
      <c r="D288" s="52">
        <f>D287-D285</f>
        <v>0.47099999999998943</v>
      </c>
      <c r="E288" s="52">
        <f t="shared" ref="E288:I288" si="53">E287-E285</f>
        <v>0.39999999999999147</v>
      </c>
      <c r="F288" s="52">
        <f t="shared" si="53"/>
        <v>0.39999999999999147</v>
      </c>
      <c r="G288" s="52">
        <f t="shared" si="53"/>
        <v>0.39999999999999147</v>
      </c>
      <c r="H288" s="52">
        <f t="shared" si="53"/>
        <v>0.48099999999999454</v>
      </c>
      <c r="I288" s="52">
        <f t="shared" si="53"/>
        <v>0</v>
      </c>
      <c r="J288" s="52"/>
      <c r="K288" s="52"/>
      <c r="L288" s="52"/>
      <c r="M288" s="47"/>
      <c r="N288" s="47"/>
      <c r="O288" s="21"/>
    </row>
    <row r="289" spans="1:15" ht="18" customHeight="1">
      <c r="A289" s="42" t="s">
        <v>5</v>
      </c>
      <c r="B289" s="87"/>
      <c r="C289" s="52">
        <f t="shared" ref="C289" si="54">(C288+B288)/2*(C284-B284)</f>
        <v>0</v>
      </c>
      <c r="D289" s="52">
        <f>(D288+C288)/2*(D284-C284)</f>
        <v>0.14129999999999682</v>
      </c>
      <c r="E289" s="52">
        <f t="shared" ref="E289" si="55">(E288+D288)/2*(E284-D284)</f>
        <v>4.3549999999999034E-2</v>
      </c>
      <c r="F289" s="52">
        <f t="shared" ref="F289" si="56">(F288+E288)/2*(F284-E284)</f>
        <v>0.39999999999999147</v>
      </c>
      <c r="G289" s="52">
        <f t="shared" ref="G289" si="57">(G288+F288)/2*(G284-F284)</f>
        <v>0.39999999999999158</v>
      </c>
      <c r="H289" s="52">
        <f t="shared" ref="H289" si="58">(H288+G288)/2*(H284-G284)</f>
        <v>4.4049999999999145E-2</v>
      </c>
      <c r="I289" s="52">
        <f t="shared" ref="I289" si="59">(I288+H288)/2*(I284-H284)</f>
        <v>0.16834999999999814</v>
      </c>
      <c r="J289" s="52"/>
      <c r="K289" s="52"/>
      <c r="L289" s="52"/>
      <c r="M289" s="47"/>
      <c r="N289" s="77">
        <f>SUM(B289:M289)</f>
        <v>1.1972499999999762</v>
      </c>
      <c r="O289" s="21"/>
    </row>
    <row r="290" spans="1:15" ht="18" customHeight="1">
      <c r="A290" s="2"/>
      <c r="B290" s="2"/>
      <c r="C290" s="30"/>
      <c r="D290" s="30"/>
      <c r="E290" s="4"/>
      <c r="F290" s="4"/>
      <c r="G290" s="4"/>
      <c r="H290" s="4"/>
      <c r="I290" s="4"/>
      <c r="J290" s="179" t="s">
        <v>6</v>
      </c>
      <c r="K290" s="179"/>
      <c r="L290" s="179"/>
      <c r="M290" s="179"/>
      <c r="N290" s="110">
        <f>N289</f>
        <v>1.1972499999999762</v>
      </c>
      <c r="O290" s="21"/>
    </row>
    <row r="291" spans="1:15" ht="18" customHeight="1">
      <c r="A291" s="24"/>
      <c r="B291" s="78"/>
      <c r="C291" s="18"/>
      <c r="D291" s="18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</row>
    <row r="292" spans="1:15" ht="14.1" customHeight="1">
      <c r="A292" s="2"/>
      <c r="B292" s="2"/>
      <c r="C292" s="30"/>
      <c r="D292" s="30"/>
      <c r="E292" s="4"/>
      <c r="F292" s="4"/>
      <c r="G292" s="4"/>
      <c r="H292" s="4"/>
      <c r="I292" s="4"/>
      <c r="J292" s="180"/>
      <c r="K292" s="180"/>
      <c r="L292" s="180"/>
      <c r="M292" s="180"/>
      <c r="N292" s="30"/>
    </row>
    <row r="293" spans="1:15" ht="14.1" customHeight="1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</row>
    <row r="294" spans="1:15" ht="14.1" customHeight="1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</row>
    <row r="295" spans="1:15" ht="14.1" customHeight="1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</row>
    <row r="296" spans="1:15" ht="14.1" customHeight="1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</row>
    <row r="297" spans="1:15" ht="14.1" customHeight="1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</row>
    <row r="298" spans="1:15" ht="14.1" customHeight="1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</row>
    <row r="299" spans="1:15" ht="14.1" customHeight="1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</row>
    <row r="300" spans="1:15" ht="14.1" customHeight="1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</row>
    <row r="301" spans="1:15" ht="14.1" customHeight="1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</row>
    <row r="302" spans="1:15" ht="14.1" customHeight="1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</row>
    <row r="303" spans="1:15" ht="14.1" customHeight="1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</row>
    <row r="304" spans="1:15" ht="14.1" customHeight="1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</row>
    <row r="305" spans="1:14" ht="14.1" customHeight="1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</row>
    <row r="306" spans="1:14" ht="14.1" customHeight="1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</row>
    <row r="307" spans="1:14" ht="14.1" customHeight="1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</row>
    <row r="308" spans="1:14" ht="14.1" customHeight="1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</row>
    <row r="309" spans="1:14" ht="14.1" customHeight="1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</row>
    <row r="310" spans="1:14" ht="14.1" customHeight="1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</row>
    <row r="311" spans="1:14" ht="14.1" customHeight="1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</row>
    <row r="312" spans="1:14" ht="14.1" customHeight="1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</row>
    <row r="313" spans="1:14" ht="14.1" customHeight="1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</row>
    <row r="314" spans="1:14" ht="14.1" customHeight="1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</row>
    <row r="315" spans="1:14" ht="14.1" customHeight="1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</row>
    <row r="316" spans="1:14" ht="14.1" customHeight="1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</row>
    <row r="317" spans="1:14" ht="14.1" customHeight="1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</row>
    <row r="318" spans="1:14" ht="14.1" customHeight="1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</row>
    <row r="319" spans="1:14" ht="14.1" customHeight="1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</row>
    <row r="320" spans="1:14" ht="14.1" customHeight="1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</row>
    <row r="321" spans="1:16" ht="14.1" customHeight="1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</row>
    <row r="322" spans="1:16" ht="14.1" customHeight="1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</row>
    <row r="323" spans="1:16" ht="14.1" customHeight="1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</row>
    <row r="324" spans="1:16" ht="14.1" customHeight="1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</row>
    <row r="325" spans="1:16" ht="14.1" customHeight="1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</row>
    <row r="326" spans="1:16" ht="14.1" customHeight="1">
      <c r="A326" s="6"/>
      <c r="B326" s="181"/>
      <c r="C326" s="181"/>
      <c r="D326" s="181"/>
      <c r="E326" s="25"/>
      <c r="F326" s="25"/>
      <c r="G326" s="167"/>
      <c r="H326" s="167"/>
      <c r="I326" s="167"/>
      <c r="J326" s="7"/>
      <c r="K326" s="182"/>
      <c r="L326" s="182"/>
      <c r="M326" s="7"/>
      <c r="N326" s="7"/>
    </row>
    <row r="327" spans="1:16" ht="14.1" customHeight="1">
      <c r="A327" s="6"/>
      <c r="B327" s="170"/>
      <c r="C327" s="170"/>
      <c r="D327" s="170"/>
      <c r="E327" s="26"/>
      <c r="F327" s="26"/>
      <c r="G327" s="170"/>
      <c r="H327" s="170"/>
      <c r="I327" s="170"/>
      <c r="J327" s="25"/>
      <c r="K327" s="171"/>
      <c r="L327" s="171"/>
      <c r="M327" s="7"/>
      <c r="N327" s="7"/>
    </row>
    <row r="328" spans="1:16" ht="14.1" customHeight="1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</row>
    <row r="329" spans="1:16" ht="14.1" customHeight="1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</row>
    <row r="330" spans="1:16" ht="14.1" customHeight="1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</row>
    <row r="331" spans="1:16" ht="18.75" customHeight="1">
      <c r="A331" s="184" t="s">
        <v>0</v>
      </c>
      <c r="B331" s="185"/>
      <c r="C331" s="185"/>
      <c r="D331" s="185"/>
      <c r="E331" s="185"/>
      <c r="F331" s="185"/>
      <c r="G331" s="20">
        <v>6780</v>
      </c>
      <c r="H331" s="1" t="s">
        <v>15</v>
      </c>
      <c r="I331" s="1"/>
      <c r="J331" s="32"/>
      <c r="K331" s="1"/>
      <c r="L331" s="1"/>
      <c r="M331" s="1"/>
      <c r="N331" s="1"/>
    </row>
    <row r="332" spans="1:16" ht="18.75" customHeight="1">
      <c r="A332" s="42" t="s">
        <v>1</v>
      </c>
      <c r="B332" s="82"/>
      <c r="C332" s="83">
        <v>0</v>
      </c>
      <c r="D332" s="84">
        <v>0.6</v>
      </c>
      <c r="E332" s="84">
        <v>0.7</v>
      </c>
      <c r="F332" s="85">
        <v>1.7</v>
      </c>
      <c r="G332" s="85">
        <v>2.7</v>
      </c>
      <c r="H332" s="84">
        <v>2.8</v>
      </c>
      <c r="I332" s="52">
        <v>3.6</v>
      </c>
      <c r="J332" s="52"/>
      <c r="K332" s="84"/>
      <c r="L332" s="86"/>
      <c r="M332" s="45"/>
      <c r="N332" s="47"/>
      <c r="O332" s="22"/>
      <c r="P332" s="22"/>
    </row>
    <row r="333" spans="1:16" ht="18.75" customHeight="1">
      <c r="A333" s="42" t="s">
        <v>2</v>
      </c>
      <c r="B333" s="82"/>
      <c r="C333" s="83">
        <v>89.1</v>
      </c>
      <c r="D333" s="84">
        <v>88.32</v>
      </c>
      <c r="E333" s="84">
        <v>88.32</v>
      </c>
      <c r="F333" s="84">
        <v>88.32</v>
      </c>
      <c r="G333" s="84">
        <v>88.32</v>
      </c>
      <c r="H333" s="84">
        <v>88.32</v>
      </c>
      <c r="I333" s="84">
        <v>89.28</v>
      </c>
      <c r="J333" s="84"/>
      <c r="K333" s="84"/>
      <c r="L333" s="86"/>
      <c r="M333" s="45"/>
      <c r="N333" s="47"/>
      <c r="O333" s="21"/>
      <c r="P333" s="21"/>
    </row>
    <row r="334" spans="1:16" ht="18.75" customHeight="1">
      <c r="A334" s="42" t="s">
        <v>1</v>
      </c>
      <c r="B334" s="82"/>
      <c r="C334" s="83">
        <v>0</v>
      </c>
      <c r="D334" s="84">
        <v>0.6</v>
      </c>
      <c r="E334" s="84">
        <v>0.7</v>
      </c>
      <c r="F334" s="85">
        <v>1.7</v>
      </c>
      <c r="G334" s="85">
        <v>2.7</v>
      </c>
      <c r="H334" s="84">
        <v>2.8</v>
      </c>
      <c r="I334" s="52">
        <v>3.6</v>
      </c>
      <c r="J334" s="52"/>
      <c r="K334" s="84"/>
      <c r="L334" s="86"/>
      <c r="M334" s="45"/>
      <c r="N334" s="47"/>
      <c r="O334" s="22"/>
      <c r="P334" s="22"/>
    </row>
    <row r="335" spans="1:16" ht="18.75" customHeight="1">
      <c r="A335" s="42" t="s">
        <v>3</v>
      </c>
      <c r="B335" s="87"/>
      <c r="C335" s="83">
        <v>89.1</v>
      </c>
      <c r="D335" s="84">
        <v>88.790999999999997</v>
      </c>
      <c r="E335" s="84">
        <v>88.74</v>
      </c>
      <c r="F335" s="84">
        <v>88.74</v>
      </c>
      <c r="G335" s="84">
        <v>88.74</v>
      </c>
      <c r="H335" s="84">
        <v>88.8</v>
      </c>
      <c r="I335" s="84">
        <v>89.28</v>
      </c>
      <c r="J335" s="84"/>
      <c r="K335" s="84"/>
      <c r="L335" s="86"/>
      <c r="M335" s="45"/>
      <c r="N335" s="52"/>
      <c r="O335" s="23"/>
      <c r="P335" s="23"/>
    </row>
    <row r="336" spans="1:16" ht="18.75" customHeight="1">
      <c r="A336" s="42" t="s">
        <v>18</v>
      </c>
      <c r="B336" s="87"/>
      <c r="C336" s="52">
        <f t="shared" ref="C336" si="60">C333-C335</f>
        <v>0</v>
      </c>
      <c r="D336" s="52">
        <f>D335-D333</f>
        <v>0.47100000000000364</v>
      </c>
      <c r="E336" s="52">
        <f t="shared" ref="E336:I336" si="61">E335-E333</f>
        <v>0.42000000000000171</v>
      </c>
      <c r="F336" s="52">
        <f t="shared" si="61"/>
        <v>0.42000000000000171</v>
      </c>
      <c r="G336" s="52">
        <f t="shared" si="61"/>
        <v>0.42000000000000171</v>
      </c>
      <c r="H336" s="52">
        <f t="shared" si="61"/>
        <v>0.48000000000000398</v>
      </c>
      <c r="I336" s="52">
        <f t="shared" si="61"/>
        <v>0</v>
      </c>
      <c r="J336" s="52"/>
      <c r="K336" s="52"/>
      <c r="L336" s="52"/>
      <c r="M336" s="47"/>
      <c r="N336" s="47"/>
      <c r="O336" s="21"/>
      <c r="P336" s="21"/>
    </row>
    <row r="337" spans="1:16" ht="18.75" customHeight="1">
      <c r="A337" s="42" t="s">
        <v>5</v>
      </c>
      <c r="B337" s="87"/>
      <c r="C337" s="52">
        <f t="shared" ref="C337" si="62">(C336+B336)/2*(C332-B332)</f>
        <v>0</v>
      </c>
      <c r="D337" s="52">
        <f>(D336+C336)/2*(D332-C332)</f>
        <v>0.14130000000000109</v>
      </c>
      <c r="E337" s="52">
        <f t="shared" ref="E337" si="63">(E336+D336)/2*(E332-D332)</f>
        <v>4.4550000000000256E-2</v>
      </c>
      <c r="F337" s="52">
        <f t="shared" ref="F337" si="64">(F336+E336)/2*(F332-E332)</f>
        <v>0.42000000000000171</v>
      </c>
      <c r="G337" s="52">
        <f t="shared" ref="G337" si="65">(G336+F336)/2*(G332-F332)</f>
        <v>0.42000000000000182</v>
      </c>
      <c r="H337" s="52">
        <f t="shared" ref="H337" si="66">(H336+G336)/2*(H332-G332)</f>
        <v>4.5000000000000123E-2</v>
      </c>
      <c r="I337" s="52">
        <f t="shared" ref="I337" si="67">(I336+H336)/2*(I332-H332)</f>
        <v>0.19200000000000167</v>
      </c>
      <c r="J337" s="52"/>
      <c r="K337" s="52"/>
      <c r="L337" s="52"/>
      <c r="M337" s="47"/>
      <c r="N337" s="77">
        <f>SUM(B337:M337)</f>
        <v>1.2628500000000069</v>
      </c>
      <c r="O337" s="21"/>
      <c r="P337" s="21"/>
    </row>
    <row r="338" spans="1:16" ht="18.75" customHeight="1">
      <c r="A338" s="2"/>
      <c r="B338" s="2"/>
      <c r="C338" s="30"/>
      <c r="D338" s="30"/>
      <c r="E338" s="4"/>
      <c r="F338" s="4"/>
      <c r="G338" s="4"/>
      <c r="H338" s="4"/>
      <c r="I338" s="4"/>
      <c r="J338" s="179" t="s">
        <v>6</v>
      </c>
      <c r="K338" s="179"/>
      <c r="L338" s="179"/>
      <c r="M338" s="179"/>
      <c r="N338" s="110">
        <f>N337</f>
        <v>1.2628500000000069</v>
      </c>
      <c r="O338" s="21"/>
      <c r="P338" s="21"/>
    </row>
    <row r="339" spans="1:16" ht="18.75" customHeight="1">
      <c r="A339" s="24"/>
      <c r="B339" s="78"/>
      <c r="C339" s="18"/>
      <c r="D339" s="18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31"/>
      <c r="P339" s="21"/>
    </row>
    <row r="340" spans="1:16" ht="18.75" customHeight="1">
      <c r="A340" s="2"/>
      <c r="B340" s="2"/>
      <c r="C340" s="30"/>
      <c r="D340" s="30"/>
      <c r="E340" s="4"/>
      <c r="F340" s="4"/>
      <c r="G340" s="4"/>
      <c r="H340" s="4"/>
      <c r="I340" s="4"/>
      <c r="J340" s="180"/>
      <c r="K340" s="180"/>
      <c r="L340" s="180"/>
      <c r="M340" s="180"/>
      <c r="N340" s="30"/>
    </row>
    <row r="341" spans="1:16" ht="14.1" customHeight="1">
      <c r="A341" s="6"/>
      <c r="B341" s="6"/>
      <c r="C341" s="7"/>
      <c r="D341" s="7"/>
      <c r="E341" s="7"/>
      <c r="F341" s="7"/>
      <c r="G341" s="7"/>
      <c r="H341" s="7"/>
      <c r="I341" s="7"/>
      <c r="K341" s="7"/>
      <c r="L341" s="7"/>
      <c r="M341" s="7"/>
      <c r="N341" s="7"/>
    </row>
    <row r="342" spans="1:16" ht="14.1" customHeight="1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</row>
    <row r="343" spans="1:16" ht="14.1" customHeight="1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</row>
    <row r="344" spans="1:16" ht="14.1" customHeight="1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</row>
    <row r="345" spans="1:16" ht="14.1" customHeight="1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</row>
    <row r="346" spans="1:16" ht="14.1" customHeight="1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</row>
    <row r="347" spans="1:16" ht="14.1" customHeight="1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</row>
    <row r="348" spans="1:16" ht="14.1" customHeight="1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</row>
    <row r="349" spans="1:16" ht="14.1" customHeight="1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</row>
    <row r="350" spans="1:16" ht="14.1" customHeight="1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</row>
    <row r="351" spans="1:16" ht="14.1" customHeight="1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</row>
    <row r="352" spans="1:16" ht="14.1" customHeight="1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</row>
    <row r="353" spans="1:16" ht="14.1" customHeight="1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</row>
    <row r="354" spans="1:16" ht="14.1" customHeight="1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</row>
    <row r="355" spans="1:16" ht="14.1" customHeight="1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</row>
    <row r="356" spans="1:16" ht="14.1" customHeight="1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</row>
    <row r="357" spans="1:16" ht="14.1" customHeight="1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</row>
    <row r="358" spans="1:16" ht="14.1" customHeight="1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</row>
    <row r="359" spans="1:16" ht="14.1" customHeight="1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</row>
    <row r="360" spans="1:16" ht="14.1" customHeight="1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</row>
    <row r="361" spans="1:16" ht="14.1" customHeight="1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</row>
    <row r="362" spans="1:16" ht="14.1" customHeight="1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</row>
    <row r="363" spans="1:16" ht="14.1" customHeight="1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</row>
    <row r="364" spans="1:16" ht="14.1" customHeight="1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</row>
    <row r="365" spans="1:16" ht="14.1" customHeight="1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</row>
    <row r="366" spans="1:16" ht="14.1" customHeight="1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</row>
    <row r="367" spans="1:16" ht="18" customHeight="1">
      <c r="A367" s="184" t="s">
        <v>0</v>
      </c>
      <c r="B367" s="185"/>
      <c r="C367" s="185"/>
      <c r="D367" s="185"/>
      <c r="E367" s="185"/>
      <c r="F367" s="185"/>
      <c r="G367" s="20">
        <v>6840</v>
      </c>
      <c r="H367" s="1" t="s">
        <v>15</v>
      </c>
      <c r="I367" s="1"/>
      <c r="J367" s="32"/>
      <c r="K367" s="1"/>
      <c r="L367" s="1"/>
      <c r="M367" s="1"/>
      <c r="N367" s="1"/>
    </row>
    <row r="368" spans="1:16" ht="18" customHeight="1">
      <c r="A368" s="42" t="s">
        <v>1</v>
      </c>
      <c r="B368" s="82"/>
      <c r="C368" s="83">
        <v>0</v>
      </c>
      <c r="D368" s="84">
        <v>0.6</v>
      </c>
      <c r="E368" s="84">
        <v>0.7</v>
      </c>
      <c r="F368" s="85">
        <v>1.7</v>
      </c>
      <c r="G368" s="85">
        <v>2.7</v>
      </c>
      <c r="H368" s="84">
        <v>2.8</v>
      </c>
      <c r="I368" s="52">
        <v>3.5</v>
      </c>
      <c r="J368" s="52"/>
      <c r="K368" s="84"/>
      <c r="L368" s="86"/>
      <c r="M368" s="45"/>
      <c r="N368" s="47"/>
      <c r="O368" s="22"/>
      <c r="P368" s="22"/>
    </row>
    <row r="369" spans="1:16" ht="18" customHeight="1">
      <c r="A369" s="42" t="s">
        <v>2</v>
      </c>
      <c r="B369" s="82"/>
      <c r="C369" s="83">
        <v>88.96</v>
      </c>
      <c r="D369" s="84">
        <v>88.17</v>
      </c>
      <c r="E369" s="84">
        <v>88.17</v>
      </c>
      <c r="F369" s="84">
        <v>88.17</v>
      </c>
      <c r="G369" s="84">
        <v>88.17</v>
      </c>
      <c r="H369" s="84">
        <v>88.17</v>
      </c>
      <c r="I369" s="84">
        <v>89.13</v>
      </c>
      <c r="J369" s="84"/>
      <c r="K369" s="84"/>
      <c r="L369" s="86"/>
      <c r="M369" s="45"/>
      <c r="N369" s="47"/>
      <c r="O369" s="21"/>
      <c r="P369" s="21"/>
    </row>
    <row r="370" spans="1:16" ht="18" customHeight="1">
      <c r="A370" s="42" t="s">
        <v>1</v>
      </c>
      <c r="B370" s="82"/>
      <c r="C370" s="83">
        <v>0</v>
      </c>
      <c r="D370" s="84">
        <v>0.6</v>
      </c>
      <c r="E370" s="84">
        <v>0.7</v>
      </c>
      <c r="F370" s="85">
        <v>1.7</v>
      </c>
      <c r="G370" s="85">
        <v>2.7</v>
      </c>
      <c r="H370" s="84">
        <v>2.8</v>
      </c>
      <c r="I370" s="52">
        <v>3.5</v>
      </c>
      <c r="J370" s="52"/>
      <c r="K370" s="84"/>
      <c r="L370" s="86"/>
      <c r="M370" s="45"/>
      <c r="N370" s="47"/>
      <c r="O370" s="22"/>
      <c r="P370" s="22"/>
    </row>
    <row r="371" spans="1:16" ht="18" customHeight="1">
      <c r="A371" s="42" t="s">
        <v>3</v>
      </c>
      <c r="B371" s="87"/>
      <c r="C371" s="83">
        <v>88.96</v>
      </c>
      <c r="D371" s="84">
        <v>88.66</v>
      </c>
      <c r="E371" s="84">
        <v>88.61</v>
      </c>
      <c r="F371" s="84">
        <v>88.61</v>
      </c>
      <c r="G371" s="84">
        <v>88.61</v>
      </c>
      <c r="H371" s="84">
        <v>88.674999999999997</v>
      </c>
      <c r="I371" s="84">
        <v>89.13</v>
      </c>
      <c r="J371" s="84"/>
      <c r="K371" s="84"/>
      <c r="L371" s="86"/>
      <c r="M371" s="45"/>
      <c r="N371" s="52"/>
      <c r="O371" s="23"/>
      <c r="P371" s="23"/>
    </row>
    <row r="372" spans="1:16" ht="18" customHeight="1">
      <c r="A372" s="42" t="s">
        <v>18</v>
      </c>
      <c r="B372" s="87"/>
      <c r="C372" s="52">
        <f t="shared" ref="C372" si="68">C369-C371</f>
        <v>0</v>
      </c>
      <c r="D372" s="52">
        <f>D371-D369</f>
        <v>0.48999999999999488</v>
      </c>
      <c r="E372" s="52">
        <f t="shared" ref="E372:I372" si="69">E371-E369</f>
        <v>0.43999999999999773</v>
      </c>
      <c r="F372" s="52">
        <f t="shared" si="69"/>
        <v>0.43999999999999773</v>
      </c>
      <c r="G372" s="52">
        <f t="shared" si="69"/>
        <v>0.43999999999999773</v>
      </c>
      <c r="H372" s="52">
        <f t="shared" si="69"/>
        <v>0.50499999999999545</v>
      </c>
      <c r="I372" s="52">
        <f t="shared" si="69"/>
        <v>0</v>
      </c>
      <c r="J372" s="52"/>
      <c r="K372" s="52"/>
      <c r="L372" s="52"/>
      <c r="M372" s="47"/>
      <c r="N372" s="47"/>
      <c r="O372" s="21"/>
      <c r="P372" s="21"/>
    </row>
    <row r="373" spans="1:16" ht="18" customHeight="1">
      <c r="A373" s="42" t="s">
        <v>5</v>
      </c>
      <c r="B373" s="87"/>
      <c r="C373" s="52">
        <f t="shared" ref="C373" si="70">(C372+B372)/2*(C368-B368)</f>
        <v>0</v>
      </c>
      <c r="D373" s="52">
        <f>(D372+C372)/2*(D368-C368)</f>
        <v>0.14699999999999847</v>
      </c>
      <c r="E373" s="52">
        <f t="shared" ref="E373" si="71">(E372+D372)/2*(E368-D368)</f>
        <v>4.6499999999999618E-2</v>
      </c>
      <c r="F373" s="52">
        <f t="shared" ref="F373" si="72">(F372+E372)/2*(F368-E368)</f>
        <v>0.43999999999999773</v>
      </c>
      <c r="G373" s="52">
        <f t="shared" ref="G373" si="73">(G372+F372)/2*(G368-F368)</f>
        <v>0.43999999999999784</v>
      </c>
      <c r="H373" s="52">
        <f t="shared" ref="H373" si="74">(H372+G372)/2*(H368-G368)</f>
        <v>4.7249999999999494E-2</v>
      </c>
      <c r="I373" s="52">
        <f t="shared" ref="I373" si="75">(I372+H372)/2*(I368-H368)</f>
        <v>0.17674999999999846</v>
      </c>
      <c r="J373" s="52"/>
      <c r="K373" s="52"/>
      <c r="L373" s="52"/>
      <c r="M373" s="47"/>
      <c r="N373" s="77">
        <f>SUM(B373:M373)</f>
        <v>1.2974999999999917</v>
      </c>
      <c r="O373" s="21"/>
      <c r="P373" s="21"/>
    </row>
    <row r="374" spans="1:16" ht="18" customHeight="1">
      <c r="A374" s="2"/>
      <c r="B374" s="2"/>
      <c r="C374" s="30"/>
      <c r="D374" s="30"/>
      <c r="E374" s="4"/>
      <c r="F374" s="4"/>
      <c r="G374" s="4"/>
      <c r="H374" s="4"/>
      <c r="I374" s="4"/>
      <c r="J374" s="179" t="s">
        <v>6</v>
      </c>
      <c r="K374" s="179"/>
      <c r="L374" s="179"/>
      <c r="M374" s="179"/>
      <c r="N374" s="110">
        <f>N373</f>
        <v>1.2974999999999917</v>
      </c>
      <c r="O374" s="21"/>
      <c r="P374" s="21"/>
    </row>
    <row r="375" spans="1:16" ht="18" customHeight="1">
      <c r="A375" s="24"/>
      <c r="B375" s="78"/>
      <c r="C375" s="18"/>
      <c r="D375" s="18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31"/>
      <c r="P375" s="21"/>
    </row>
    <row r="376" spans="1:16" ht="14.1" customHeight="1">
      <c r="A376" s="2"/>
      <c r="B376" s="2"/>
      <c r="C376" s="30"/>
      <c r="D376" s="30"/>
      <c r="E376" s="4"/>
      <c r="F376" s="4"/>
      <c r="G376" s="4"/>
      <c r="H376" s="4"/>
      <c r="I376" s="4"/>
      <c r="J376" s="180"/>
      <c r="K376" s="180"/>
      <c r="L376" s="180"/>
      <c r="M376" s="180"/>
      <c r="N376" s="30"/>
    </row>
    <row r="377" spans="1:16" ht="14.1" customHeight="1">
      <c r="A377" s="2"/>
      <c r="B377" s="2"/>
      <c r="C377" s="30"/>
      <c r="D377" s="30"/>
      <c r="E377" s="4"/>
      <c r="F377" s="4"/>
      <c r="G377" s="4"/>
      <c r="H377" s="4"/>
      <c r="I377" s="4"/>
      <c r="J377" s="30"/>
      <c r="K377" s="30"/>
      <c r="L377" s="30"/>
      <c r="M377" s="30"/>
      <c r="N377" s="30"/>
    </row>
    <row r="378" spans="1:16" ht="14.1" customHeight="1">
      <c r="A378" s="2"/>
      <c r="B378" s="2"/>
      <c r="C378" s="30"/>
      <c r="D378" s="30"/>
      <c r="E378" s="4"/>
      <c r="F378" s="4"/>
      <c r="G378" s="4"/>
      <c r="H378" s="4"/>
      <c r="I378" s="4"/>
      <c r="J378" s="30"/>
      <c r="K378" s="30"/>
      <c r="L378" s="30"/>
      <c r="M378" s="30"/>
      <c r="N378" s="30"/>
    </row>
    <row r="379" spans="1:16" ht="14.1" customHeight="1">
      <c r="A379" s="6"/>
      <c r="B379" s="6"/>
      <c r="C379" s="7"/>
      <c r="D379" s="7"/>
      <c r="E379" s="7"/>
      <c r="F379" s="7"/>
      <c r="G379" s="7"/>
      <c r="H379" s="7"/>
      <c r="I379" s="7"/>
      <c r="K379" s="7"/>
      <c r="L379" s="7"/>
      <c r="M379" s="7"/>
      <c r="N379" s="7"/>
    </row>
    <row r="380" spans="1:16" ht="14.1" customHeight="1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</row>
    <row r="381" spans="1:16" ht="14.1" customHeight="1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</row>
    <row r="382" spans="1:16" ht="14.1" customHeight="1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</row>
    <row r="383" spans="1:16" ht="14.1" customHeight="1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</row>
    <row r="384" spans="1:16" ht="14.1" customHeight="1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</row>
    <row r="385" spans="1:14" ht="14.1" customHeight="1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</row>
    <row r="386" spans="1:14" ht="14.1" customHeight="1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</row>
    <row r="387" spans="1:14" ht="14.1" customHeight="1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</row>
    <row r="388" spans="1:14" ht="14.1" customHeight="1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</row>
    <row r="389" spans="1:14" ht="14.1" customHeight="1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</row>
    <row r="390" spans="1:14" ht="14.1" customHeight="1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</row>
    <row r="391" spans="1:14" ht="14.1" customHeight="1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</row>
    <row r="392" spans="1:14" ht="14.1" customHeight="1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</row>
    <row r="393" spans="1:14" ht="14.1" customHeight="1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</row>
    <row r="394" spans="1:14" ht="14.1" customHeight="1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</row>
    <row r="395" spans="1:14" ht="14.1" customHeight="1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</row>
    <row r="396" spans="1:14" ht="14.1" customHeight="1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</row>
    <row r="397" spans="1:14" ht="14.1" customHeight="1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</row>
    <row r="398" spans="1:14" ht="14.1" customHeight="1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</row>
    <row r="399" spans="1:14" ht="14.1" customHeight="1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</row>
    <row r="400" spans="1:14" ht="14.1" customHeight="1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</row>
    <row r="401" spans="1:14" ht="14.1" customHeight="1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</row>
    <row r="402" spans="1:14" ht="14.1" customHeight="1">
      <c r="A402" s="6"/>
      <c r="B402" s="181"/>
      <c r="C402" s="181"/>
      <c r="D402" s="181"/>
      <c r="E402" s="25"/>
      <c r="F402" s="25"/>
      <c r="G402" s="167"/>
      <c r="H402" s="167"/>
      <c r="I402" s="167"/>
      <c r="J402" s="7"/>
      <c r="K402" s="182"/>
      <c r="L402" s="182"/>
      <c r="M402" s="7"/>
      <c r="N402" s="7"/>
    </row>
    <row r="403" spans="1:14" ht="14.1" customHeight="1">
      <c r="A403" s="6"/>
      <c r="B403" s="170"/>
      <c r="C403" s="170"/>
      <c r="D403" s="170"/>
      <c r="E403" s="26"/>
      <c r="F403" s="26"/>
      <c r="G403" s="170"/>
      <c r="H403" s="170"/>
      <c r="I403" s="170"/>
      <c r="J403" s="25"/>
      <c r="K403" s="171"/>
      <c r="L403" s="171"/>
      <c r="M403" s="7"/>
      <c r="N403" s="7"/>
    </row>
    <row r="404" spans="1:14" ht="14.1" customHeight="1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</row>
    <row r="405" spans="1:14" ht="14.1" customHeight="1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</row>
    <row r="406" spans="1:14" ht="14.1" customHeight="1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</row>
    <row r="407" spans="1:14" ht="14.1" customHeight="1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</row>
    <row r="408" spans="1:14" ht="14.1" customHeight="1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</row>
    <row r="409" spans="1:14" ht="14.1" customHeight="1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</row>
    <row r="410" spans="1:14" ht="14.1" customHeight="1">
      <c r="A410" s="6"/>
      <c r="B410" s="181"/>
      <c r="C410" s="181"/>
      <c r="D410" s="181"/>
      <c r="E410" s="25"/>
      <c r="F410" s="25"/>
      <c r="G410" s="167"/>
      <c r="H410" s="167"/>
      <c r="I410" s="167"/>
      <c r="J410" s="7"/>
      <c r="K410" s="182"/>
      <c r="L410" s="182"/>
      <c r="M410" s="7"/>
      <c r="N410" s="7"/>
    </row>
    <row r="411" spans="1:14" ht="14.1" customHeight="1">
      <c r="A411" s="6"/>
      <c r="B411" s="170"/>
      <c r="C411" s="170"/>
      <c r="D411" s="170"/>
      <c r="E411" s="26"/>
      <c r="F411" s="26"/>
      <c r="G411" s="170"/>
      <c r="H411" s="170"/>
      <c r="I411" s="170"/>
      <c r="J411" s="25"/>
      <c r="K411" s="171"/>
      <c r="L411" s="171"/>
      <c r="M411" s="7"/>
      <c r="N411" s="7"/>
    </row>
    <row r="412" spans="1:14" ht="14.1" customHeight="1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</row>
    <row r="413" spans="1:14" ht="14.1" customHeight="1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</row>
    <row r="414" spans="1:14" ht="18" customHeight="1">
      <c r="A414" s="184" t="s">
        <v>0</v>
      </c>
      <c r="B414" s="185"/>
      <c r="C414" s="185"/>
      <c r="D414" s="185"/>
      <c r="E414" s="185"/>
      <c r="F414" s="185"/>
      <c r="G414" s="20">
        <v>6900</v>
      </c>
      <c r="H414" s="1" t="s">
        <v>15</v>
      </c>
      <c r="I414" s="1"/>
      <c r="J414" s="32"/>
      <c r="K414" s="1"/>
      <c r="L414" s="1"/>
      <c r="M414" s="1"/>
      <c r="N414" s="1"/>
    </row>
    <row r="415" spans="1:14" ht="18" customHeight="1">
      <c r="A415" s="42" t="s">
        <v>1</v>
      </c>
      <c r="B415" s="82"/>
      <c r="C415" s="83">
        <v>0</v>
      </c>
      <c r="D415" s="84">
        <v>0.6</v>
      </c>
      <c r="E415" s="84">
        <v>0.7</v>
      </c>
      <c r="F415" s="85">
        <v>1.7</v>
      </c>
      <c r="G415" s="85">
        <v>2.7</v>
      </c>
      <c r="H415" s="84">
        <v>2.8</v>
      </c>
      <c r="I415" s="52">
        <v>3.5</v>
      </c>
      <c r="J415" s="52"/>
      <c r="K415" s="84"/>
      <c r="L415" s="86"/>
      <c r="M415" s="45"/>
      <c r="N415" s="47"/>
    </row>
    <row r="416" spans="1:14" ht="18" customHeight="1">
      <c r="A416" s="42" t="s">
        <v>2</v>
      </c>
      <c r="B416" s="82"/>
      <c r="C416" s="83">
        <v>88.64</v>
      </c>
      <c r="D416" s="84">
        <v>88.15</v>
      </c>
      <c r="E416" s="84">
        <v>88.15</v>
      </c>
      <c r="F416" s="84">
        <v>88.15</v>
      </c>
      <c r="G416" s="84">
        <v>88.15</v>
      </c>
      <c r="H416" s="84">
        <v>88.15</v>
      </c>
      <c r="I416" s="84">
        <v>88.81</v>
      </c>
      <c r="J416" s="84"/>
      <c r="K416" s="84"/>
      <c r="L416" s="86"/>
      <c r="M416" s="45"/>
      <c r="N416" s="47"/>
    </row>
    <row r="417" spans="1:14" ht="18" customHeight="1">
      <c r="A417" s="42" t="s">
        <v>1</v>
      </c>
      <c r="B417" s="82"/>
      <c r="C417" s="83">
        <v>0</v>
      </c>
      <c r="D417" s="84">
        <v>0.6</v>
      </c>
      <c r="E417" s="84">
        <v>0.7</v>
      </c>
      <c r="F417" s="85">
        <v>1.7</v>
      </c>
      <c r="G417" s="85">
        <v>2.7</v>
      </c>
      <c r="H417" s="84">
        <v>2.8</v>
      </c>
      <c r="I417" s="52">
        <v>3.5</v>
      </c>
      <c r="J417" s="52"/>
      <c r="K417" s="84"/>
      <c r="L417" s="86"/>
      <c r="M417" s="45"/>
      <c r="N417" s="47"/>
    </row>
    <row r="418" spans="1:14" ht="18" customHeight="1">
      <c r="A418" s="42" t="s">
        <v>3</v>
      </c>
      <c r="B418" s="87"/>
      <c r="C418" s="83">
        <v>88.64</v>
      </c>
      <c r="D418" s="84">
        <v>88.477000000000004</v>
      </c>
      <c r="E418" s="84">
        <v>88.45</v>
      </c>
      <c r="F418" s="84">
        <v>88.45</v>
      </c>
      <c r="G418" s="84">
        <v>88.45</v>
      </c>
      <c r="H418" s="84">
        <v>88.495000000000005</v>
      </c>
      <c r="I418" s="84">
        <v>88.81</v>
      </c>
      <c r="J418" s="84"/>
      <c r="K418" s="84"/>
      <c r="L418" s="86"/>
      <c r="M418" s="45"/>
      <c r="N418" s="52"/>
    </row>
    <row r="419" spans="1:14" ht="18" customHeight="1">
      <c r="A419" s="42" t="s">
        <v>18</v>
      </c>
      <c r="B419" s="87"/>
      <c r="C419" s="52">
        <f t="shared" ref="C419" si="76">C416-C418</f>
        <v>0</v>
      </c>
      <c r="D419" s="52">
        <f>D418-D416</f>
        <v>0.32699999999999818</v>
      </c>
      <c r="E419" s="52">
        <f t="shared" ref="E419:I419" si="77">E418-E416</f>
        <v>0.29999999999999716</v>
      </c>
      <c r="F419" s="52">
        <f t="shared" si="77"/>
        <v>0.29999999999999716</v>
      </c>
      <c r="G419" s="52">
        <f t="shared" si="77"/>
        <v>0.29999999999999716</v>
      </c>
      <c r="H419" s="52">
        <f t="shared" si="77"/>
        <v>0.34499999999999886</v>
      </c>
      <c r="I419" s="52">
        <f t="shared" si="77"/>
        <v>0</v>
      </c>
      <c r="J419" s="52"/>
      <c r="K419" s="52"/>
      <c r="L419" s="52"/>
      <c r="M419" s="47"/>
      <c r="N419" s="47"/>
    </row>
    <row r="420" spans="1:14" ht="18" customHeight="1">
      <c r="A420" s="42" t="s">
        <v>5</v>
      </c>
      <c r="B420" s="87"/>
      <c r="C420" s="52">
        <f t="shared" ref="C420" si="78">(C419+B419)/2*(C415-B415)</f>
        <v>0</v>
      </c>
      <c r="D420" s="52">
        <f>(D419+C419)/2*(D415-C415)</f>
        <v>9.8099999999999452E-2</v>
      </c>
      <c r="E420" s="52">
        <f t="shared" ref="E420" si="79">(E419+D419)/2*(E415-D415)</f>
        <v>3.134999999999976E-2</v>
      </c>
      <c r="F420" s="52">
        <f t="shared" ref="F420" si="80">(F419+E419)/2*(F415-E415)</f>
        <v>0.29999999999999716</v>
      </c>
      <c r="G420" s="52">
        <f t="shared" ref="G420" si="81">(G419+F419)/2*(G415-F415)</f>
        <v>0.29999999999999721</v>
      </c>
      <c r="H420" s="52">
        <f t="shared" ref="H420" si="82">(H419+G419)/2*(H415-G415)</f>
        <v>3.2249999999999689E-2</v>
      </c>
      <c r="I420" s="52">
        <f t="shared" ref="I420" si="83">(I419+H419)/2*(I415-H415)</f>
        <v>0.12074999999999964</v>
      </c>
      <c r="J420" s="52"/>
      <c r="K420" s="52"/>
      <c r="L420" s="52"/>
      <c r="M420" s="47"/>
      <c r="N420" s="77">
        <f>SUM(B420:M420)</f>
        <v>0.88244999999999285</v>
      </c>
    </row>
    <row r="421" spans="1:14" ht="18" customHeight="1">
      <c r="A421" s="2"/>
      <c r="B421" s="2"/>
      <c r="C421" s="30"/>
      <c r="D421" s="30"/>
      <c r="E421" s="4"/>
      <c r="F421" s="4"/>
      <c r="G421" s="4"/>
      <c r="H421" s="4"/>
      <c r="I421" s="4"/>
      <c r="J421" s="179" t="s">
        <v>6</v>
      </c>
      <c r="K421" s="179"/>
      <c r="L421" s="179"/>
      <c r="M421" s="179"/>
      <c r="N421" s="110">
        <f>N420</f>
        <v>0.88244999999999285</v>
      </c>
    </row>
    <row r="422" spans="1:14" ht="18" customHeight="1">
      <c r="A422" s="24"/>
      <c r="B422" s="78"/>
      <c r="C422" s="18"/>
      <c r="D422" s="18"/>
      <c r="E422" s="21"/>
      <c r="F422" s="21"/>
      <c r="G422" s="21"/>
      <c r="H422" s="21"/>
      <c r="I422" s="21"/>
      <c r="J422" s="21"/>
      <c r="K422" s="21"/>
      <c r="L422" s="21"/>
      <c r="M422" s="21"/>
      <c r="N422" s="21"/>
    </row>
    <row r="423" spans="1:14" ht="14.1" customHeight="1">
      <c r="A423" s="2"/>
      <c r="B423" s="2"/>
      <c r="C423" s="30"/>
      <c r="D423" s="30"/>
      <c r="E423" s="4"/>
      <c r="F423" s="4"/>
      <c r="G423" s="4"/>
      <c r="H423" s="4"/>
      <c r="I423" s="4"/>
      <c r="J423" s="180"/>
      <c r="K423" s="180"/>
      <c r="L423" s="180"/>
      <c r="M423" s="180"/>
      <c r="N423" s="30"/>
    </row>
    <row r="424" spans="1:14" ht="14.1" customHeight="1">
      <c r="A424" s="6"/>
      <c r="B424" s="6"/>
      <c r="C424" s="7"/>
      <c r="D424" s="7"/>
      <c r="E424" s="7"/>
      <c r="F424" s="7"/>
      <c r="G424" s="7"/>
      <c r="H424" s="7"/>
      <c r="I424" s="7"/>
      <c r="K424" s="7"/>
      <c r="L424" s="7"/>
      <c r="M424" s="7"/>
      <c r="N424" s="7"/>
    </row>
    <row r="425" spans="1:14" ht="14.1" customHeight="1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</row>
    <row r="426" spans="1:14" ht="14.1" customHeight="1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</row>
    <row r="427" spans="1:14" ht="14.1" customHeight="1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</row>
    <row r="428" spans="1:14" ht="14.1" customHeight="1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</row>
    <row r="429" spans="1:14" ht="14.1" customHeight="1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</row>
    <row r="430" spans="1:14" ht="14.1" customHeight="1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</row>
    <row r="431" spans="1:14" ht="14.1" customHeight="1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</row>
    <row r="432" spans="1:14" ht="14.1" customHeight="1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</row>
    <row r="433" spans="1:14" ht="14.1" customHeight="1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</row>
    <row r="434" spans="1:14" ht="14.1" customHeight="1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</row>
    <row r="435" spans="1:14" ht="14.1" customHeight="1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</row>
    <row r="436" spans="1:14" ht="14.1" customHeight="1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</row>
    <row r="437" spans="1:14" ht="14.1" customHeight="1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</row>
    <row r="438" spans="1:14" ht="14.1" customHeight="1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</row>
    <row r="439" spans="1:14" ht="14.1" customHeight="1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</row>
    <row r="440" spans="1:14" ht="14.1" customHeight="1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</row>
    <row r="441" spans="1:14" ht="14.1" customHeight="1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</row>
    <row r="442" spans="1:14" ht="14.1" customHeight="1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</row>
    <row r="443" spans="1:14" ht="14.1" customHeight="1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</row>
    <row r="444" spans="1:14" ht="14.1" customHeight="1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</row>
    <row r="445" spans="1:14" ht="14.1" customHeight="1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</row>
    <row r="446" spans="1:14" ht="14.1" customHeight="1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</row>
    <row r="447" spans="1:14" ht="14.1" customHeight="1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</row>
    <row r="448" spans="1:14" ht="14.1" customHeight="1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</row>
    <row r="449" spans="1:14" ht="14.1" customHeight="1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</row>
    <row r="450" spans="1:14" ht="14.1" customHeight="1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</row>
    <row r="451" spans="1:14" ht="14.1" customHeight="1">
      <c r="B451" s="181"/>
      <c r="C451" s="181"/>
      <c r="D451" s="181"/>
      <c r="E451" s="25"/>
      <c r="F451" s="25"/>
      <c r="G451" s="167"/>
      <c r="H451" s="167"/>
      <c r="I451" s="167"/>
      <c r="J451" s="7"/>
      <c r="K451" s="182"/>
      <c r="L451" s="182"/>
    </row>
    <row r="452" spans="1:14" ht="14.1" customHeight="1">
      <c r="B452" s="170"/>
      <c r="C452" s="170"/>
      <c r="D452" s="170"/>
      <c r="E452" s="26"/>
      <c r="F452" s="26"/>
      <c r="G452" s="170"/>
      <c r="H452" s="170"/>
      <c r="I452" s="170"/>
      <c r="J452" s="25"/>
      <c r="K452" s="171"/>
      <c r="L452" s="171"/>
    </row>
    <row r="453" spans="1:14" ht="14.1" customHeight="1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</row>
    <row r="454" spans="1:14" ht="14.1" customHeight="1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</row>
    <row r="455" spans="1:14" ht="14.1" customHeight="1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</row>
    <row r="456" spans="1:14" ht="14.1" customHeight="1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</row>
    <row r="457" spans="1:14" ht="14.1" customHeight="1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</row>
    <row r="458" spans="1:14" ht="14.1" customHeight="1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</row>
    <row r="459" spans="1:14" ht="14.1" customHeight="1"/>
    <row r="460" spans="1:14" ht="14.1" customHeight="1"/>
    <row r="461" spans="1:14" ht="14.1" customHeight="1"/>
    <row r="462" spans="1:14" ht="14.1" customHeight="1"/>
    <row r="463" spans="1:14" ht="14.1" customHeight="1"/>
    <row r="464" spans="1:14" ht="14.1" customHeight="1"/>
    <row r="465" ht="14.1" customHeight="1"/>
    <row r="466" ht="14.1" customHeight="1"/>
    <row r="467" ht="14.1" customHeight="1"/>
    <row r="468" ht="14.1" customHeight="1"/>
    <row r="469" ht="14.1" customHeight="1"/>
    <row r="470" ht="14.1" customHeight="1"/>
    <row r="471" ht="14.1" customHeight="1"/>
    <row r="472" ht="14.1" customHeight="1"/>
    <row r="473" ht="14.1" customHeight="1"/>
    <row r="474" ht="14.1" customHeight="1"/>
    <row r="475" ht="14.1" customHeight="1"/>
    <row r="476" ht="14.1" customHeight="1"/>
    <row r="477" ht="14.1" customHeight="1"/>
    <row r="478" ht="14.1" customHeight="1"/>
    <row r="479" ht="14.1" customHeight="1"/>
    <row r="480" ht="14.1" customHeight="1"/>
    <row r="481" ht="14.1" customHeight="1"/>
    <row r="482" ht="14.1" customHeight="1"/>
    <row r="483" ht="14.1" customHeight="1"/>
    <row r="484" ht="14.1" customHeight="1"/>
    <row r="485" ht="14.1" customHeight="1"/>
    <row r="486" ht="14.1" customHeight="1"/>
    <row r="487" ht="14.1" customHeight="1"/>
    <row r="488" ht="14.1" customHeight="1"/>
    <row r="489" ht="14.1" customHeight="1"/>
    <row r="490" ht="14.1" customHeight="1"/>
    <row r="491" ht="14.1" customHeight="1"/>
    <row r="492" ht="14.1" customHeight="1"/>
    <row r="493" ht="14.1" customHeight="1"/>
    <row r="494" ht="14.1" customHeight="1"/>
    <row r="495" ht="14.1" customHeight="1"/>
    <row r="496" ht="14.1" customHeight="1"/>
    <row r="497" ht="14.1" customHeight="1"/>
    <row r="498" ht="14.1" customHeight="1"/>
    <row r="499" ht="14.1" customHeight="1"/>
    <row r="500" ht="14.1" customHeight="1"/>
    <row r="501" ht="14.1" customHeight="1"/>
    <row r="502" ht="14.1" customHeight="1"/>
    <row r="503" ht="14.1" customHeight="1"/>
    <row r="504" ht="14.1" customHeight="1"/>
    <row r="505" ht="14.1" customHeight="1"/>
    <row r="506" ht="14.1" customHeight="1"/>
    <row r="507" ht="14.1" customHeight="1"/>
    <row r="508" ht="14.1" customHeight="1"/>
    <row r="509" ht="14.1" customHeight="1"/>
    <row r="510" ht="14.1" customHeight="1"/>
    <row r="511" ht="14.1" customHeight="1"/>
    <row r="512" ht="14.1" customHeight="1"/>
    <row r="513" ht="14.1" customHeight="1"/>
    <row r="514" ht="14.1" customHeight="1"/>
    <row r="515" ht="14.1" customHeight="1"/>
    <row r="516" ht="14.1" customHeight="1"/>
    <row r="517" ht="14.1" customHeight="1"/>
    <row r="518" ht="14.1" customHeight="1"/>
    <row r="519" ht="14.1" customHeight="1"/>
    <row r="520" ht="14.1" customHeight="1"/>
    <row r="521" ht="14.1" customHeight="1"/>
    <row r="522" ht="14.1" customHeight="1"/>
    <row r="523" ht="14.1" customHeight="1"/>
    <row r="524" ht="14.1" customHeight="1"/>
    <row r="525" ht="14.1" customHeight="1"/>
    <row r="526" ht="14.1" customHeight="1"/>
    <row r="527" ht="14.1" customHeight="1"/>
    <row r="528" ht="14.1" customHeight="1"/>
    <row r="529" ht="14.1" customHeight="1"/>
    <row r="530" ht="14.1" customHeight="1"/>
    <row r="531" ht="14.1" customHeight="1"/>
    <row r="532" ht="14.1" customHeight="1"/>
    <row r="533" ht="14.1" customHeight="1"/>
    <row r="534" ht="14.1" customHeight="1"/>
    <row r="535" ht="14.1" customHeight="1"/>
    <row r="536" ht="14.1" customHeight="1"/>
    <row r="537" ht="14.1" customHeight="1"/>
    <row r="538" ht="14.1" customHeight="1"/>
    <row r="539" ht="14.1" customHeight="1"/>
    <row r="540" ht="14.1" customHeight="1"/>
    <row r="541" ht="14.1" customHeight="1"/>
    <row r="542" ht="14.1" customHeight="1"/>
    <row r="543" ht="14.1" customHeight="1"/>
    <row r="544" ht="14.1" customHeight="1"/>
    <row r="545" ht="14.1" customHeight="1"/>
    <row r="546" ht="14.1" customHeight="1"/>
    <row r="547" ht="14.1" customHeight="1"/>
    <row r="548" ht="14.1" customHeight="1"/>
    <row r="549" ht="14.1" customHeight="1"/>
    <row r="550" ht="14.1" customHeight="1"/>
    <row r="551" ht="14.1" customHeight="1"/>
    <row r="552" ht="14.1" customHeight="1"/>
    <row r="553" ht="14.1" customHeight="1"/>
    <row r="554" ht="14.1" customHeight="1"/>
    <row r="555" ht="14.1" customHeight="1"/>
    <row r="556" ht="14.1" customHeight="1"/>
    <row r="557" ht="14.1" customHeight="1"/>
    <row r="558" ht="14.1" customHeight="1"/>
    <row r="559" ht="14.1" customHeight="1"/>
    <row r="560" ht="14.1" customHeight="1"/>
    <row r="561" ht="14.1" customHeight="1"/>
    <row r="562" ht="14.1" customHeight="1"/>
    <row r="563" ht="14.1" customHeight="1"/>
    <row r="564" ht="14.1" customHeight="1"/>
    <row r="565" ht="14.1" customHeight="1"/>
    <row r="566" ht="14.1" customHeight="1"/>
    <row r="567" ht="14.1" customHeight="1"/>
    <row r="568" ht="14.1" customHeight="1"/>
    <row r="569" ht="14.1" customHeight="1"/>
    <row r="570" ht="14.1" customHeight="1"/>
    <row r="571" ht="14.1" customHeight="1"/>
    <row r="572" ht="14.1" customHeight="1"/>
    <row r="573" ht="14.1" customHeight="1"/>
    <row r="574" ht="14.1" customHeight="1"/>
    <row r="575" ht="14.1" customHeight="1"/>
    <row r="576" ht="14.1" customHeight="1"/>
    <row r="577" ht="14.1" customHeight="1"/>
    <row r="578" ht="14.1" customHeight="1"/>
    <row r="579" ht="14.1" customHeight="1"/>
    <row r="580" ht="14.1" customHeight="1"/>
    <row r="581" ht="14.1" customHeight="1"/>
    <row r="582" ht="14.1" customHeight="1"/>
    <row r="583" ht="14.1" customHeight="1"/>
    <row r="584" ht="14.1" customHeight="1"/>
    <row r="585" ht="14.1" customHeight="1"/>
    <row r="586" ht="14.1" customHeight="1"/>
    <row r="587" ht="14.1" customHeight="1"/>
    <row r="588" ht="14.1" customHeight="1"/>
    <row r="589" ht="14.1" customHeight="1"/>
    <row r="590" ht="14.1" customHeight="1"/>
    <row r="591" ht="14.1" customHeight="1"/>
    <row r="592" ht="14.1" customHeight="1"/>
    <row r="593" ht="14.1" customHeight="1"/>
    <row r="594" ht="14.1" customHeight="1"/>
    <row r="595" ht="14.1" customHeight="1"/>
    <row r="596" ht="14.1" customHeight="1"/>
    <row r="597" ht="14.1" customHeight="1"/>
    <row r="598" ht="14.1" customHeight="1"/>
    <row r="599" ht="14.1" customHeight="1"/>
    <row r="600" ht="14.1" customHeight="1"/>
    <row r="601" ht="14.1" customHeight="1"/>
    <row r="602" ht="14.1" customHeight="1"/>
    <row r="603" ht="14.1" customHeight="1"/>
    <row r="604" ht="14.1" customHeight="1"/>
    <row r="605" ht="14.1" customHeight="1"/>
    <row r="606" ht="14.1" customHeight="1"/>
    <row r="607" ht="14.1" customHeight="1"/>
    <row r="608" ht="14.1" customHeight="1"/>
    <row r="609" ht="14.1" customHeight="1"/>
    <row r="610" ht="14.1" customHeight="1"/>
    <row r="611" ht="14.1" customHeight="1"/>
    <row r="612" ht="14.1" customHeight="1"/>
    <row r="613" ht="14.1" customHeight="1"/>
    <row r="614" ht="14.1" customHeight="1"/>
    <row r="615" ht="14.1" customHeight="1"/>
    <row r="616" ht="14.1" customHeight="1"/>
    <row r="617" ht="14.1" customHeight="1"/>
    <row r="618" ht="14.1" customHeight="1"/>
    <row r="619" ht="14.1" customHeight="1"/>
    <row r="620" ht="14.1" customHeight="1"/>
    <row r="621" ht="14.1" customHeight="1"/>
    <row r="622" ht="14.1" customHeight="1"/>
    <row r="623" ht="14.1" customHeight="1"/>
    <row r="624" ht="14.1" customHeight="1"/>
    <row r="625" ht="14.1" customHeight="1"/>
    <row r="626" ht="14.1" customHeight="1"/>
    <row r="627" ht="14.1" customHeight="1"/>
    <row r="628" ht="14.1" customHeight="1"/>
    <row r="629" ht="14.1" customHeight="1"/>
    <row r="630" ht="14.1" customHeight="1"/>
    <row r="631" ht="14.1" customHeight="1"/>
    <row r="632" ht="14.1" customHeight="1"/>
    <row r="633" ht="14.1" customHeight="1"/>
    <row r="634" ht="14.1" customHeight="1"/>
    <row r="635" ht="14.1" customHeight="1"/>
    <row r="636" ht="14.1" customHeight="1"/>
    <row r="637" ht="14.1" customHeight="1"/>
    <row r="638" ht="14.1" customHeight="1"/>
    <row r="639" ht="14.1" customHeight="1"/>
    <row r="640" ht="14.1" customHeight="1"/>
    <row r="641" ht="14.1" customHeight="1"/>
    <row r="642" ht="14.1" customHeight="1"/>
    <row r="643" ht="14.1" customHeight="1"/>
    <row r="644" ht="14.1" customHeight="1"/>
    <row r="645" ht="14.1" customHeight="1"/>
    <row r="646" ht="14.1" customHeight="1"/>
    <row r="647" ht="14.1" customHeight="1"/>
    <row r="648" ht="14.1" customHeight="1"/>
    <row r="649" ht="14.1" customHeight="1"/>
    <row r="650" ht="14.1" customHeight="1"/>
    <row r="651" ht="14.1" customHeight="1"/>
    <row r="652" ht="14.1" customHeight="1"/>
    <row r="653" ht="14.1" customHeight="1"/>
    <row r="654" ht="14.1" customHeight="1"/>
    <row r="655" ht="14.1" customHeight="1"/>
    <row r="656" ht="14.1" customHeight="1"/>
    <row r="657" ht="14.1" customHeight="1"/>
    <row r="658" ht="14.1" customHeight="1"/>
    <row r="659" ht="14.1" customHeight="1"/>
    <row r="660" ht="14.1" customHeight="1"/>
    <row r="661" ht="14.1" customHeight="1"/>
    <row r="662" ht="14.1" customHeight="1"/>
    <row r="663" ht="14.1" customHeight="1"/>
    <row r="664" ht="14.1" customHeight="1"/>
    <row r="665" ht="14.1" customHeight="1"/>
    <row r="666" ht="14.1" customHeight="1"/>
    <row r="667" ht="14.1" customHeight="1"/>
    <row r="668" ht="14.1" customHeight="1"/>
    <row r="669" ht="14.1" customHeight="1"/>
    <row r="670" ht="14.1" customHeight="1"/>
    <row r="671" ht="14.1" customHeight="1"/>
    <row r="672" ht="14.1" customHeight="1"/>
    <row r="673" ht="14.1" customHeight="1"/>
    <row r="674" ht="14.1" customHeight="1"/>
    <row r="675" ht="14.1" customHeight="1"/>
    <row r="676" ht="14.1" customHeight="1"/>
    <row r="677" ht="14.1" customHeight="1"/>
    <row r="678" ht="14.1" customHeight="1"/>
    <row r="679" ht="14.1" customHeight="1"/>
    <row r="680" ht="14.1" customHeight="1"/>
    <row r="681" ht="14.1" customHeight="1"/>
    <row r="682" ht="14.1" customHeight="1"/>
    <row r="683" ht="14.1" customHeight="1"/>
    <row r="684" ht="14.1" customHeight="1"/>
    <row r="685" ht="14.1" customHeight="1"/>
    <row r="686" ht="14.1" customHeight="1"/>
    <row r="687" ht="14.1" customHeight="1"/>
    <row r="688" ht="14.1" customHeight="1"/>
    <row r="689" ht="14.1" customHeight="1"/>
    <row r="690" ht="14.1" customHeight="1"/>
    <row r="691" ht="14.1" customHeight="1"/>
    <row r="692" ht="14.1" customHeight="1"/>
    <row r="693" ht="14.1" customHeight="1"/>
    <row r="694" ht="14.1" customHeight="1"/>
    <row r="695" ht="14.1" customHeight="1"/>
    <row r="696" ht="14.1" customHeight="1"/>
    <row r="697" ht="14.1" customHeight="1"/>
    <row r="698" ht="14.1" customHeight="1"/>
    <row r="699" ht="14.1" customHeight="1"/>
    <row r="700" ht="14.1" customHeight="1"/>
    <row r="701" ht="14.1" customHeight="1"/>
    <row r="702" ht="14.1" customHeight="1"/>
    <row r="703" ht="14.1" customHeight="1"/>
    <row r="704" ht="14.1" customHeight="1"/>
    <row r="705" ht="14.1" customHeight="1"/>
    <row r="706" ht="14.1" customHeight="1"/>
    <row r="707" ht="14.1" customHeight="1"/>
    <row r="708" ht="14.1" customHeight="1"/>
    <row r="709" ht="14.1" customHeight="1"/>
    <row r="710" ht="14.1" customHeight="1"/>
    <row r="711" ht="14.1" customHeight="1"/>
    <row r="712" ht="14.1" customHeight="1"/>
    <row r="713" ht="14.1" customHeight="1"/>
    <row r="714" ht="14.1" customHeight="1"/>
    <row r="715" ht="14.1" customHeight="1"/>
    <row r="716" ht="14.1" customHeight="1"/>
    <row r="717" ht="14.1" customHeight="1"/>
    <row r="718" ht="14.1" customHeight="1"/>
    <row r="719" ht="14.1" customHeight="1"/>
    <row r="720" ht="14.1" customHeight="1"/>
    <row r="721" ht="14.1" customHeight="1"/>
    <row r="722" ht="14.1" customHeight="1"/>
    <row r="723" ht="14.1" customHeight="1"/>
    <row r="724" ht="14.1" customHeight="1"/>
    <row r="725" ht="14.1" customHeight="1"/>
    <row r="726" ht="14.1" customHeight="1"/>
    <row r="727" ht="14.1" customHeight="1"/>
    <row r="728" ht="14.1" customHeight="1"/>
    <row r="729" ht="14.1" customHeight="1"/>
    <row r="730" ht="14.1" customHeight="1"/>
    <row r="731" ht="14.1" customHeight="1"/>
    <row r="732" ht="14.1" customHeight="1"/>
    <row r="733" ht="14.1" customHeight="1"/>
    <row r="734" ht="14.1" customHeight="1"/>
    <row r="735" ht="14.1" customHeight="1"/>
    <row r="736" ht="14.1" customHeight="1"/>
    <row r="737" ht="14.1" customHeight="1"/>
    <row r="738" ht="14.1" customHeight="1"/>
    <row r="739" ht="14.1" customHeight="1"/>
    <row r="740" ht="14.1" customHeight="1"/>
    <row r="741" ht="14.1" customHeight="1"/>
    <row r="742" ht="14.1" customHeight="1"/>
    <row r="743" ht="14.1" customHeight="1"/>
    <row r="744" ht="14.1" customHeight="1"/>
    <row r="745" ht="14.1" customHeight="1"/>
    <row r="746" ht="14.1" customHeight="1"/>
    <row r="747" ht="14.1" customHeight="1"/>
    <row r="748" ht="14.1" customHeight="1"/>
    <row r="749" ht="14.1" customHeight="1"/>
    <row r="750" ht="14.1" customHeight="1"/>
    <row r="751" ht="14.1" customHeight="1"/>
    <row r="752" ht="14.1" customHeight="1"/>
    <row r="753" ht="14.1" customHeight="1"/>
    <row r="754" ht="14.1" customHeight="1"/>
    <row r="755" ht="14.1" customHeight="1"/>
    <row r="756" ht="14.1" customHeight="1"/>
    <row r="757" ht="14.1" customHeight="1"/>
    <row r="758" ht="14.1" customHeight="1"/>
    <row r="759" ht="14.1" customHeight="1"/>
    <row r="760" ht="14.1" customHeight="1"/>
    <row r="761" ht="14.1" customHeight="1"/>
    <row r="762" ht="14.1" customHeight="1"/>
    <row r="763" ht="14.1" customHeight="1"/>
    <row r="764" ht="14.1" customHeight="1"/>
    <row r="765" ht="14.1" customHeight="1"/>
    <row r="766" ht="14.1" customHeight="1"/>
    <row r="767" ht="14.1" customHeight="1"/>
    <row r="768" ht="14.1" customHeight="1"/>
    <row r="769" ht="14.1" customHeight="1"/>
    <row r="770" ht="14.1" customHeight="1"/>
    <row r="771" ht="14.1" customHeight="1"/>
    <row r="772" ht="14.1" customHeight="1"/>
    <row r="773" ht="14.1" customHeight="1"/>
    <row r="774" ht="14.1" customHeight="1"/>
    <row r="775" ht="14.1" customHeight="1"/>
    <row r="776" ht="14.1" customHeight="1"/>
    <row r="777" ht="14.1" customHeight="1"/>
    <row r="778" ht="14.1" customHeight="1"/>
    <row r="779" ht="14.1" customHeight="1"/>
    <row r="780" ht="14.1" customHeight="1"/>
    <row r="781" ht="14.1" customHeight="1"/>
    <row r="782" ht="14.1" customHeight="1"/>
    <row r="783" ht="14.1" customHeight="1"/>
    <row r="784" ht="14.1" customHeight="1"/>
    <row r="785" ht="14.1" customHeight="1"/>
    <row r="786" ht="14.1" customHeight="1"/>
    <row r="787" ht="14.1" customHeight="1"/>
    <row r="788" ht="14.1" customHeight="1"/>
    <row r="789" ht="14.1" customHeight="1"/>
    <row r="790" ht="14.1" customHeight="1"/>
    <row r="791" ht="14.1" customHeight="1"/>
    <row r="792" ht="14.1" customHeight="1"/>
    <row r="793" ht="14.1" customHeight="1"/>
    <row r="794" ht="14.1" customHeight="1"/>
    <row r="795" ht="14.1" customHeight="1"/>
    <row r="796" ht="14.1" customHeight="1"/>
    <row r="797" ht="14.1" customHeight="1"/>
    <row r="798" ht="14.1" customHeight="1"/>
    <row r="799" ht="14.1" customHeight="1"/>
    <row r="800" ht="14.1" customHeight="1"/>
    <row r="801" ht="14.1" customHeight="1"/>
    <row r="802" ht="14.1" customHeight="1"/>
    <row r="803" ht="14.1" customHeight="1"/>
    <row r="804" ht="14.1" customHeight="1"/>
    <row r="805" ht="14.1" customHeight="1"/>
    <row r="806" ht="14.1" customHeight="1"/>
    <row r="807" ht="14.1" customHeight="1"/>
    <row r="808" ht="14.1" customHeight="1"/>
    <row r="809" ht="14.1" customHeight="1"/>
    <row r="810" ht="14.1" customHeight="1"/>
    <row r="811" ht="14.1" customHeight="1"/>
    <row r="812" ht="14.1" customHeight="1"/>
    <row r="813" ht="14.1" customHeight="1"/>
    <row r="814" ht="14.1" customHeight="1"/>
    <row r="815" ht="14.1" customHeight="1"/>
    <row r="816" ht="14.1" customHeight="1"/>
    <row r="817" ht="14.1" customHeight="1"/>
    <row r="818" ht="14.1" customHeight="1"/>
    <row r="819" ht="14.1" customHeight="1"/>
    <row r="820" ht="14.1" customHeight="1"/>
    <row r="821" ht="14.1" customHeight="1"/>
    <row r="822" ht="14.1" customHeight="1"/>
    <row r="823" ht="14.1" customHeight="1"/>
    <row r="824" ht="14.1" customHeight="1"/>
    <row r="825" ht="14.1" customHeight="1"/>
    <row r="826" ht="14.1" customHeight="1"/>
    <row r="827" ht="14.1" customHeight="1"/>
    <row r="828" ht="14.1" customHeight="1"/>
    <row r="829" ht="14.1" customHeight="1"/>
    <row r="830" ht="14.1" customHeight="1"/>
    <row r="831" ht="14.1" customHeight="1"/>
    <row r="832" ht="14.1" customHeight="1"/>
    <row r="833" ht="14.1" customHeight="1"/>
    <row r="834" ht="14.1" customHeight="1"/>
    <row r="835" ht="14.1" customHeight="1"/>
    <row r="836" ht="14.1" customHeight="1"/>
    <row r="837" ht="14.1" customHeight="1"/>
    <row r="838" ht="14.1" customHeight="1"/>
    <row r="839" ht="14.1" customHeight="1"/>
    <row r="840" ht="14.1" customHeight="1"/>
    <row r="841" ht="14.1" customHeight="1"/>
    <row r="842" ht="14.1" customHeight="1"/>
    <row r="843" ht="14.1" customHeight="1"/>
    <row r="844" ht="14.1" customHeight="1"/>
    <row r="845" ht="14.1" customHeight="1"/>
    <row r="846" ht="14.1" customHeight="1"/>
    <row r="847" ht="14.1" customHeight="1"/>
    <row r="848" ht="14.1" customHeight="1"/>
    <row r="849" ht="14.1" customHeight="1"/>
    <row r="850" ht="14.1" customHeight="1"/>
    <row r="851" ht="14.1" customHeight="1"/>
    <row r="852" ht="14.1" customHeight="1"/>
    <row r="853" ht="14.1" customHeight="1"/>
    <row r="854" ht="14.1" customHeight="1"/>
    <row r="855" ht="14.1" customHeight="1"/>
    <row r="856" ht="14.1" customHeight="1"/>
    <row r="857" ht="14.1" customHeight="1"/>
    <row r="858" ht="14.1" customHeight="1"/>
    <row r="859" ht="14.1" customHeight="1"/>
    <row r="860" ht="14.1" customHeight="1"/>
    <row r="861" ht="14.1" customHeight="1"/>
    <row r="862" ht="14.1" customHeight="1"/>
    <row r="863" ht="14.1" customHeight="1"/>
    <row r="864" ht="14.1" customHeight="1"/>
    <row r="865" ht="14.1" customHeight="1"/>
    <row r="866" ht="14.1" customHeight="1"/>
    <row r="867" ht="14.1" customHeight="1"/>
    <row r="868" ht="14.1" customHeight="1"/>
    <row r="869" ht="14.1" customHeight="1"/>
    <row r="870" ht="14.1" customHeight="1"/>
    <row r="871" ht="14.1" customHeight="1"/>
    <row r="872" ht="14.1" customHeight="1"/>
    <row r="873" ht="14.1" customHeight="1"/>
    <row r="874" ht="14.1" customHeight="1"/>
    <row r="875" ht="14.1" customHeight="1"/>
    <row r="876" ht="14.1" customHeight="1"/>
    <row r="877" ht="14.1" customHeight="1"/>
    <row r="878" ht="14.1" customHeight="1"/>
    <row r="879" ht="14.1" customHeight="1"/>
    <row r="880" ht="14.1" customHeight="1"/>
    <row r="881" ht="14.1" customHeight="1"/>
    <row r="882" ht="14.1" customHeight="1"/>
    <row r="883" ht="14.1" customHeight="1"/>
    <row r="884" ht="14.1" customHeight="1"/>
    <row r="885" ht="14.1" customHeight="1"/>
    <row r="886" ht="14.1" customHeight="1"/>
    <row r="887" ht="14.1" customHeight="1"/>
    <row r="888" ht="14.1" customHeight="1"/>
    <row r="889" ht="14.1" customHeight="1"/>
    <row r="890" ht="14.1" customHeight="1"/>
    <row r="891" ht="14.1" customHeight="1"/>
    <row r="892" ht="14.1" customHeight="1"/>
    <row r="893" ht="14.1" customHeight="1"/>
    <row r="894" ht="14.1" customHeight="1"/>
    <row r="895" ht="14.1" customHeight="1"/>
    <row r="896" ht="14.1" customHeight="1"/>
    <row r="897" ht="14.1" customHeight="1"/>
    <row r="898" ht="14.1" customHeight="1"/>
    <row r="899" ht="14.1" customHeight="1"/>
    <row r="900" ht="14.1" customHeight="1"/>
    <row r="901" ht="14.1" customHeight="1"/>
    <row r="902" ht="14.1" customHeight="1"/>
    <row r="903" ht="14.1" customHeight="1"/>
    <row r="904" ht="14.1" customHeight="1"/>
    <row r="905" ht="14.1" customHeight="1"/>
    <row r="906" ht="14.1" customHeight="1"/>
    <row r="907" ht="14.1" customHeight="1"/>
    <row r="908" ht="14.1" customHeight="1"/>
    <row r="909" ht="14.1" customHeight="1"/>
    <row r="910" ht="14.1" customHeight="1"/>
    <row r="911" ht="14.1" customHeight="1"/>
    <row r="912" ht="14.1" customHeight="1"/>
    <row r="913" ht="14.1" customHeight="1"/>
    <row r="914" ht="14.1" customHeight="1"/>
    <row r="915" ht="14.1" customHeight="1"/>
    <row r="916" ht="14.1" customHeight="1"/>
    <row r="917" ht="14.1" customHeight="1"/>
    <row r="918" ht="14.1" customHeight="1"/>
    <row r="919" ht="14.1" customHeight="1"/>
    <row r="920" ht="14.1" customHeight="1"/>
    <row r="921" ht="14.1" customHeight="1"/>
    <row r="922" ht="14.1" customHeight="1"/>
    <row r="923" ht="14.1" customHeight="1"/>
    <row r="924" ht="14.1" customHeight="1"/>
    <row r="925" ht="14.1" customHeight="1"/>
    <row r="926" ht="14.1" customHeight="1"/>
    <row r="927" ht="14.1" customHeight="1"/>
    <row r="928" ht="14.1" customHeight="1"/>
    <row r="929" ht="14.1" customHeight="1"/>
    <row r="930" ht="14.1" customHeight="1"/>
    <row r="931" ht="14.1" customHeight="1"/>
    <row r="932" ht="14.1" customHeight="1"/>
    <row r="933" ht="14.1" customHeight="1"/>
    <row r="934" ht="14.1" customHeight="1"/>
    <row r="935" ht="14.1" customHeight="1"/>
    <row r="936" ht="14.1" customHeight="1"/>
    <row r="937" ht="14.1" customHeight="1"/>
    <row r="938" ht="14.1" customHeight="1"/>
    <row r="939" ht="14.1" customHeight="1"/>
    <row r="940" ht="14.1" customHeight="1"/>
    <row r="941" ht="14.1" customHeight="1"/>
    <row r="942" ht="14.1" customHeight="1"/>
    <row r="943" ht="14.1" customHeight="1"/>
    <row r="944" ht="14.1" customHeight="1"/>
    <row r="945" ht="14.1" customHeight="1"/>
    <row r="946" ht="14.1" customHeight="1"/>
    <row r="947" ht="14.1" customHeight="1"/>
    <row r="948" ht="14.1" customHeight="1"/>
    <row r="949" ht="14.1" customHeight="1"/>
    <row r="950" ht="14.1" customHeight="1"/>
    <row r="951" ht="14.1" customHeight="1"/>
    <row r="952" ht="14.1" customHeight="1"/>
    <row r="953" ht="14.1" customHeight="1"/>
    <row r="954" ht="14.1" customHeight="1"/>
    <row r="955" ht="14.1" customHeight="1"/>
    <row r="956" ht="14.1" customHeight="1"/>
    <row r="957" ht="14.1" customHeight="1"/>
    <row r="958" ht="14.1" customHeight="1"/>
    <row r="959" ht="14.1" customHeight="1"/>
    <row r="960" ht="14.1" customHeight="1"/>
    <row r="961" ht="14.1" customHeight="1"/>
    <row r="962" ht="14.1" customHeight="1"/>
    <row r="963" ht="14.1" customHeight="1"/>
    <row r="964" ht="14.1" customHeight="1"/>
    <row r="965" ht="14.1" customHeight="1"/>
    <row r="966" ht="14.1" customHeight="1"/>
    <row r="967" ht="14.1" customHeight="1"/>
    <row r="968" ht="14.1" customHeight="1"/>
    <row r="969" ht="14.1" customHeight="1"/>
    <row r="970" ht="14.1" customHeight="1"/>
    <row r="971" ht="14.1" customHeight="1"/>
    <row r="972" ht="14.1" customHeight="1"/>
    <row r="973" ht="14.1" customHeight="1"/>
    <row r="974" ht="14.1" customHeight="1"/>
    <row r="975" ht="14.1" customHeight="1"/>
    <row r="976" ht="14.1" customHeight="1"/>
    <row r="977" ht="14.1" customHeight="1"/>
    <row r="978" ht="14.1" customHeight="1"/>
    <row r="979" ht="14.1" customHeight="1"/>
    <row r="980" ht="14.1" customHeight="1"/>
    <row r="981" ht="14.1" customHeight="1"/>
    <row r="982" ht="14.1" customHeight="1"/>
    <row r="983" ht="14.1" customHeight="1"/>
    <row r="984" ht="14.1" customHeight="1"/>
    <row r="985" ht="14.1" customHeight="1"/>
    <row r="986" ht="14.1" customHeight="1"/>
    <row r="987" ht="14.1" customHeight="1"/>
    <row r="988" ht="14.1" customHeight="1"/>
    <row r="989" ht="14.1" customHeight="1"/>
    <row r="990" ht="14.1" customHeight="1"/>
    <row r="991" ht="14.1" customHeight="1"/>
    <row r="992" ht="14.1" customHeight="1"/>
    <row r="993" ht="14.1" customHeight="1"/>
    <row r="994" ht="14.1" customHeight="1"/>
    <row r="995" ht="14.1" customHeight="1"/>
    <row r="996" ht="14.1" customHeight="1"/>
    <row r="997" ht="14.1" customHeight="1"/>
    <row r="998" ht="14.1" customHeight="1"/>
    <row r="999" ht="14.1" customHeight="1"/>
    <row r="1000" ht="14.1" customHeight="1"/>
    <row r="1001" ht="14.1" customHeight="1"/>
    <row r="1002" ht="14.1" customHeight="1"/>
    <row r="1003" ht="14.1" customHeight="1"/>
    <row r="1004" ht="14.1" customHeight="1"/>
    <row r="1005" ht="14.1" customHeight="1"/>
    <row r="1006" ht="14.1" customHeight="1"/>
    <row r="1007" ht="14.1" customHeight="1"/>
    <row r="1008" ht="14.1" customHeight="1"/>
    <row r="1009" ht="14.1" customHeight="1"/>
    <row r="1010" ht="14.1" customHeight="1"/>
    <row r="1011" ht="14.1" customHeight="1"/>
    <row r="1012" ht="14.1" customHeight="1"/>
    <row r="1013" ht="14.1" customHeight="1"/>
    <row r="1014" ht="14.1" customHeight="1"/>
    <row r="1015" ht="14.1" customHeight="1"/>
    <row r="1016" ht="14.1" customHeight="1"/>
    <row r="1017" ht="14.1" customHeight="1"/>
    <row r="1018" ht="14.1" customHeight="1"/>
    <row r="1019" ht="14.1" customHeight="1"/>
    <row r="1020" ht="14.1" customHeight="1"/>
    <row r="1021" ht="14.1" customHeight="1"/>
    <row r="1022" ht="14.1" customHeight="1"/>
    <row r="1023" ht="14.1" customHeight="1"/>
    <row r="1024" ht="14.1" customHeight="1"/>
    <row r="1025" ht="14.1" customHeight="1"/>
    <row r="1026" ht="14.1" customHeight="1"/>
    <row r="1027" ht="14.1" customHeight="1"/>
    <row r="1028" ht="14.1" customHeight="1"/>
    <row r="1029" ht="14.1" customHeight="1"/>
    <row r="1030" ht="14.1" customHeight="1"/>
    <row r="1031" ht="14.1" customHeight="1"/>
    <row r="1032" ht="14.1" customHeight="1"/>
    <row r="1033" ht="14.1" customHeight="1"/>
    <row r="1034" ht="14.1" customHeight="1"/>
    <row r="1035" ht="14.1" customHeight="1"/>
    <row r="1036" ht="14.1" customHeight="1"/>
    <row r="1037" ht="14.1" customHeight="1"/>
    <row r="1038" ht="14.1" customHeight="1"/>
    <row r="1039" ht="14.1" customHeight="1"/>
    <row r="1040" ht="14.1" customHeight="1"/>
    <row r="1041" ht="14.1" customHeight="1"/>
    <row r="1042" ht="14.1" customHeight="1"/>
    <row r="1043" ht="14.1" customHeight="1"/>
    <row r="1044" ht="14.1" customHeight="1"/>
    <row r="1045" ht="14.1" customHeight="1"/>
    <row r="1046" ht="14.1" customHeight="1"/>
    <row r="1047" ht="14.1" customHeight="1"/>
    <row r="1048" ht="14.1" customHeight="1"/>
    <row r="1049" ht="14.1" customHeight="1"/>
    <row r="1050" ht="14.1" customHeight="1"/>
    <row r="1051" ht="14.1" customHeight="1"/>
    <row r="1052" ht="14.1" customHeight="1"/>
    <row r="1053" ht="14.1" customHeight="1"/>
    <row r="1054" ht="14.1" customHeight="1"/>
    <row r="1055" ht="14.1" customHeight="1"/>
    <row r="1056" ht="14.1" customHeight="1"/>
    <row r="1057" ht="14.1" customHeight="1"/>
    <row r="1058" ht="14.1" customHeight="1"/>
    <row r="1059" ht="14.1" customHeight="1"/>
    <row r="1060" ht="14.1" customHeight="1"/>
    <row r="1061" ht="14.1" customHeight="1"/>
    <row r="1062" ht="14.1" customHeight="1"/>
    <row r="1063" ht="14.1" customHeight="1"/>
    <row r="1064" ht="14.1" customHeight="1"/>
    <row r="1065" ht="14.1" customHeight="1"/>
    <row r="1066" ht="14.1" customHeight="1"/>
    <row r="1067" ht="14.1" customHeight="1"/>
    <row r="1068" ht="14.1" customHeight="1"/>
    <row r="1069" ht="14.1" customHeight="1"/>
    <row r="1070" ht="14.1" customHeight="1"/>
    <row r="1071" ht="14.1" customHeight="1"/>
    <row r="1072" ht="14.1" customHeight="1"/>
    <row r="1073" ht="14.1" customHeight="1"/>
    <row r="1074" ht="14.1" customHeight="1"/>
    <row r="1075" ht="14.1" customHeight="1"/>
    <row r="1076" ht="14.1" customHeight="1"/>
    <row r="1077" ht="14.1" customHeight="1"/>
    <row r="1078" ht="14.1" customHeight="1"/>
    <row r="1079" ht="14.1" customHeight="1"/>
    <row r="1080" ht="14.1" customHeight="1"/>
    <row r="1081" ht="14.1" customHeight="1"/>
    <row r="1082" ht="14.1" customHeight="1"/>
    <row r="1083" ht="14.1" customHeight="1"/>
    <row r="1084" ht="14.1" customHeight="1"/>
    <row r="1085" ht="14.1" customHeight="1"/>
    <row r="1086" ht="14.1" customHeight="1"/>
    <row r="1087" ht="14.1" customHeight="1"/>
    <row r="1088" ht="14.1" customHeight="1"/>
    <row r="1089" ht="14.1" customHeight="1"/>
    <row r="1090" ht="14.1" customHeight="1"/>
    <row r="1091" ht="14.1" customHeight="1"/>
    <row r="1092" ht="14.1" customHeight="1"/>
    <row r="1093" ht="14.1" customHeight="1"/>
    <row r="1094" ht="14.1" customHeight="1"/>
    <row r="1095" ht="14.1" customHeight="1"/>
    <row r="1096" ht="14.1" customHeight="1"/>
    <row r="1097" ht="14.1" customHeight="1"/>
    <row r="1098" ht="14.1" customHeight="1"/>
    <row r="1099" ht="14.1" customHeight="1"/>
    <row r="1100" ht="14.1" customHeight="1"/>
    <row r="1101" ht="14.1" customHeight="1"/>
    <row r="1102" ht="14.1" customHeight="1"/>
    <row r="1103" ht="14.1" customHeight="1"/>
    <row r="1104" ht="14.1" customHeight="1"/>
    <row r="1105" ht="14.1" customHeight="1"/>
    <row r="1106" ht="14.1" customHeight="1"/>
    <row r="1107" ht="14.1" customHeight="1"/>
    <row r="1108" ht="14.1" customHeight="1"/>
    <row r="1109" ht="14.1" customHeight="1"/>
    <row r="1110" ht="14.1" customHeight="1"/>
    <row r="1111" ht="14.1" customHeight="1"/>
    <row r="1112" ht="14.1" customHeight="1"/>
    <row r="1113" ht="14.1" customHeight="1"/>
    <row r="1114" ht="14.1" customHeight="1"/>
    <row r="1115" ht="14.1" customHeight="1"/>
    <row r="1116" ht="14.1" customHeight="1"/>
    <row r="1117" ht="14.1" customHeight="1"/>
    <row r="1118" ht="14.1" customHeight="1"/>
    <row r="1119" ht="14.1" customHeight="1"/>
    <row r="1120" ht="14.1" customHeight="1"/>
    <row r="1121" ht="14.1" customHeight="1"/>
    <row r="1122" ht="14.1" customHeight="1"/>
    <row r="1123" ht="14.1" customHeight="1"/>
    <row r="1124" ht="14.1" customHeight="1"/>
    <row r="1125" ht="14.1" customHeight="1"/>
    <row r="1126" ht="14.1" customHeight="1"/>
    <row r="1127" ht="14.1" customHeight="1"/>
    <row r="1128" ht="14.1" customHeight="1"/>
    <row r="1129" ht="14.1" customHeight="1"/>
    <row r="1130" ht="14.1" customHeight="1"/>
    <row r="1131" ht="14.1" customHeight="1"/>
    <row r="1132" ht="14.1" customHeight="1"/>
    <row r="1133" ht="14.1" customHeight="1"/>
    <row r="1134" ht="14.1" customHeight="1"/>
    <row r="1135" ht="14.1" customHeight="1"/>
    <row r="1136" ht="14.1" customHeight="1"/>
    <row r="1137" ht="14.1" customHeight="1"/>
    <row r="1138" ht="14.1" customHeight="1"/>
    <row r="1139" ht="14.1" customHeight="1"/>
    <row r="1140" ht="14.1" customHeight="1"/>
    <row r="1141" ht="14.1" customHeight="1"/>
    <row r="1142" ht="14.1" customHeight="1"/>
    <row r="1143" ht="14.1" customHeight="1"/>
    <row r="1144" ht="14.1" customHeight="1"/>
    <row r="1145" ht="14.1" customHeight="1"/>
    <row r="1146" ht="14.1" customHeight="1"/>
    <row r="1147" ht="14.1" customHeight="1"/>
    <row r="1148" ht="14.1" customHeight="1"/>
    <row r="1149" ht="14.1" customHeight="1"/>
    <row r="1150" ht="14.1" customHeight="1"/>
    <row r="1151" ht="14.1" customHeight="1"/>
    <row r="1152" ht="14.1" customHeight="1"/>
    <row r="1153" ht="14.1" customHeight="1"/>
    <row r="1154" ht="14.1" customHeight="1"/>
    <row r="1155" ht="14.1" customHeight="1"/>
    <row r="1156" ht="14.1" customHeight="1"/>
    <row r="1157" ht="14.1" customHeight="1"/>
    <row r="1158" ht="14.1" customHeight="1"/>
    <row r="1159" ht="14.1" customHeight="1"/>
    <row r="1160" ht="14.1" customHeight="1"/>
    <row r="1161" ht="14.1" customHeight="1"/>
    <row r="1162" ht="14.1" customHeight="1"/>
    <row r="1163" ht="14.1" customHeight="1"/>
    <row r="1164" ht="14.1" customHeight="1"/>
    <row r="1165" ht="14.1" customHeight="1"/>
    <row r="1166" ht="14.1" customHeight="1"/>
    <row r="1167" ht="14.1" customHeight="1"/>
    <row r="1168" ht="14.1" customHeight="1"/>
    <row r="1169" ht="14.1" customHeight="1"/>
    <row r="1170" ht="14.1" customHeight="1"/>
    <row r="1171" ht="14.1" customHeight="1"/>
    <row r="1172" ht="14.1" customHeight="1"/>
    <row r="1173" ht="14.1" customHeight="1"/>
    <row r="1174" ht="14.1" customHeight="1"/>
    <row r="1175" ht="14.1" customHeight="1"/>
    <row r="1176" ht="14.1" customHeight="1"/>
    <row r="1177" ht="14.1" customHeight="1"/>
    <row r="1178" ht="14.1" customHeight="1"/>
    <row r="1179" ht="14.1" customHeight="1"/>
    <row r="1180" ht="14.1" customHeight="1"/>
    <row r="1181" ht="14.1" customHeight="1"/>
    <row r="1182" ht="14.1" customHeight="1"/>
    <row r="1183" ht="14.1" customHeight="1"/>
    <row r="1184" ht="14.1" customHeight="1"/>
    <row r="1185" ht="14.1" customHeight="1"/>
    <row r="1186" ht="14.1" customHeight="1"/>
    <row r="1187" ht="14.1" customHeight="1"/>
    <row r="1188" ht="14.1" customHeight="1"/>
    <row r="1189" ht="14.1" customHeight="1"/>
    <row r="1190" ht="14.1" customHeight="1"/>
    <row r="1191" ht="14.1" customHeight="1"/>
    <row r="1192" ht="14.1" customHeight="1"/>
    <row r="1193" ht="14.1" customHeight="1"/>
    <row r="1194" ht="14.1" customHeight="1"/>
    <row r="1195" ht="14.1" customHeight="1"/>
    <row r="1196" ht="14.1" customHeight="1"/>
    <row r="1197" ht="14.1" customHeight="1"/>
    <row r="1198" ht="14.1" customHeight="1"/>
    <row r="1199" ht="14.1" customHeight="1"/>
    <row r="1200" ht="14.1" customHeight="1"/>
    <row r="1201" ht="14.1" customHeight="1"/>
    <row r="1202" ht="14.1" customHeight="1"/>
    <row r="1203" ht="14.1" customHeight="1"/>
    <row r="1204" ht="14.1" customHeight="1"/>
    <row r="1205" ht="14.1" customHeight="1"/>
    <row r="1206" ht="14.1" customHeight="1"/>
    <row r="1207" ht="14.1" customHeight="1"/>
    <row r="1208" ht="14.1" customHeight="1"/>
    <row r="1209" ht="14.1" customHeight="1"/>
    <row r="1210" ht="14.1" customHeight="1"/>
    <row r="1211" ht="14.1" customHeight="1"/>
    <row r="1212" ht="14.1" customHeight="1"/>
    <row r="1213" ht="14.1" customHeight="1"/>
    <row r="1214" ht="14.1" customHeight="1"/>
    <row r="1215" ht="14.1" customHeight="1"/>
    <row r="1216" ht="14.1" customHeight="1"/>
    <row r="1217" ht="14.1" customHeight="1"/>
    <row r="1218" ht="14.1" customHeight="1"/>
    <row r="1219" ht="14.1" customHeight="1"/>
    <row r="1220" ht="14.1" customHeight="1"/>
    <row r="1221" ht="14.1" customHeight="1"/>
    <row r="1222" ht="14.1" customHeight="1"/>
    <row r="1223" ht="14.1" customHeight="1"/>
    <row r="1224" ht="14.1" customHeight="1"/>
    <row r="1225" ht="14.1" customHeight="1"/>
    <row r="1226" ht="14.1" customHeight="1"/>
    <row r="1227" ht="14.1" customHeight="1"/>
    <row r="1228" ht="14.1" customHeight="1"/>
    <row r="1229" ht="14.1" customHeight="1"/>
    <row r="1230" ht="14.1" customHeight="1"/>
    <row r="1231" ht="14.1" customHeight="1"/>
    <row r="1232" ht="14.1" customHeight="1"/>
    <row r="1233" ht="14.1" customHeight="1"/>
    <row r="1234" ht="14.1" customHeight="1"/>
    <row r="1235" ht="14.1" customHeight="1"/>
    <row r="1236" ht="14.1" customHeight="1"/>
    <row r="1237" ht="14.1" customHeight="1"/>
    <row r="1238" ht="14.1" customHeight="1"/>
    <row r="1239" ht="14.1" customHeight="1"/>
    <row r="1240" ht="14.1" customHeight="1"/>
    <row r="1241" ht="14.1" customHeight="1"/>
    <row r="1242" ht="14.1" customHeight="1"/>
    <row r="1243" ht="14.1" customHeight="1"/>
    <row r="1244" ht="14.1" customHeight="1"/>
    <row r="1245" ht="14.1" customHeight="1"/>
    <row r="1246" ht="14.1" customHeight="1"/>
    <row r="1247" ht="14.1" customHeight="1"/>
    <row r="1248" ht="14.1" customHeight="1"/>
    <row r="1249" ht="14.1" customHeight="1"/>
    <row r="1250" ht="14.1" customHeight="1"/>
    <row r="1251" ht="14.1" customHeight="1"/>
    <row r="1252" ht="14.1" customHeight="1"/>
    <row r="1253" ht="14.1" customHeight="1"/>
    <row r="1254" ht="14.1" customHeight="1"/>
    <row r="1255" ht="14.1" customHeight="1"/>
    <row r="1256" ht="14.1" customHeight="1"/>
    <row r="1257" ht="14.1" customHeight="1"/>
    <row r="1258" ht="14.1" customHeight="1"/>
    <row r="1259" ht="14.1" customHeight="1"/>
    <row r="1260" ht="14.1" customHeight="1"/>
    <row r="1261" ht="14.1" customHeight="1"/>
    <row r="1262" ht="14.1" customHeight="1"/>
    <row r="1263" ht="14.1" customHeight="1"/>
    <row r="1264" ht="14.1" customHeight="1"/>
    <row r="1265" ht="14.1" customHeight="1"/>
    <row r="1266" ht="14.1" customHeight="1"/>
    <row r="1267" ht="14.1" customHeight="1"/>
    <row r="1268" ht="14.1" customHeight="1"/>
    <row r="1269" ht="14.1" customHeight="1"/>
    <row r="1270" ht="14.1" customHeight="1"/>
    <row r="1271" ht="14.1" customHeight="1"/>
    <row r="1272" ht="14.1" customHeight="1"/>
    <row r="1273" ht="14.1" customHeight="1"/>
    <row r="1274" ht="14.1" customHeight="1"/>
    <row r="1275" ht="14.1" customHeight="1"/>
    <row r="1276" ht="14.1" customHeight="1"/>
    <row r="1277" ht="14.1" customHeight="1"/>
    <row r="1278" ht="14.1" customHeight="1"/>
    <row r="1279" ht="14.1" customHeight="1"/>
    <row r="1280" ht="14.1" customHeight="1"/>
    <row r="1281" ht="14.1" customHeight="1"/>
    <row r="1282" ht="14.1" customHeight="1"/>
    <row r="1283" ht="14.1" customHeight="1"/>
    <row r="1284" ht="14.1" customHeight="1"/>
    <row r="1285" ht="14.1" customHeight="1"/>
    <row r="1286" ht="14.1" customHeight="1"/>
    <row r="1287" ht="14.1" customHeight="1"/>
    <row r="1288" ht="14.1" customHeight="1"/>
    <row r="1289" ht="14.1" customHeight="1"/>
    <row r="1290" ht="14.1" customHeight="1"/>
    <row r="1291" ht="14.1" customHeight="1"/>
    <row r="1292" ht="14.1" customHeight="1"/>
    <row r="1293" ht="14.1" customHeight="1"/>
    <row r="1294" ht="14.1" customHeight="1"/>
    <row r="1295" ht="14.1" customHeight="1"/>
    <row r="1296" ht="14.1" customHeight="1"/>
    <row r="1297" ht="14.1" customHeight="1"/>
    <row r="1298" ht="14.1" customHeight="1"/>
    <row r="1299" ht="14.1" customHeight="1"/>
    <row r="1300" ht="14.1" customHeight="1"/>
    <row r="1301" ht="14.1" customHeight="1"/>
    <row r="1302" ht="14.1" customHeight="1"/>
    <row r="1303" ht="14.1" customHeight="1"/>
    <row r="1304" ht="14.1" customHeight="1"/>
    <row r="1305" ht="14.1" customHeight="1"/>
    <row r="1306" ht="14.1" customHeight="1"/>
    <row r="1307" ht="14.1" customHeight="1"/>
    <row r="1308" ht="14.1" customHeight="1"/>
    <row r="1309" ht="14.1" customHeight="1"/>
    <row r="1310" ht="14.1" customHeight="1"/>
    <row r="1311" ht="14.1" customHeight="1"/>
    <row r="1312" ht="14.1" customHeight="1"/>
    <row r="1313" ht="14.1" customHeight="1"/>
    <row r="1314" ht="14.1" customHeight="1"/>
    <row r="1315" ht="14.1" customHeight="1"/>
    <row r="1316" ht="14.1" customHeight="1"/>
    <row r="1317" ht="14.1" customHeight="1"/>
    <row r="1318" ht="14.1" customHeight="1"/>
    <row r="1319" ht="14.1" customHeight="1"/>
    <row r="1320" ht="14.1" customHeight="1"/>
    <row r="1321" ht="14.1" customHeight="1"/>
    <row r="1322" ht="14.1" customHeight="1"/>
    <row r="1323" ht="14.1" customHeight="1"/>
    <row r="1324" ht="14.1" customHeight="1"/>
    <row r="1325" ht="14.1" customHeight="1"/>
    <row r="1326" ht="14.1" customHeight="1"/>
    <row r="1327" ht="14.1" customHeight="1"/>
    <row r="1328" ht="14.1" customHeight="1"/>
    <row r="1329" ht="14.1" customHeight="1"/>
    <row r="1330" ht="14.1" customHeight="1"/>
    <row r="1331" ht="14.1" customHeight="1"/>
    <row r="1332" ht="14.1" customHeight="1"/>
    <row r="1333" ht="14.1" customHeight="1"/>
    <row r="1334" ht="14.1" customHeight="1"/>
    <row r="1335" ht="14.1" customHeight="1"/>
    <row r="1336" ht="14.1" customHeight="1"/>
    <row r="1337" ht="14.1" customHeight="1"/>
    <row r="1338" ht="14.1" customHeight="1"/>
    <row r="1339" ht="14.1" customHeight="1"/>
    <row r="1340" ht="14.1" customHeight="1"/>
    <row r="1341" ht="14.1" customHeight="1"/>
    <row r="1342" ht="14.1" customHeight="1"/>
    <row r="1343" ht="14.1" customHeight="1"/>
    <row r="1344" ht="14.1" customHeight="1"/>
    <row r="1345" ht="14.1" customHeight="1"/>
    <row r="1346" ht="14.1" customHeight="1"/>
    <row r="1347" ht="14.1" customHeight="1"/>
    <row r="1348" ht="14.1" customHeight="1"/>
    <row r="1349" ht="14.1" customHeight="1"/>
    <row r="1350" ht="14.1" customHeight="1"/>
    <row r="1351" ht="14.1" customHeight="1"/>
    <row r="1352" ht="14.1" customHeight="1"/>
    <row r="1353" ht="14.1" customHeight="1"/>
    <row r="1354" ht="14.1" customHeight="1"/>
    <row r="1355" ht="14.1" customHeight="1"/>
    <row r="1356" ht="14.1" customHeight="1"/>
    <row r="1357" ht="14.1" customHeight="1"/>
    <row r="1358" ht="14.1" customHeight="1"/>
    <row r="1359" ht="14.1" customHeight="1"/>
    <row r="1360" ht="14.1" customHeight="1"/>
    <row r="1361" ht="14.1" customHeight="1"/>
    <row r="1362" ht="14.1" customHeight="1"/>
    <row r="1363" ht="14.1" customHeight="1"/>
    <row r="1364" ht="14.1" customHeight="1"/>
    <row r="1365" ht="14.1" customHeight="1"/>
    <row r="1366" ht="14.1" customHeight="1"/>
    <row r="1367" ht="14.1" customHeight="1"/>
    <row r="1368" ht="14.1" customHeight="1"/>
    <row r="1369" ht="14.1" customHeight="1"/>
    <row r="1370" ht="14.1" customHeight="1"/>
    <row r="1371" ht="14.1" customHeight="1"/>
    <row r="1372" ht="14.1" customHeight="1"/>
    <row r="1373" ht="14.1" customHeight="1"/>
    <row r="1374" ht="14.1" customHeight="1"/>
    <row r="1375" ht="14.1" customHeight="1"/>
    <row r="1376" ht="14.1" customHeight="1"/>
    <row r="1377" ht="14.1" customHeight="1"/>
    <row r="1378" ht="14.1" customHeight="1"/>
    <row r="1379" ht="14.1" customHeight="1"/>
    <row r="1380" ht="14.1" customHeight="1"/>
    <row r="1381" ht="14.1" customHeight="1"/>
    <row r="1382" ht="14.1" customHeight="1"/>
    <row r="1383" ht="14.1" customHeight="1"/>
    <row r="1384" ht="14.1" customHeight="1"/>
    <row r="1385" ht="14.1" customHeight="1"/>
    <row r="1386" ht="14.1" customHeight="1"/>
    <row r="1387" ht="14.1" customHeight="1"/>
    <row r="1388" ht="14.1" customHeight="1"/>
    <row r="1389" ht="14.1" customHeight="1"/>
    <row r="1390" ht="14.1" customHeight="1"/>
    <row r="1391" ht="14.1" customHeight="1"/>
    <row r="1392" ht="14.1" customHeight="1"/>
    <row r="1393" ht="14.1" customHeight="1"/>
    <row r="1394" ht="14.1" customHeight="1"/>
    <row r="1395" ht="14.1" customHeight="1"/>
    <row r="1396" ht="14.1" customHeight="1"/>
    <row r="1397" ht="14.1" customHeight="1"/>
    <row r="1398" ht="14.1" customHeight="1"/>
    <row r="1399" ht="14.1" customHeight="1"/>
    <row r="1400" ht="14.1" customHeight="1"/>
    <row r="1401" ht="14.1" customHeight="1"/>
    <row r="1402" ht="14.1" customHeight="1"/>
    <row r="1403" ht="14.1" customHeight="1"/>
    <row r="1404" ht="14.1" customHeight="1"/>
    <row r="1405" ht="14.1" customHeight="1"/>
    <row r="1406" ht="14.1" customHeight="1"/>
    <row r="1407" ht="14.1" customHeight="1"/>
    <row r="1408" ht="14.1" customHeight="1"/>
    <row r="1409" ht="14.1" customHeight="1"/>
    <row r="1410" ht="14.1" customHeight="1"/>
    <row r="1411" ht="14.1" customHeight="1"/>
    <row r="1412" ht="14.1" customHeight="1"/>
    <row r="1413" ht="14.1" customHeight="1"/>
    <row r="1414" ht="14.1" customHeight="1"/>
    <row r="1415" ht="14.1" customHeight="1"/>
    <row r="1416" ht="14.1" customHeight="1"/>
    <row r="1417" ht="14.1" customHeight="1"/>
    <row r="1418" ht="14.1" customHeight="1"/>
    <row r="1419" ht="14.1" customHeight="1"/>
    <row r="1420" ht="14.1" customHeight="1"/>
    <row r="1421" ht="14.1" customHeight="1"/>
    <row r="1422" ht="14.1" customHeight="1"/>
    <row r="1423" ht="14.1" customHeight="1"/>
    <row r="1424" ht="14.1" customHeight="1"/>
    <row r="1425" ht="14.1" customHeight="1"/>
    <row r="1426" ht="14.1" customHeight="1"/>
    <row r="1427" ht="14.1" customHeight="1"/>
    <row r="1428" ht="14.1" customHeight="1"/>
    <row r="1429" ht="14.1" customHeight="1"/>
    <row r="1430" ht="14.1" customHeight="1"/>
    <row r="1431" ht="14.1" customHeight="1"/>
    <row r="1432" ht="14.1" customHeight="1"/>
    <row r="1433" ht="14.1" customHeight="1"/>
    <row r="1434" ht="14.1" customHeight="1"/>
    <row r="1435" ht="14.1" customHeight="1"/>
    <row r="1436" ht="14.1" customHeight="1"/>
    <row r="1437" ht="14.1" customHeight="1"/>
    <row r="1438" ht="14.1" customHeight="1"/>
    <row r="1439" ht="14.1" customHeight="1"/>
    <row r="1440" ht="14.1" customHeight="1"/>
    <row r="1441" ht="14.1" customHeight="1"/>
    <row r="1442" ht="14.1" customHeight="1"/>
    <row r="1443" ht="14.1" customHeight="1"/>
    <row r="1444" ht="14.1" customHeight="1"/>
    <row r="1445" ht="14.1" customHeight="1"/>
    <row r="1446" ht="14.1" customHeight="1"/>
    <row r="1447" ht="14.1" customHeight="1"/>
    <row r="1448" ht="14.1" customHeight="1"/>
    <row r="1449" ht="14.1" customHeight="1"/>
    <row r="1450" ht="14.1" customHeight="1"/>
    <row r="1451" ht="14.1" customHeight="1"/>
    <row r="1452" ht="14.1" customHeight="1"/>
    <row r="1453" ht="14.1" customHeight="1"/>
    <row r="1454" ht="14.1" customHeight="1"/>
    <row r="1455" ht="14.1" customHeight="1"/>
    <row r="1456" ht="14.1" customHeight="1"/>
    <row r="1457" ht="14.1" customHeight="1"/>
    <row r="1458" ht="14.1" customHeight="1"/>
    <row r="1459" ht="14.1" customHeight="1"/>
    <row r="1460" ht="14.1" customHeight="1"/>
    <row r="1461" ht="14.1" customHeight="1"/>
    <row r="1462" ht="14.1" customHeight="1"/>
    <row r="1463" ht="14.1" customHeight="1"/>
    <row r="1464" ht="14.1" customHeight="1"/>
    <row r="1465" ht="14.1" customHeight="1"/>
    <row r="1466" ht="14.1" customHeight="1"/>
    <row r="1467" ht="14.1" customHeight="1"/>
    <row r="1468" ht="14.1" customHeight="1"/>
    <row r="1469" ht="14.1" customHeight="1"/>
    <row r="1470" ht="14.1" customHeight="1"/>
    <row r="1471" ht="14.1" customHeight="1"/>
    <row r="1472" ht="14.1" customHeight="1"/>
    <row r="1473" ht="14.1" customHeight="1"/>
    <row r="1474" ht="14.1" customHeight="1"/>
    <row r="1475" ht="14.1" customHeight="1"/>
    <row r="1476" ht="14.1" customHeight="1"/>
    <row r="1477" ht="14.1" customHeight="1"/>
    <row r="1478" ht="14.1" customHeight="1"/>
    <row r="1479" ht="14.1" customHeight="1"/>
    <row r="1480" ht="14.1" customHeight="1"/>
    <row r="1481" ht="14.1" customHeight="1"/>
    <row r="1482" ht="14.1" customHeight="1"/>
    <row r="1483" ht="14.1" customHeight="1"/>
    <row r="1484" ht="14.1" customHeight="1"/>
    <row r="1485" ht="14.1" customHeight="1"/>
    <row r="1486" ht="14.1" customHeight="1"/>
    <row r="1487" ht="14.1" customHeight="1"/>
    <row r="1488" ht="14.1" customHeight="1"/>
    <row r="1489" ht="14.1" customHeight="1"/>
    <row r="1490" ht="14.1" customHeight="1"/>
    <row r="1491" ht="14.1" customHeight="1"/>
    <row r="1492" ht="14.1" customHeight="1"/>
    <row r="1493" ht="14.1" customHeight="1"/>
    <row r="1494" ht="14.1" customHeight="1"/>
    <row r="1495" ht="14.1" customHeight="1"/>
    <row r="1496" ht="14.1" customHeight="1"/>
    <row r="1497" ht="14.1" customHeight="1"/>
    <row r="1498" ht="14.1" customHeight="1"/>
    <row r="1499" ht="14.1" customHeight="1"/>
    <row r="1500" ht="14.1" customHeight="1"/>
    <row r="1501" ht="14.1" customHeight="1"/>
    <row r="1502" ht="14.1" customHeight="1"/>
    <row r="1503" ht="14.1" customHeight="1"/>
    <row r="1504" ht="14.1" customHeight="1"/>
    <row r="1505" ht="14.1" customHeight="1"/>
    <row r="1506" ht="14.1" customHeight="1"/>
    <row r="1507" ht="14.1" customHeight="1"/>
    <row r="1508" ht="14.1" customHeight="1"/>
    <row r="1509" ht="14.1" customHeight="1"/>
    <row r="1510" ht="14.1" customHeight="1"/>
    <row r="1511" ht="14.1" customHeight="1"/>
    <row r="1512" ht="14.1" customHeight="1"/>
    <row r="1513" ht="14.1" customHeight="1"/>
    <row r="1514" ht="14.1" customHeight="1"/>
    <row r="1515" ht="14.1" customHeight="1"/>
    <row r="1516" ht="14.1" customHeight="1"/>
    <row r="1517" ht="14.1" customHeight="1"/>
    <row r="1518" ht="14.1" customHeight="1"/>
    <row r="1519" ht="14.1" customHeight="1"/>
    <row r="1520" ht="14.1" customHeight="1"/>
    <row r="1521" ht="14.1" customHeight="1"/>
    <row r="1522" ht="14.1" customHeight="1"/>
    <row r="1523" ht="14.1" customHeight="1"/>
    <row r="1524" ht="14.1" customHeight="1"/>
    <row r="1525" ht="14.1" customHeight="1"/>
    <row r="1526" ht="14.1" customHeight="1"/>
    <row r="1527" ht="14.1" customHeight="1"/>
    <row r="1528" ht="14.1" customHeight="1"/>
    <row r="1529" ht="14.1" customHeight="1"/>
    <row r="1530" ht="14.1" customHeight="1"/>
    <row r="1531" ht="14.1" customHeight="1"/>
    <row r="1532" ht="14.1" customHeight="1"/>
    <row r="1533" ht="14.1" customHeight="1"/>
    <row r="1534" ht="14.1" customHeight="1"/>
    <row r="1535" ht="14.1" customHeight="1"/>
    <row r="1536" ht="14.1" customHeight="1"/>
    <row r="1537" ht="14.1" customHeight="1"/>
    <row r="1538" ht="14.1" customHeight="1"/>
    <row r="1539" ht="14.1" customHeight="1"/>
    <row r="1540" ht="14.1" customHeight="1"/>
    <row r="1541" ht="14.1" customHeight="1"/>
    <row r="1542" ht="14.1" customHeight="1"/>
    <row r="1543" ht="14.1" customHeight="1"/>
    <row r="1544" ht="14.1" customHeight="1"/>
    <row r="1545" ht="14.1" customHeight="1"/>
    <row r="1546" ht="14.1" customHeight="1"/>
    <row r="1547" ht="14.1" customHeight="1"/>
    <row r="1548" ht="14.1" customHeight="1"/>
    <row r="1549" ht="14.1" customHeight="1"/>
    <row r="1550" ht="14.1" customHeight="1"/>
    <row r="1551" ht="14.1" customHeight="1"/>
    <row r="1552" ht="14.1" customHeight="1"/>
    <row r="1553" ht="14.1" customHeight="1"/>
    <row r="1554" ht="14.1" customHeight="1"/>
    <row r="1555" ht="14.1" customHeight="1"/>
    <row r="1556" ht="14.1" customHeight="1"/>
    <row r="1557" ht="14.1" customHeight="1"/>
    <row r="1558" ht="14.1" customHeight="1"/>
    <row r="1559" ht="14.1" customHeight="1"/>
    <row r="1560" ht="14.1" customHeight="1"/>
    <row r="1561" ht="14.1" customHeight="1"/>
    <row r="1562" ht="14.1" customHeight="1"/>
    <row r="1563" ht="14.1" customHeight="1"/>
    <row r="1564" ht="14.1" customHeight="1"/>
    <row r="1565" ht="14.1" customHeight="1"/>
    <row r="1566" ht="14.1" customHeight="1"/>
    <row r="1567" ht="14.1" customHeight="1"/>
    <row r="1568" ht="14.1" customHeight="1"/>
    <row r="1569" ht="14.1" customHeight="1"/>
    <row r="1570" ht="14.1" customHeight="1"/>
    <row r="1571" ht="14.1" customHeight="1"/>
    <row r="1572" ht="14.1" customHeight="1"/>
    <row r="1573" ht="14.1" customHeight="1"/>
    <row r="1574" ht="14.1" customHeight="1"/>
    <row r="1575" ht="14.1" customHeight="1"/>
    <row r="1576" ht="14.1" customHeight="1"/>
    <row r="1577" ht="14.1" customHeight="1"/>
    <row r="1578" ht="14.1" customHeight="1"/>
    <row r="1579" ht="14.1" customHeight="1"/>
    <row r="1580" ht="14.1" customHeight="1"/>
    <row r="1581" ht="14.1" customHeight="1"/>
    <row r="1582" ht="14.1" customHeight="1"/>
    <row r="1583" ht="14.1" customHeight="1"/>
    <row r="1584" ht="14.1" customHeight="1"/>
    <row r="1585" ht="14.1" customHeight="1"/>
    <row r="1586" ht="14.1" customHeight="1"/>
    <row r="1587" ht="14.1" customHeight="1"/>
    <row r="1588" ht="14.1" customHeight="1"/>
    <row r="1589" ht="14.1" customHeight="1"/>
    <row r="1590" ht="14.1" customHeight="1"/>
    <row r="1591" ht="14.1" customHeight="1"/>
    <row r="1592" ht="14.1" customHeight="1"/>
    <row r="1593" ht="14.1" customHeight="1"/>
    <row r="1594" ht="14.1" customHeight="1"/>
    <row r="1595" ht="14.1" customHeight="1"/>
    <row r="1596" ht="14.1" customHeight="1"/>
    <row r="1597" ht="14.1" customHeight="1"/>
    <row r="1598" ht="14.1" customHeight="1"/>
    <row r="1599" ht="14.1" customHeight="1"/>
    <row r="1600" ht="14.1" customHeight="1"/>
    <row r="1601" ht="14.1" customHeight="1"/>
    <row r="1602" ht="14.1" customHeight="1"/>
    <row r="1603" ht="14.1" customHeight="1"/>
    <row r="1604" ht="14.1" customHeight="1"/>
    <row r="1605" ht="14.1" customHeight="1"/>
    <row r="1606" ht="14.1" customHeight="1"/>
    <row r="1607" ht="14.1" customHeight="1"/>
    <row r="1608" ht="14.1" customHeight="1"/>
    <row r="1609" ht="14.1" customHeight="1"/>
    <row r="1610" ht="14.1" customHeight="1"/>
    <row r="1611" ht="14.1" customHeight="1"/>
    <row r="1612" ht="14.1" customHeight="1"/>
    <row r="1613" ht="14.1" customHeight="1"/>
    <row r="1614" ht="14.1" customHeight="1"/>
    <row r="1615" ht="14.1" customHeight="1"/>
    <row r="1616" ht="14.1" customHeight="1"/>
    <row r="1617" ht="14.1" customHeight="1"/>
    <row r="1618" ht="14.1" customHeight="1"/>
    <row r="1619" ht="14.1" customHeight="1"/>
    <row r="1620" ht="14.1" customHeight="1"/>
    <row r="1621" ht="14.1" customHeight="1"/>
    <row r="1622" ht="14.1" customHeight="1"/>
    <row r="1623" ht="14.1" customHeight="1"/>
    <row r="1624" ht="14.1" customHeight="1"/>
    <row r="1625" ht="14.1" customHeight="1"/>
    <row r="1626" ht="14.1" customHeight="1"/>
    <row r="1627" ht="14.1" customHeight="1"/>
    <row r="1628" ht="14.1" customHeight="1"/>
    <row r="1629" ht="14.1" customHeight="1"/>
    <row r="1630" ht="14.1" customHeight="1"/>
    <row r="1631" ht="14.1" customHeight="1"/>
    <row r="1632" ht="14.1" customHeight="1"/>
    <row r="1633" ht="14.1" customHeight="1"/>
    <row r="1634" ht="14.1" customHeight="1"/>
    <row r="1635" ht="14.1" customHeight="1"/>
    <row r="1636" ht="14.1" customHeight="1"/>
    <row r="1637" ht="14.1" customHeight="1"/>
    <row r="1638" ht="14.1" customHeight="1"/>
    <row r="1639" ht="14.1" customHeight="1"/>
    <row r="1640" ht="14.1" customHeight="1"/>
    <row r="1641" ht="14.1" customHeight="1"/>
    <row r="1642" ht="14.1" customHeight="1"/>
    <row r="1643" ht="14.1" customHeight="1"/>
    <row r="1644" ht="14.1" customHeight="1"/>
    <row r="1645" ht="14.1" customHeight="1"/>
    <row r="1646" ht="14.1" customHeight="1"/>
    <row r="1647" ht="14.1" customHeight="1"/>
    <row r="1648" ht="14.1" customHeight="1"/>
    <row r="1649" ht="14.1" customHeight="1"/>
    <row r="1650" ht="14.1" customHeight="1"/>
    <row r="1651" ht="14.1" customHeight="1"/>
    <row r="1652" ht="14.1" customHeight="1"/>
    <row r="1653" ht="14.1" customHeight="1"/>
    <row r="1654" ht="14.1" customHeight="1"/>
    <row r="1655" ht="14.1" customHeight="1"/>
    <row r="1656" ht="14.1" customHeight="1"/>
    <row r="1657" ht="14.1" customHeight="1"/>
    <row r="1658" ht="14.1" customHeight="1"/>
    <row r="1659" ht="14.1" customHeight="1"/>
    <row r="1660" ht="14.1" customHeight="1"/>
    <row r="1661" ht="14.1" customHeight="1"/>
    <row r="1662" ht="14.1" customHeight="1"/>
    <row r="1663" ht="14.1" customHeight="1"/>
    <row r="1664" ht="14.1" customHeight="1"/>
    <row r="1665" ht="14.1" customHeight="1"/>
    <row r="1666" ht="14.1" customHeight="1"/>
    <row r="1667" ht="14.1" customHeight="1"/>
    <row r="1668" ht="14.1" customHeight="1"/>
    <row r="1669" ht="14.1" customHeight="1"/>
    <row r="1670" ht="14.1" customHeight="1"/>
    <row r="1671" ht="14.1" customHeight="1"/>
    <row r="1672" ht="14.1" customHeight="1"/>
    <row r="1673" ht="14.1" customHeight="1"/>
    <row r="1674" ht="14.1" customHeight="1"/>
    <row r="1675" ht="14.1" customHeight="1"/>
    <row r="1676" ht="14.1" customHeight="1"/>
    <row r="1677" ht="14.1" customHeight="1"/>
    <row r="1678" ht="14.1" customHeight="1"/>
    <row r="1679" ht="14.1" customHeight="1"/>
    <row r="1680" ht="14.1" customHeight="1"/>
    <row r="1681" ht="14.1" customHeight="1"/>
    <row r="1682" ht="14.1" customHeight="1"/>
    <row r="1683" ht="14.1" customHeight="1"/>
    <row r="1684" ht="14.1" customHeight="1"/>
    <row r="1685" ht="14.1" customHeight="1"/>
    <row r="1686" ht="14.1" customHeight="1"/>
    <row r="1687" ht="14.1" customHeight="1"/>
    <row r="1688" ht="14.1" customHeight="1"/>
    <row r="1689" ht="14.1" customHeight="1"/>
    <row r="1690" ht="14.1" customHeight="1"/>
    <row r="1691" ht="14.1" customHeight="1"/>
    <row r="1692" ht="14.1" customHeight="1"/>
    <row r="1693" ht="14.1" customHeight="1"/>
    <row r="1694" ht="14.1" customHeight="1"/>
    <row r="1695" ht="14.1" customHeight="1"/>
    <row r="1696" ht="14.1" customHeight="1"/>
    <row r="1697" ht="14.1" customHeight="1"/>
    <row r="1698" ht="14.1" customHeight="1"/>
    <row r="1699" ht="14.1" customHeight="1"/>
    <row r="1700" ht="14.1" customHeight="1"/>
    <row r="1701" ht="14.1" customHeight="1"/>
    <row r="1702" ht="14.1" customHeight="1"/>
    <row r="1703" ht="14.1" customHeight="1"/>
    <row r="1704" ht="14.1" customHeight="1"/>
    <row r="1705" ht="14.1" customHeight="1"/>
    <row r="1706" ht="14.1" customHeight="1"/>
    <row r="1707" ht="14.1" customHeight="1"/>
    <row r="1708" ht="14.1" customHeight="1"/>
    <row r="1709" ht="14.1" customHeight="1"/>
    <row r="1710" ht="14.1" customHeight="1"/>
    <row r="1711" ht="14.1" customHeight="1"/>
    <row r="1712" ht="14.1" customHeight="1"/>
    <row r="1713" ht="14.1" customHeight="1"/>
    <row r="1714" ht="14.1" customHeight="1"/>
    <row r="1715" ht="14.1" customHeight="1"/>
    <row r="1716" ht="14.1" customHeight="1"/>
    <row r="1717" ht="14.1" customHeight="1"/>
    <row r="1718" ht="14.1" customHeight="1"/>
    <row r="1719" ht="14.1" customHeight="1"/>
    <row r="1720" ht="14.1" customHeight="1"/>
    <row r="1721" ht="14.1" customHeight="1"/>
    <row r="1722" ht="14.1" customHeight="1"/>
    <row r="1723" ht="14.1" customHeight="1"/>
    <row r="1724" ht="14.1" customHeight="1"/>
    <row r="1725" ht="14.1" customHeight="1"/>
    <row r="1726" ht="14.1" customHeight="1"/>
    <row r="1727" ht="14.1" customHeight="1"/>
    <row r="1728" ht="14.1" customHeight="1"/>
    <row r="1729" ht="14.1" customHeight="1"/>
    <row r="1730" ht="14.1" customHeight="1"/>
    <row r="1731" ht="14.1" customHeight="1"/>
  </sheetData>
  <mergeCells count="76">
    <mergeCell ref="B452:D452"/>
    <mergeCell ref="G452:I452"/>
    <mergeCell ref="K452:L452"/>
    <mergeCell ref="J421:M421"/>
    <mergeCell ref="J423:M423"/>
    <mergeCell ref="B411:D411"/>
    <mergeCell ref="G411:I411"/>
    <mergeCell ref="K411:L411"/>
    <mergeCell ref="A414:F414"/>
    <mergeCell ref="B451:D451"/>
    <mergeCell ref="G451:I451"/>
    <mergeCell ref="K451:L451"/>
    <mergeCell ref="G402:I402"/>
    <mergeCell ref="K402:L402"/>
    <mergeCell ref="B410:D410"/>
    <mergeCell ref="G410:I410"/>
    <mergeCell ref="K410:L410"/>
    <mergeCell ref="A248:F248"/>
    <mergeCell ref="A283:F283"/>
    <mergeCell ref="J255:M255"/>
    <mergeCell ref="J257:M257"/>
    <mergeCell ref="B403:D403"/>
    <mergeCell ref="G403:I403"/>
    <mergeCell ref="K403:L403"/>
    <mergeCell ref="B326:D326"/>
    <mergeCell ref="G326:I326"/>
    <mergeCell ref="K326:L326"/>
    <mergeCell ref="B327:D327"/>
    <mergeCell ref="G327:I327"/>
    <mergeCell ref="K327:L327"/>
    <mergeCell ref="A331:F331"/>
    <mergeCell ref="A367:F367"/>
    <mergeCell ref="B402:D402"/>
    <mergeCell ref="B243:D243"/>
    <mergeCell ref="G243:I243"/>
    <mergeCell ref="K243:L243"/>
    <mergeCell ref="B244:D244"/>
    <mergeCell ref="G244:I244"/>
    <mergeCell ref="K244:L244"/>
    <mergeCell ref="B158:D158"/>
    <mergeCell ref="G158:I158"/>
    <mergeCell ref="K158:L158"/>
    <mergeCell ref="A165:F165"/>
    <mergeCell ref="A205:F205"/>
    <mergeCell ref="B157:D157"/>
    <mergeCell ref="G157:I157"/>
    <mergeCell ref="K157:L157"/>
    <mergeCell ref="A1:N2"/>
    <mergeCell ref="A3:F3"/>
    <mergeCell ref="J12:M12"/>
    <mergeCell ref="A38:F38"/>
    <mergeCell ref="B77:D77"/>
    <mergeCell ref="G77:I77"/>
    <mergeCell ref="K77:L77"/>
    <mergeCell ref="B78:D78"/>
    <mergeCell ref="G78:I78"/>
    <mergeCell ref="K78:L78"/>
    <mergeCell ref="A82:F82"/>
    <mergeCell ref="A120:F120"/>
    <mergeCell ref="J10:M10"/>
    <mergeCell ref="J45:M45"/>
    <mergeCell ref="J47:M47"/>
    <mergeCell ref="J89:M89"/>
    <mergeCell ref="J91:M91"/>
    <mergeCell ref="J127:M127"/>
    <mergeCell ref="J129:M129"/>
    <mergeCell ref="J172:M172"/>
    <mergeCell ref="J174:M174"/>
    <mergeCell ref="J212:M212"/>
    <mergeCell ref="J214:M214"/>
    <mergeCell ref="J290:M290"/>
    <mergeCell ref="J338:M338"/>
    <mergeCell ref="J340:M340"/>
    <mergeCell ref="J374:M374"/>
    <mergeCell ref="J376:M376"/>
    <mergeCell ref="J292:M292"/>
  </mergeCells>
  <pageMargins left="0.95" right="0.45" top="0.75" bottom="0.5" header="0.3" footer="0.3"/>
  <pageSetup paperSize="9" scale="6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P2794"/>
  <sheetViews>
    <sheetView view="pageBreakPreview" topLeftCell="A1429" zoomScaleSheetLayoutView="100" workbookViewId="0">
      <selection activeCell="F1422" sqref="F1422"/>
    </sheetView>
  </sheetViews>
  <sheetFormatPr defaultRowHeight="15"/>
  <cols>
    <col min="1" max="1" width="14.42578125" customWidth="1"/>
    <col min="2" max="2" width="10.42578125" customWidth="1"/>
    <col min="3" max="3" width="9.7109375" customWidth="1"/>
    <col min="4" max="4" width="11.5703125" customWidth="1"/>
    <col min="5" max="5" width="9.7109375" customWidth="1"/>
    <col min="6" max="6" width="7.7109375" customWidth="1"/>
    <col min="7" max="8" width="9.7109375" customWidth="1"/>
    <col min="9" max="9" width="10.85546875" customWidth="1"/>
    <col min="10" max="12" width="9.7109375" customWidth="1"/>
    <col min="13" max="14" width="8.5703125" customWidth="1"/>
  </cols>
  <sheetData>
    <row r="1" spans="1:15" ht="24.75" customHeight="1">
      <c r="A1" s="183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5" ht="24.75" customHeight="1">
      <c r="A2" s="177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</row>
    <row r="3" spans="1:15" ht="18" customHeight="1">
      <c r="A3" s="184" t="s">
        <v>0</v>
      </c>
      <c r="B3" s="185"/>
      <c r="C3" s="185"/>
      <c r="D3" s="185"/>
      <c r="E3" s="185"/>
      <c r="F3" s="185"/>
      <c r="G3" s="20">
        <v>4200</v>
      </c>
      <c r="H3" s="1" t="s">
        <v>15</v>
      </c>
      <c r="I3" s="1"/>
      <c r="J3" s="33"/>
      <c r="K3" s="1"/>
      <c r="L3" s="1"/>
      <c r="M3" s="1"/>
      <c r="N3" s="1"/>
    </row>
    <row r="4" spans="1:15" ht="18" customHeight="1">
      <c r="A4" s="42" t="s">
        <v>1</v>
      </c>
      <c r="B4" s="82"/>
      <c r="C4" s="83">
        <v>0</v>
      </c>
      <c r="D4" s="84">
        <v>0.6</v>
      </c>
      <c r="E4" s="84">
        <v>0.7</v>
      </c>
      <c r="F4" s="85">
        <v>1.7</v>
      </c>
      <c r="G4" s="85">
        <v>2.7</v>
      </c>
      <c r="H4" s="84">
        <v>2.8</v>
      </c>
      <c r="I4" s="52">
        <v>3.5</v>
      </c>
      <c r="J4" s="52"/>
      <c r="K4" s="84"/>
      <c r="L4" s="86"/>
      <c r="M4" s="45"/>
      <c r="N4" s="47"/>
      <c r="O4" s="22"/>
    </row>
    <row r="5" spans="1:15" ht="18" customHeight="1">
      <c r="A5" s="42" t="s">
        <v>2</v>
      </c>
      <c r="B5" s="82"/>
      <c r="C5" s="83">
        <v>97.06</v>
      </c>
      <c r="D5" s="84">
        <v>95.97</v>
      </c>
      <c r="E5" s="84">
        <v>95.97</v>
      </c>
      <c r="F5" s="84">
        <v>95.97</v>
      </c>
      <c r="G5" s="84">
        <v>95.97</v>
      </c>
      <c r="H5" s="84">
        <v>95.97</v>
      </c>
      <c r="I5" s="84">
        <v>97.23</v>
      </c>
      <c r="J5" s="84"/>
      <c r="K5" s="84"/>
      <c r="L5" s="86"/>
      <c r="M5" s="45"/>
      <c r="N5" s="47"/>
      <c r="O5" s="21"/>
    </row>
    <row r="6" spans="1:15" ht="18" customHeight="1">
      <c r="A6" s="42" t="s">
        <v>1</v>
      </c>
      <c r="B6" s="82"/>
      <c r="C6" s="83">
        <v>0</v>
      </c>
      <c r="D6" s="84">
        <v>0.6</v>
      </c>
      <c r="E6" s="84">
        <v>0.7</v>
      </c>
      <c r="F6" s="85">
        <v>1.7</v>
      </c>
      <c r="G6" s="85">
        <v>2.7</v>
      </c>
      <c r="H6" s="84">
        <v>2.8</v>
      </c>
      <c r="I6" s="52">
        <v>3.5</v>
      </c>
      <c r="J6" s="52"/>
      <c r="K6" s="84"/>
      <c r="L6" s="86"/>
      <c r="M6" s="45"/>
      <c r="N6" s="47"/>
      <c r="O6" s="22"/>
    </row>
    <row r="7" spans="1:15" ht="18" customHeight="1">
      <c r="A7" s="42" t="s">
        <v>3</v>
      </c>
      <c r="B7" s="87"/>
      <c r="C7" s="83">
        <v>97.06</v>
      </c>
      <c r="D7" s="84">
        <v>96.510999999999996</v>
      </c>
      <c r="E7" s="84">
        <v>96.42</v>
      </c>
      <c r="F7" s="84">
        <v>96.42</v>
      </c>
      <c r="G7" s="84">
        <v>96.42</v>
      </c>
      <c r="H7" s="84">
        <v>96.521000000000001</v>
      </c>
      <c r="I7" s="84">
        <v>97.23</v>
      </c>
      <c r="J7" s="84"/>
      <c r="K7" s="84"/>
      <c r="L7" s="86"/>
      <c r="M7" s="45"/>
      <c r="N7" s="52"/>
      <c r="O7" s="23"/>
    </row>
    <row r="8" spans="1:15" ht="18" customHeight="1">
      <c r="A8" s="42" t="s">
        <v>18</v>
      </c>
      <c r="B8" s="87"/>
      <c r="C8" s="52">
        <f t="shared" ref="C8" si="0">C5-C7</f>
        <v>0</v>
      </c>
      <c r="D8" s="52">
        <f>D7-D5</f>
        <v>0.54099999999999682</v>
      </c>
      <c r="E8" s="52">
        <f t="shared" ref="E8:I8" si="1">E7-E5</f>
        <v>0.45000000000000284</v>
      </c>
      <c r="F8" s="52">
        <f t="shared" si="1"/>
        <v>0.45000000000000284</v>
      </c>
      <c r="G8" s="52">
        <f t="shared" si="1"/>
        <v>0.45000000000000284</v>
      </c>
      <c r="H8" s="52">
        <f t="shared" si="1"/>
        <v>0.55100000000000193</v>
      </c>
      <c r="I8" s="52">
        <f t="shared" si="1"/>
        <v>0</v>
      </c>
      <c r="J8" s="52"/>
      <c r="K8" s="52"/>
      <c r="L8" s="52"/>
      <c r="M8" s="47"/>
      <c r="N8" s="47"/>
      <c r="O8" s="21"/>
    </row>
    <row r="9" spans="1:15" ht="18" customHeight="1">
      <c r="A9" s="42" t="s">
        <v>5</v>
      </c>
      <c r="B9" s="87"/>
      <c r="C9" s="52">
        <f t="shared" ref="C9" si="2">(C8+B8)/2*(C4-B4)</f>
        <v>0</v>
      </c>
      <c r="D9" s="52">
        <f>(D8+C8)/2*(D4-C4)</f>
        <v>0.16229999999999903</v>
      </c>
      <c r="E9" s="52">
        <f t="shared" ref="E9:I9" si="3">(E8+D8)/2*(E4-D4)</f>
        <v>4.9549999999999969E-2</v>
      </c>
      <c r="F9" s="52">
        <f t="shared" si="3"/>
        <v>0.45000000000000284</v>
      </c>
      <c r="G9" s="52">
        <f t="shared" si="3"/>
        <v>0.45000000000000295</v>
      </c>
      <c r="H9" s="52">
        <f t="shared" si="3"/>
        <v>5.005000000000006E-2</v>
      </c>
      <c r="I9" s="52">
        <f t="shared" si="3"/>
        <v>0.19285000000000072</v>
      </c>
      <c r="J9" s="52"/>
      <c r="K9" s="52"/>
      <c r="L9" s="52"/>
      <c r="M9" s="47"/>
      <c r="N9" s="77">
        <f>SUM(B9:M9)</f>
        <v>1.3547500000000057</v>
      </c>
      <c r="O9" s="21"/>
    </row>
    <row r="10" spans="1:15" ht="18" customHeight="1">
      <c r="A10" s="2"/>
      <c r="B10" s="2"/>
      <c r="C10" s="30"/>
      <c r="D10" s="30"/>
      <c r="E10" s="4"/>
      <c r="F10" s="4"/>
      <c r="G10" s="4"/>
      <c r="H10" s="4"/>
      <c r="I10" s="4"/>
      <c r="J10" s="179" t="s">
        <v>6</v>
      </c>
      <c r="K10" s="179"/>
      <c r="L10" s="179"/>
      <c r="M10" s="179"/>
      <c r="N10" s="109">
        <f>N9</f>
        <v>1.3547500000000057</v>
      </c>
      <c r="O10" s="21"/>
    </row>
    <row r="11" spans="1:15" ht="18" customHeight="1">
      <c r="A11" s="24"/>
      <c r="B11" s="78"/>
      <c r="C11" s="18"/>
      <c r="D11" s="18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4.1" customHeight="1">
      <c r="A12" s="2"/>
      <c r="B12" s="2"/>
      <c r="C12" s="30"/>
      <c r="D12" s="30"/>
      <c r="E12" s="21"/>
      <c r="F12" s="21"/>
      <c r="G12" s="21"/>
      <c r="H12" s="21"/>
      <c r="I12" s="21"/>
      <c r="J12" s="30"/>
      <c r="K12" s="30"/>
      <c r="L12" s="30"/>
      <c r="M12" s="30"/>
      <c r="N12" s="30"/>
    </row>
    <row r="13" spans="1:15" ht="14.1" customHeight="1">
      <c r="A13" s="6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5" ht="14.1" customHeight="1">
      <c r="A14" s="6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5" ht="14.1" customHeight="1">
      <c r="A15" s="6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5" ht="14.1" customHeight="1">
      <c r="A16" s="6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ht="14.1" customHeight="1">
      <c r="A17" s="6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ht="14.1" customHeight="1">
      <c r="A18" s="6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ht="14.1" customHeight="1">
      <c r="A19" s="6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ht="14.1" customHeight="1">
      <c r="A20" s="6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ht="14.1" customHeight="1">
      <c r="A21" s="6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ht="14.1" customHeight="1">
      <c r="A22" s="6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 ht="14.1" customHeight="1">
      <c r="A23" s="6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 ht="14.1" customHeight="1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ht="14.1" customHeight="1">
      <c r="A25" s="6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ht="14.1" customHeight="1">
      <c r="A26" s="6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ht="14.1" customHeight="1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ht="14.1" customHeight="1">
      <c r="A28" s="6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ht="14.1" customHeight="1">
      <c r="A29" s="6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ht="14.1" customHeight="1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ht="14.1" customHeight="1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ht="14.1" customHeight="1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6" ht="14.1" customHeight="1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6" ht="14.1" customHeight="1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6" ht="14.1" customHeight="1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6" ht="14.1" customHeight="1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6" ht="14.1" customHeight="1">
      <c r="A37" s="6"/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6" ht="18.75" customHeight="1">
      <c r="A38" s="184" t="s">
        <v>0</v>
      </c>
      <c r="B38" s="185"/>
      <c r="C38" s="185"/>
      <c r="D38" s="185"/>
      <c r="E38" s="185"/>
      <c r="F38" s="186"/>
      <c r="G38" s="20">
        <v>4260</v>
      </c>
      <c r="H38" s="1" t="s">
        <v>15</v>
      </c>
      <c r="I38" s="1"/>
      <c r="J38" s="32"/>
      <c r="K38" s="1"/>
      <c r="L38" s="1"/>
      <c r="M38" s="1"/>
      <c r="N38" s="1"/>
    </row>
    <row r="39" spans="1:16" ht="18.75" customHeight="1">
      <c r="A39" s="42" t="s">
        <v>1</v>
      </c>
      <c r="B39" s="82"/>
      <c r="C39" s="83">
        <v>0</v>
      </c>
      <c r="D39" s="84">
        <v>0.6</v>
      </c>
      <c r="E39" s="84">
        <v>0.7</v>
      </c>
      <c r="F39" s="85">
        <v>1.7</v>
      </c>
      <c r="G39" s="85">
        <v>2.7</v>
      </c>
      <c r="H39" s="84">
        <v>2.8</v>
      </c>
      <c r="I39" s="52">
        <v>3.6</v>
      </c>
      <c r="J39" s="52"/>
      <c r="K39" s="84"/>
      <c r="L39" s="86"/>
      <c r="M39" s="45"/>
      <c r="N39" s="47"/>
      <c r="O39" s="22"/>
      <c r="P39" s="22"/>
    </row>
    <row r="40" spans="1:16" ht="18.75" customHeight="1">
      <c r="A40" s="42" t="s">
        <v>2</v>
      </c>
      <c r="B40" s="82"/>
      <c r="C40" s="83">
        <v>97.72</v>
      </c>
      <c r="D40" s="84">
        <v>95.92</v>
      </c>
      <c r="E40" s="84">
        <v>95.92</v>
      </c>
      <c r="F40" s="84">
        <v>95.92</v>
      </c>
      <c r="G40" s="84">
        <v>95.92</v>
      </c>
      <c r="H40" s="84">
        <v>95.92</v>
      </c>
      <c r="I40" s="84">
        <v>97.92</v>
      </c>
      <c r="J40" s="84"/>
      <c r="K40" s="84"/>
      <c r="L40" s="86"/>
      <c r="M40" s="45"/>
      <c r="N40" s="47"/>
      <c r="O40" s="21"/>
      <c r="P40" s="21"/>
    </row>
    <row r="41" spans="1:16" ht="18.75" customHeight="1">
      <c r="A41" s="42" t="s">
        <v>1</v>
      </c>
      <c r="B41" s="82"/>
      <c r="C41" s="83">
        <v>0</v>
      </c>
      <c r="D41" s="84">
        <v>0.6</v>
      </c>
      <c r="E41" s="84">
        <v>0.7</v>
      </c>
      <c r="F41" s="85">
        <v>1.7</v>
      </c>
      <c r="G41" s="85">
        <v>2.7</v>
      </c>
      <c r="H41" s="84">
        <v>2.8</v>
      </c>
      <c r="I41" s="52">
        <v>3.6</v>
      </c>
      <c r="J41" s="52"/>
      <c r="K41" s="84"/>
      <c r="L41" s="86"/>
      <c r="M41" s="45"/>
      <c r="N41" s="47"/>
      <c r="O41" s="22"/>
      <c r="P41" s="22"/>
    </row>
    <row r="42" spans="1:16" ht="18.75" customHeight="1">
      <c r="A42" s="42" t="s">
        <v>3</v>
      </c>
      <c r="B42" s="87"/>
      <c r="C42" s="83">
        <v>97.72</v>
      </c>
      <c r="D42" s="84">
        <v>96.588999999999999</v>
      </c>
      <c r="E42" s="84">
        <v>96.4</v>
      </c>
      <c r="F42" s="84">
        <v>96.4</v>
      </c>
      <c r="G42" s="84">
        <v>96.4</v>
      </c>
      <c r="H42" s="84">
        <v>96.569000000000003</v>
      </c>
      <c r="I42" s="84">
        <v>97.92</v>
      </c>
      <c r="J42" s="84"/>
      <c r="K42" s="84"/>
      <c r="L42" s="86"/>
      <c r="M42" s="45"/>
      <c r="N42" s="52"/>
      <c r="O42" s="23"/>
      <c r="P42" s="23"/>
    </row>
    <row r="43" spans="1:16" ht="18.75" customHeight="1">
      <c r="A43" s="42" t="s">
        <v>18</v>
      </c>
      <c r="B43" s="87"/>
      <c r="C43" s="52">
        <f t="shared" ref="C43" si="4">C40-C42</f>
        <v>0</v>
      </c>
      <c r="D43" s="52">
        <f>D42-D40</f>
        <v>0.66899999999999693</v>
      </c>
      <c r="E43" s="52">
        <f t="shared" ref="E43:I43" si="5">E42-E40</f>
        <v>0.48000000000000398</v>
      </c>
      <c r="F43" s="52">
        <f t="shared" si="5"/>
        <v>0.48000000000000398</v>
      </c>
      <c r="G43" s="52">
        <f t="shared" si="5"/>
        <v>0.48000000000000398</v>
      </c>
      <c r="H43" s="52">
        <f t="shared" si="5"/>
        <v>0.64900000000000091</v>
      </c>
      <c r="I43" s="52">
        <f t="shared" si="5"/>
        <v>0</v>
      </c>
      <c r="J43" s="52"/>
      <c r="K43" s="52"/>
      <c r="L43" s="52"/>
      <c r="M43" s="47"/>
      <c r="N43" s="47"/>
      <c r="O43" s="21"/>
      <c r="P43" s="21"/>
    </row>
    <row r="44" spans="1:16" ht="18.75" customHeight="1">
      <c r="A44" s="42" t="s">
        <v>5</v>
      </c>
      <c r="B44" s="87"/>
      <c r="C44" s="52">
        <f t="shared" ref="C44" si="6">(C43+B43)/2*(C39-B39)</f>
        <v>0</v>
      </c>
      <c r="D44" s="52">
        <f>(D43+C43)/2*(D39-C39)</f>
        <v>0.20069999999999907</v>
      </c>
      <c r="E44" s="52">
        <f t="shared" ref="E44:I44" si="7">(E43+D43)/2*(E39-D39)</f>
        <v>5.7450000000000036E-2</v>
      </c>
      <c r="F44" s="52">
        <f t="shared" si="7"/>
        <v>0.48000000000000398</v>
      </c>
      <c r="G44" s="52">
        <f t="shared" si="7"/>
        <v>0.48000000000000409</v>
      </c>
      <c r="H44" s="52">
        <f t="shared" si="7"/>
        <v>5.6450000000000042E-2</v>
      </c>
      <c r="I44" s="52">
        <f t="shared" si="7"/>
        <v>0.25960000000000044</v>
      </c>
      <c r="J44" s="52"/>
      <c r="K44" s="52"/>
      <c r="L44" s="52"/>
      <c r="M44" s="47"/>
      <c r="N44" s="77">
        <f>SUM(B44:M44)</f>
        <v>1.5342000000000078</v>
      </c>
      <c r="O44" s="21"/>
      <c r="P44" s="21"/>
    </row>
    <row r="45" spans="1:16" ht="18.75" customHeight="1">
      <c r="A45" s="2"/>
      <c r="B45" s="2"/>
      <c r="C45" s="30"/>
      <c r="D45" s="30"/>
      <c r="E45" s="4"/>
      <c r="F45" s="4"/>
      <c r="G45" s="4"/>
      <c r="H45" s="4"/>
      <c r="I45" s="4"/>
      <c r="J45" s="179" t="s">
        <v>6</v>
      </c>
      <c r="K45" s="179"/>
      <c r="L45" s="179"/>
      <c r="M45" s="179"/>
      <c r="N45" s="109">
        <f>N44</f>
        <v>1.5342000000000078</v>
      </c>
      <c r="O45" s="21"/>
      <c r="P45" s="21"/>
    </row>
    <row r="46" spans="1:16" ht="18.75" customHeight="1">
      <c r="A46" s="24"/>
      <c r="B46" s="78"/>
      <c r="C46" s="18"/>
      <c r="D46" s="18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31"/>
      <c r="P46" s="21"/>
    </row>
    <row r="47" spans="1:16" ht="18.75" customHeight="1">
      <c r="A47" s="2"/>
      <c r="B47" s="2"/>
      <c r="C47" s="30"/>
      <c r="D47" s="30"/>
      <c r="E47" s="21"/>
      <c r="F47" s="21"/>
      <c r="G47" s="21"/>
      <c r="H47" s="21"/>
      <c r="I47" s="21"/>
      <c r="J47" s="30"/>
      <c r="K47" s="30"/>
      <c r="L47" s="30"/>
      <c r="M47" s="30"/>
      <c r="N47" s="30"/>
    </row>
    <row r="48" spans="1:16" ht="14.1" customHeight="1">
      <c r="A48" s="6"/>
      <c r="B48" s="6"/>
      <c r="C48" s="7"/>
      <c r="D48" s="7"/>
      <c r="E48" s="7"/>
      <c r="F48" s="7"/>
      <c r="G48" s="7"/>
      <c r="H48" s="7"/>
      <c r="I48" s="7"/>
      <c r="K48" s="7"/>
      <c r="L48" s="7"/>
      <c r="M48" s="7"/>
      <c r="N48" s="7"/>
    </row>
    <row r="49" spans="1:14" ht="14.1" customHeight="1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ht="14.1" customHeight="1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ht="14.1" customHeight="1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ht="14.1" customHeight="1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ht="14.1" customHeight="1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ht="14.1" customHeight="1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 ht="14.1" customHeight="1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 ht="14.1" customHeight="1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 ht="14.1" customHeight="1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1:14" ht="14.1" customHeight="1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 ht="14.1" customHeight="1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 ht="14.1" customHeight="1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4" ht="14.1" customHeight="1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 ht="14.1" customHeight="1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4" ht="14.1" customHeight="1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1:14" ht="14.1" customHeight="1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1:14" ht="14.1" customHeight="1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spans="1:14" ht="14.1" customHeight="1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1:14" ht="14.1" customHeight="1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1:14" ht="14.1" customHeight="1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1:14" ht="14.1" customHeight="1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1:14" ht="14.1" customHeight="1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1:14" ht="14.1" customHeight="1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spans="1:14" ht="14.1" customHeight="1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spans="1:14" ht="14.1" customHeight="1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spans="1:14" ht="14.1" customHeight="1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1:14" ht="14.1" customHeight="1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1:14" ht="14.1" customHeight="1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1:14" ht="14.1" customHeight="1">
      <c r="B77" s="181"/>
      <c r="C77" s="181"/>
      <c r="D77" s="181"/>
      <c r="E77" s="25"/>
      <c r="F77" s="25"/>
      <c r="G77" s="167"/>
      <c r="H77" s="167"/>
      <c r="I77" s="167"/>
      <c r="J77" s="7"/>
      <c r="K77" s="182"/>
      <c r="L77" s="182"/>
    </row>
    <row r="78" spans="1:14" ht="14.1" customHeight="1">
      <c r="B78" s="170"/>
      <c r="C78" s="170"/>
      <c r="D78" s="170"/>
      <c r="E78" s="26"/>
      <c r="F78" s="26"/>
      <c r="G78" s="170"/>
      <c r="H78" s="170"/>
      <c r="I78" s="170"/>
      <c r="J78" s="25"/>
      <c r="K78" s="171"/>
      <c r="L78" s="171"/>
    </row>
    <row r="79" spans="1:14" ht="14.1" customHeight="1">
      <c r="A79" s="6"/>
      <c r="B79" s="6"/>
      <c r="C79" s="7"/>
      <c r="D79" s="7"/>
      <c r="E79" s="7"/>
      <c r="F79" s="7"/>
      <c r="G79" s="7"/>
      <c r="H79" s="7"/>
      <c r="I79" s="7"/>
      <c r="J79" s="27"/>
      <c r="K79" s="7"/>
      <c r="L79" s="7"/>
      <c r="M79" s="7"/>
      <c r="N79" s="7"/>
    </row>
    <row r="80" spans="1:14" ht="14.1" customHeight="1">
      <c r="A80" s="6"/>
      <c r="B80" s="6"/>
      <c r="C80" s="7"/>
      <c r="D80" s="7"/>
      <c r="E80" s="7"/>
      <c r="F80" s="7"/>
      <c r="G80" s="7"/>
      <c r="H80" s="7"/>
      <c r="I80" s="7"/>
      <c r="J80" s="27"/>
      <c r="K80" s="7"/>
      <c r="L80" s="7"/>
      <c r="M80" s="7"/>
      <c r="N80" s="7"/>
    </row>
    <row r="81" spans="1:16" ht="14.1" customHeight="1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spans="1:16" ht="18" customHeight="1">
      <c r="A82" s="184" t="s">
        <v>0</v>
      </c>
      <c r="B82" s="185"/>
      <c r="C82" s="185"/>
      <c r="D82" s="185"/>
      <c r="E82" s="185"/>
      <c r="F82" s="185"/>
      <c r="G82" s="20">
        <v>4320</v>
      </c>
      <c r="H82" s="1" t="s">
        <v>15</v>
      </c>
      <c r="I82" s="1"/>
      <c r="J82" s="32"/>
      <c r="K82" s="1"/>
      <c r="L82" s="1"/>
      <c r="M82" s="1"/>
      <c r="N82" s="1"/>
    </row>
    <row r="83" spans="1:16" ht="18" customHeight="1">
      <c r="A83" s="42" t="s">
        <v>1</v>
      </c>
      <c r="B83" s="82"/>
      <c r="C83" s="83">
        <v>0</v>
      </c>
      <c r="D83" s="84">
        <v>0.6</v>
      </c>
      <c r="E83" s="84">
        <v>0.7</v>
      </c>
      <c r="F83" s="85">
        <v>1.7</v>
      </c>
      <c r="G83" s="85">
        <v>2.7</v>
      </c>
      <c r="H83" s="84">
        <v>2.8</v>
      </c>
      <c r="I83" s="52">
        <v>3.5</v>
      </c>
      <c r="J83" s="52"/>
      <c r="K83" s="84"/>
      <c r="L83" s="86"/>
      <c r="M83" s="45"/>
      <c r="N83" s="47"/>
      <c r="O83" s="22"/>
      <c r="P83" s="22"/>
    </row>
    <row r="84" spans="1:16" ht="18" customHeight="1">
      <c r="A84" s="42" t="s">
        <v>2</v>
      </c>
      <c r="B84" s="82"/>
      <c r="C84" s="83">
        <v>97.37</v>
      </c>
      <c r="D84" s="84">
        <v>95.92</v>
      </c>
      <c r="E84" s="84">
        <v>95.92</v>
      </c>
      <c r="F84" s="84">
        <v>95.92</v>
      </c>
      <c r="G84" s="84">
        <v>95.92</v>
      </c>
      <c r="H84" s="84">
        <v>95.92</v>
      </c>
      <c r="I84" s="84">
        <v>97.52</v>
      </c>
      <c r="J84" s="84"/>
      <c r="K84" s="84"/>
      <c r="L84" s="86"/>
      <c r="M84" s="45"/>
      <c r="N84" s="47"/>
      <c r="O84" s="21"/>
      <c r="P84" s="21"/>
    </row>
    <row r="85" spans="1:16" ht="18" customHeight="1">
      <c r="A85" s="42" t="s">
        <v>1</v>
      </c>
      <c r="B85" s="82"/>
      <c r="C85" s="83">
        <v>0</v>
      </c>
      <c r="D85" s="84">
        <v>0.6</v>
      </c>
      <c r="E85" s="84">
        <v>0.7</v>
      </c>
      <c r="F85" s="85">
        <v>1.7</v>
      </c>
      <c r="G85" s="85">
        <v>2.7</v>
      </c>
      <c r="H85" s="84">
        <v>2.8</v>
      </c>
      <c r="I85" s="52">
        <v>3.5</v>
      </c>
      <c r="J85" s="52"/>
      <c r="K85" s="84"/>
      <c r="L85" s="86"/>
      <c r="M85" s="45"/>
      <c r="N85" s="47"/>
      <c r="O85" s="22"/>
      <c r="P85" s="22"/>
    </row>
    <row r="86" spans="1:16" ht="18" customHeight="1">
      <c r="A86" s="42" t="s">
        <v>3</v>
      </c>
      <c r="B86" s="87"/>
      <c r="C86" s="83">
        <v>97.37</v>
      </c>
      <c r="D86" s="84">
        <v>96.543000000000006</v>
      </c>
      <c r="E86" s="84">
        <v>96.4</v>
      </c>
      <c r="F86" s="84">
        <v>96.4</v>
      </c>
      <c r="G86" s="84">
        <v>96.4</v>
      </c>
      <c r="H86" s="84">
        <v>96.54</v>
      </c>
      <c r="I86" s="84">
        <v>97.52</v>
      </c>
      <c r="J86" s="84"/>
      <c r="K86" s="84"/>
      <c r="L86" s="86"/>
      <c r="M86" s="45"/>
      <c r="N86" s="52"/>
      <c r="O86" s="23"/>
      <c r="P86" s="23"/>
    </row>
    <row r="87" spans="1:16" ht="18" customHeight="1">
      <c r="A87" s="42" t="s">
        <v>18</v>
      </c>
      <c r="B87" s="87"/>
      <c r="C87" s="52">
        <f t="shared" ref="C87" si="8">C84-C86</f>
        <v>0</v>
      </c>
      <c r="D87" s="52">
        <f>D86-D84</f>
        <v>0.62300000000000466</v>
      </c>
      <c r="E87" s="52">
        <f t="shared" ref="E87:I87" si="9">E86-E84</f>
        <v>0.48000000000000398</v>
      </c>
      <c r="F87" s="52">
        <f t="shared" si="9"/>
        <v>0.48000000000000398</v>
      </c>
      <c r="G87" s="52">
        <f t="shared" si="9"/>
        <v>0.48000000000000398</v>
      </c>
      <c r="H87" s="52">
        <f t="shared" si="9"/>
        <v>0.62000000000000455</v>
      </c>
      <c r="I87" s="52">
        <f t="shared" si="9"/>
        <v>0</v>
      </c>
      <c r="J87" s="52"/>
      <c r="K87" s="52"/>
      <c r="L87" s="52"/>
      <c r="M87" s="47"/>
      <c r="N87" s="47"/>
      <c r="O87" s="21"/>
      <c r="P87" s="21"/>
    </row>
    <row r="88" spans="1:16" ht="18" customHeight="1">
      <c r="A88" s="42" t="s">
        <v>5</v>
      </c>
      <c r="B88" s="87"/>
      <c r="C88" s="52">
        <f t="shared" ref="C88" si="10">(C87+B87)/2*(C83-B83)</f>
        <v>0</v>
      </c>
      <c r="D88" s="52">
        <f>(D87+C87)/2*(D83-C83)</f>
        <v>0.1869000000000014</v>
      </c>
      <c r="E88" s="52">
        <f t="shared" ref="E88:I88" si="11">(E87+D87)/2*(E83-D83)</f>
        <v>5.5150000000000421E-2</v>
      </c>
      <c r="F88" s="52">
        <f t="shared" si="11"/>
        <v>0.48000000000000398</v>
      </c>
      <c r="G88" s="52">
        <f t="shared" si="11"/>
        <v>0.48000000000000409</v>
      </c>
      <c r="H88" s="52">
        <f t="shared" si="11"/>
        <v>5.5000000000000229E-2</v>
      </c>
      <c r="I88" s="52">
        <f t="shared" si="11"/>
        <v>0.21700000000000164</v>
      </c>
      <c r="J88" s="52"/>
      <c r="K88" s="52"/>
      <c r="L88" s="52"/>
      <c r="M88" s="47"/>
      <c r="N88" s="77">
        <f>SUM(B88:M88)</f>
        <v>1.4740500000000119</v>
      </c>
      <c r="O88" s="21"/>
      <c r="P88" s="21"/>
    </row>
    <row r="89" spans="1:16" ht="18" customHeight="1">
      <c r="A89" s="2"/>
      <c r="B89" s="2"/>
      <c r="C89" s="30"/>
      <c r="D89" s="30"/>
      <c r="E89" s="4"/>
      <c r="F89" s="4"/>
      <c r="G89" s="4"/>
      <c r="H89" s="4"/>
      <c r="I89" s="4"/>
      <c r="J89" s="179" t="s">
        <v>6</v>
      </c>
      <c r="K89" s="179"/>
      <c r="L89" s="179"/>
      <c r="M89" s="179"/>
      <c r="N89" s="109">
        <f>N88</f>
        <v>1.4740500000000119</v>
      </c>
      <c r="O89" s="21"/>
      <c r="P89" s="21"/>
    </row>
    <row r="90" spans="1:16" ht="18" customHeight="1">
      <c r="A90" s="24"/>
      <c r="B90" s="78"/>
      <c r="C90" s="18"/>
      <c r="D90" s="18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31"/>
      <c r="P90" s="21"/>
    </row>
    <row r="91" spans="1:16" ht="14.1" customHeight="1">
      <c r="A91" s="2"/>
      <c r="B91" s="2"/>
      <c r="C91" s="30"/>
      <c r="D91" s="30"/>
      <c r="E91" s="21"/>
      <c r="F91" s="21"/>
      <c r="G91" s="21"/>
      <c r="H91" s="21"/>
      <c r="I91" s="21"/>
      <c r="J91" s="30"/>
      <c r="K91" s="30"/>
      <c r="L91" s="30"/>
      <c r="M91" s="30"/>
      <c r="N91" s="30"/>
    </row>
    <row r="92" spans="1:16" ht="14.1" customHeight="1">
      <c r="A92" s="2"/>
      <c r="B92" s="2"/>
      <c r="C92" s="30"/>
      <c r="D92" s="30"/>
      <c r="E92" s="4"/>
      <c r="F92" s="4"/>
      <c r="G92" s="4"/>
      <c r="H92" s="4"/>
      <c r="I92" s="4"/>
      <c r="J92" s="30"/>
      <c r="K92" s="30"/>
      <c r="L92" s="30"/>
      <c r="M92" s="30"/>
      <c r="N92" s="30"/>
    </row>
    <row r="93" spans="1:16" ht="14.1" customHeight="1">
      <c r="A93" s="2"/>
      <c r="B93" s="2"/>
      <c r="C93" s="30"/>
      <c r="D93" s="30"/>
      <c r="E93" s="4"/>
      <c r="F93" s="4"/>
      <c r="G93" s="4"/>
      <c r="H93" s="4"/>
      <c r="I93" s="4"/>
      <c r="J93" s="30"/>
      <c r="K93" s="30"/>
      <c r="L93" s="30"/>
      <c r="M93" s="30"/>
      <c r="N93" s="30"/>
    </row>
    <row r="94" spans="1:16" ht="14.1" customHeight="1">
      <c r="A94" s="6"/>
      <c r="B94" s="6"/>
      <c r="C94" s="7"/>
      <c r="D94" s="7"/>
      <c r="E94" s="7"/>
      <c r="F94" s="7"/>
      <c r="G94" s="7"/>
      <c r="H94" s="7"/>
      <c r="I94" s="7"/>
      <c r="K94" s="7"/>
      <c r="L94" s="7"/>
      <c r="M94" s="7"/>
      <c r="N94" s="7"/>
    </row>
    <row r="95" spans="1:16" ht="14.1" customHeight="1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1:16" ht="14.1" customHeight="1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1:14" ht="14.1" customHeight="1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 spans="1:14" ht="14.1" customHeight="1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 spans="1:14" ht="14.1" customHeight="1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 spans="1:14" ht="14.1" customHeight="1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 spans="1:14" ht="14.1" customHeight="1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 spans="1:14" ht="14.1" customHeight="1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 spans="1:14" ht="14.1" customHeight="1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1:14" ht="14.1" customHeight="1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1:14" ht="14.1" customHeight="1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1:14" ht="14.1" customHeight="1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4" ht="14.1" customHeight="1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1:14" ht="14.1" customHeight="1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1:14" ht="14.1" customHeight="1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1:14" ht="14.1" customHeight="1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4" ht="14.1" customHeight="1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4" ht="14.1" customHeight="1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1:14" ht="14.1" customHeight="1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 ht="14.1" customHeight="1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ht="14.1" customHeight="1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 ht="14.1" customHeight="1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 ht="14.1" customHeight="1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 ht="14.1" customHeight="1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 ht="14.1" customHeight="1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 ht="18" customHeight="1">
      <c r="A120" s="184" t="s">
        <v>0</v>
      </c>
      <c r="B120" s="185"/>
      <c r="C120" s="185"/>
      <c r="D120" s="185"/>
      <c r="E120" s="185"/>
      <c r="F120" s="186"/>
      <c r="G120" s="20">
        <v>4380</v>
      </c>
      <c r="H120" s="1" t="s">
        <v>15</v>
      </c>
      <c r="I120" s="1"/>
      <c r="J120" s="32"/>
      <c r="K120" s="1"/>
      <c r="L120" s="1"/>
      <c r="M120" s="1"/>
      <c r="N120" s="1"/>
    </row>
    <row r="121" spans="1:14" ht="18" customHeight="1">
      <c r="A121" s="42" t="s">
        <v>1</v>
      </c>
      <c r="B121" s="82"/>
      <c r="C121" s="83">
        <v>0</v>
      </c>
      <c r="D121" s="84">
        <v>0.6</v>
      </c>
      <c r="E121" s="84">
        <v>0.7</v>
      </c>
      <c r="F121" s="85">
        <v>1.7</v>
      </c>
      <c r="G121" s="85">
        <v>2.7</v>
      </c>
      <c r="H121" s="84">
        <v>2.8</v>
      </c>
      <c r="I121" s="52">
        <v>3.6</v>
      </c>
      <c r="J121" s="52"/>
      <c r="K121" s="84"/>
      <c r="L121" s="86"/>
      <c r="M121" s="45"/>
      <c r="N121" s="47"/>
    </row>
    <row r="122" spans="1:14" ht="18" customHeight="1">
      <c r="A122" s="42" t="s">
        <v>2</v>
      </c>
      <c r="B122" s="82"/>
      <c r="C122" s="83">
        <v>97.37</v>
      </c>
      <c r="D122" s="84">
        <v>95.92</v>
      </c>
      <c r="E122" s="84">
        <v>95.92</v>
      </c>
      <c r="F122" s="84">
        <v>95.92</v>
      </c>
      <c r="G122" s="84">
        <v>95.92</v>
      </c>
      <c r="H122" s="84">
        <v>95.92</v>
      </c>
      <c r="I122" s="84">
        <v>97.55</v>
      </c>
      <c r="J122" s="84"/>
      <c r="K122" s="84"/>
      <c r="L122" s="86"/>
      <c r="M122" s="45"/>
      <c r="N122" s="47"/>
    </row>
    <row r="123" spans="1:14" ht="18" customHeight="1">
      <c r="A123" s="42" t="s">
        <v>1</v>
      </c>
      <c r="B123" s="82"/>
      <c r="C123" s="83">
        <v>0</v>
      </c>
      <c r="D123" s="84">
        <v>0.6</v>
      </c>
      <c r="E123" s="84">
        <v>0.7</v>
      </c>
      <c r="F123" s="85">
        <v>1.7</v>
      </c>
      <c r="G123" s="85">
        <v>2.7</v>
      </c>
      <c r="H123" s="84">
        <v>2.8</v>
      </c>
      <c r="I123" s="52">
        <v>3.6</v>
      </c>
      <c r="J123" s="52"/>
      <c r="K123" s="84"/>
      <c r="L123" s="86"/>
      <c r="M123" s="45"/>
      <c r="N123" s="47"/>
    </row>
    <row r="124" spans="1:14" ht="18" customHeight="1">
      <c r="A124" s="42" t="s">
        <v>3</v>
      </c>
      <c r="B124" s="87"/>
      <c r="C124" s="83">
        <v>97.37</v>
      </c>
      <c r="D124" s="84">
        <v>96.555999999999997</v>
      </c>
      <c r="E124" s="84">
        <v>96.42</v>
      </c>
      <c r="F124" s="84">
        <v>96.42</v>
      </c>
      <c r="G124" s="84">
        <v>96.42</v>
      </c>
      <c r="H124" s="84">
        <v>96.546000000000006</v>
      </c>
      <c r="I124" s="84">
        <v>97.55</v>
      </c>
      <c r="J124" s="84"/>
      <c r="K124" s="84"/>
      <c r="L124" s="86"/>
      <c r="M124" s="45"/>
      <c r="N124" s="52"/>
    </row>
    <row r="125" spans="1:14" ht="18" customHeight="1">
      <c r="A125" s="42" t="s">
        <v>18</v>
      </c>
      <c r="B125" s="87"/>
      <c r="C125" s="52">
        <f t="shared" ref="C125" si="12">C122-C124</f>
        <v>0</v>
      </c>
      <c r="D125" s="52">
        <f>D124-D122</f>
        <v>0.63599999999999568</v>
      </c>
      <c r="E125" s="52">
        <f t="shared" ref="E125:I125" si="13">E124-E122</f>
        <v>0.5</v>
      </c>
      <c r="F125" s="52">
        <f t="shared" si="13"/>
        <v>0.5</v>
      </c>
      <c r="G125" s="52">
        <f t="shared" si="13"/>
        <v>0.5</v>
      </c>
      <c r="H125" s="52">
        <f t="shared" si="13"/>
        <v>0.62600000000000477</v>
      </c>
      <c r="I125" s="52">
        <f t="shared" si="13"/>
        <v>0</v>
      </c>
      <c r="J125" s="52"/>
      <c r="K125" s="52"/>
      <c r="L125" s="52"/>
      <c r="M125" s="47"/>
      <c r="N125" s="47"/>
    </row>
    <row r="126" spans="1:14" ht="18" customHeight="1">
      <c r="A126" s="42" t="s">
        <v>5</v>
      </c>
      <c r="B126" s="87"/>
      <c r="C126" s="52">
        <f t="shared" ref="C126" si="14">(C125+B125)/2*(C121-B121)</f>
        <v>0</v>
      </c>
      <c r="D126" s="52">
        <f>(D125+C125)/2*(D121-C121)</f>
        <v>0.19079999999999869</v>
      </c>
      <c r="E126" s="52">
        <f t="shared" ref="E126:I126" si="15">(E125+D125)/2*(E121-D121)</f>
        <v>5.6799999999999774E-2</v>
      </c>
      <c r="F126" s="52">
        <f t="shared" si="15"/>
        <v>0.5</v>
      </c>
      <c r="G126" s="52">
        <f t="shared" si="15"/>
        <v>0.50000000000000011</v>
      </c>
      <c r="H126" s="52">
        <f t="shared" si="15"/>
        <v>5.6300000000000038E-2</v>
      </c>
      <c r="I126" s="52">
        <f t="shared" si="15"/>
        <v>0.25040000000000201</v>
      </c>
      <c r="J126" s="52"/>
      <c r="K126" s="52"/>
      <c r="L126" s="52"/>
      <c r="M126" s="47"/>
      <c r="N126" s="77">
        <f>SUM(B126:M126)</f>
        <v>1.5543000000000005</v>
      </c>
    </row>
    <row r="127" spans="1:14" ht="18" customHeight="1">
      <c r="A127" s="2"/>
      <c r="B127" s="2"/>
      <c r="C127" s="30"/>
      <c r="D127" s="30"/>
      <c r="E127" s="4"/>
      <c r="F127" s="4"/>
      <c r="G127" s="4"/>
      <c r="H127" s="4"/>
      <c r="I127" s="4"/>
      <c r="J127" s="179" t="s">
        <v>6</v>
      </c>
      <c r="K127" s="179"/>
      <c r="L127" s="179"/>
      <c r="M127" s="179"/>
      <c r="N127" s="109">
        <f>N126</f>
        <v>1.5543000000000005</v>
      </c>
    </row>
    <row r="128" spans="1:14" ht="18" customHeight="1">
      <c r="A128" s="24"/>
      <c r="B128" s="78"/>
      <c r="C128" s="18"/>
      <c r="D128" s="18"/>
      <c r="E128" s="21"/>
      <c r="F128" s="21"/>
      <c r="G128" s="21"/>
      <c r="H128" s="21"/>
      <c r="I128" s="21"/>
      <c r="J128" s="21"/>
      <c r="K128" s="21"/>
      <c r="L128" s="21"/>
      <c r="M128" s="21"/>
      <c r="N128" s="21"/>
    </row>
    <row r="129" spans="1:14" ht="14.1" customHeight="1">
      <c r="A129" s="2"/>
      <c r="B129" s="2"/>
      <c r="C129" s="30"/>
      <c r="D129" s="30"/>
      <c r="E129" s="21"/>
      <c r="F129" s="21"/>
      <c r="G129" s="21"/>
      <c r="H129" s="21"/>
      <c r="I129" s="21"/>
      <c r="J129" s="30"/>
      <c r="K129" s="30"/>
      <c r="L129" s="30"/>
      <c r="M129" s="30"/>
      <c r="N129" s="30"/>
    </row>
    <row r="130" spans="1:14" ht="14.1" customHeight="1">
      <c r="A130" s="6"/>
      <c r="B130" s="6"/>
      <c r="C130" s="7"/>
      <c r="D130" s="7"/>
      <c r="E130" s="7"/>
      <c r="F130" s="7"/>
      <c r="G130" s="7"/>
      <c r="H130" s="7"/>
      <c r="I130" s="7"/>
      <c r="K130" s="7"/>
      <c r="L130" s="7"/>
      <c r="M130" s="7"/>
      <c r="N130" s="7"/>
    </row>
    <row r="131" spans="1:14" ht="14.1" customHeight="1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ht="14.1" customHeight="1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spans="1:14" ht="14.1" customHeight="1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spans="1:14" ht="14.1" customHeight="1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 spans="1:14" ht="14.1" customHeight="1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 spans="1:14" ht="14.1" customHeight="1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 spans="1:14" ht="14.1" customHeight="1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 spans="1:14" ht="14.1" customHeight="1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 spans="1:14" ht="14.1" customHeight="1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spans="1:14" ht="14.1" customHeight="1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 spans="1:14" ht="14.1" customHeight="1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 spans="1:14" ht="14.1" customHeight="1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 spans="1:14" ht="14.1" customHeight="1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 spans="1:14" ht="14.1" customHeight="1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 spans="1:14" ht="14.1" customHeight="1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 spans="1:14" ht="14.1" customHeight="1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 spans="1:14" ht="14.1" customHeight="1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 spans="1:14" ht="14.1" customHeight="1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 spans="1:14" ht="14.1" customHeight="1">
      <c r="A149" s="6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 spans="1:14" ht="14.1" customHeight="1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 spans="1:14" ht="14.1" customHeight="1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 spans="1:14" ht="14.1" customHeight="1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 spans="1:14" ht="14.1" customHeight="1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 spans="1:14" ht="14.1" customHeight="1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 spans="1:14" ht="14.1" customHeight="1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 spans="1:14" ht="14.1" customHeight="1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 spans="1:14" ht="14.1" customHeight="1">
      <c r="B157" s="181"/>
      <c r="C157" s="181"/>
      <c r="D157" s="181"/>
      <c r="E157" s="25"/>
      <c r="F157" s="25"/>
      <c r="G157" s="167"/>
      <c r="H157" s="167"/>
      <c r="I157" s="167"/>
      <c r="J157" s="7"/>
      <c r="K157" s="182"/>
      <c r="L157" s="182"/>
    </row>
    <row r="158" spans="1:14" ht="14.1" customHeight="1">
      <c r="B158" s="170"/>
      <c r="C158" s="170"/>
      <c r="D158" s="170"/>
      <c r="E158" s="26"/>
      <c r="F158" s="26"/>
      <c r="G158" s="170"/>
      <c r="H158" s="170"/>
      <c r="I158" s="170"/>
      <c r="J158" s="25"/>
      <c r="K158" s="171"/>
      <c r="L158" s="171"/>
    </row>
    <row r="159" spans="1:14" ht="14.1" customHeight="1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 spans="1:14" ht="14.1" customHeight="1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 spans="1:15" ht="14.1" customHeight="1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 spans="1:15" ht="14.1" customHeight="1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 spans="1:15" ht="14.1" customHeight="1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 spans="1:15" ht="14.1" customHeight="1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 spans="1:15" ht="18" customHeight="1">
      <c r="A165" s="184" t="s">
        <v>0</v>
      </c>
      <c r="B165" s="185"/>
      <c r="C165" s="185"/>
      <c r="D165" s="185"/>
      <c r="E165" s="185"/>
      <c r="F165" s="185"/>
      <c r="G165" s="20">
        <v>4440</v>
      </c>
      <c r="H165" s="1" t="s">
        <v>15</v>
      </c>
      <c r="I165" s="1"/>
      <c r="J165" s="32"/>
      <c r="K165" s="1"/>
      <c r="L165" s="1"/>
      <c r="M165" s="1"/>
      <c r="N165" s="1"/>
    </row>
    <row r="166" spans="1:15" ht="18" customHeight="1">
      <c r="A166" s="42" t="s">
        <v>1</v>
      </c>
      <c r="B166" s="82"/>
      <c r="C166" s="83">
        <v>0</v>
      </c>
      <c r="D166" s="84">
        <v>0.6</v>
      </c>
      <c r="E166" s="84">
        <v>0.7</v>
      </c>
      <c r="F166" s="85">
        <v>1.7</v>
      </c>
      <c r="G166" s="85">
        <v>2.7</v>
      </c>
      <c r="H166" s="84">
        <v>2.8</v>
      </c>
      <c r="I166" s="52">
        <v>3.5</v>
      </c>
      <c r="J166" s="52"/>
      <c r="K166" s="84"/>
      <c r="L166" s="86"/>
      <c r="M166" s="45"/>
      <c r="N166" s="47"/>
      <c r="O166" s="18"/>
    </row>
    <row r="167" spans="1:15" ht="18" customHeight="1">
      <c r="A167" s="42" t="s">
        <v>2</v>
      </c>
      <c r="B167" s="82"/>
      <c r="C167" s="83">
        <v>97.27</v>
      </c>
      <c r="D167" s="84">
        <v>95.915000000000006</v>
      </c>
      <c r="E167" s="84">
        <v>95.915000000000006</v>
      </c>
      <c r="F167" s="84">
        <v>95.915000000000006</v>
      </c>
      <c r="G167" s="84">
        <v>95.915000000000006</v>
      </c>
      <c r="H167" s="84">
        <v>95.915000000000006</v>
      </c>
      <c r="I167" s="84">
        <v>97.44</v>
      </c>
      <c r="J167" s="84"/>
      <c r="K167" s="84"/>
      <c r="L167" s="86"/>
      <c r="M167" s="45"/>
      <c r="N167" s="47"/>
      <c r="O167" s="18"/>
    </row>
    <row r="168" spans="1:15" ht="18" customHeight="1">
      <c r="A168" s="42" t="s">
        <v>1</v>
      </c>
      <c r="B168" s="82"/>
      <c r="C168" s="83">
        <v>0</v>
      </c>
      <c r="D168" s="84">
        <v>0.6</v>
      </c>
      <c r="E168" s="84">
        <v>0.7</v>
      </c>
      <c r="F168" s="85">
        <v>1.7</v>
      </c>
      <c r="G168" s="85">
        <v>2.7</v>
      </c>
      <c r="H168" s="84">
        <v>2.8</v>
      </c>
      <c r="I168" s="52">
        <v>3.5</v>
      </c>
      <c r="J168" s="52"/>
      <c r="K168" s="84"/>
      <c r="L168" s="86"/>
      <c r="M168" s="45"/>
      <c r="N168" s="47"/>
      <c r="O168" s="18"/>
    </row>
    <row r="169" spans="1:15" ht="18" customHeight="1">
      <c r="A169" s="42" t="s">
        <v>3</v>
      </c>
      <c r="B169" s="87"/>
      <c r="C169" s="83">
        <v>97.27</v>
      </c>
      <c r="D169" s="84">
        <v>96.524000000000001</v>
      </c>
      <c r="E169" s="84">
        <v>96.4</v>
      </c>
      <c r="F169" s="84">
        <v>96.4</v>
      </c>
      <c r="G169" s="84">
        <v>96.4</v>
      </c>
      <c r="H169" s="84">
        <v>96.53</v>
      </c>
      <c r="I169" s="84">
        <v>97.44</v>
      </c>
      <c r="J169" s="84"/>
      <c r="K169" s="84"/>
      <c r="L169" s="86"/>
      <c r="M169" s="45"/>
      <c r="N169" s="52"/>
      <c r="O169" s="18"/>
    </row>
    <row r="170" spans="1:15" ht="18" customHeight="1">
      <c r="A170" s="42" t="s">
        <v>18</v>
      </c>
      <c r="B170" s="87"/>
      <c r="C170" s="52">
        <f t="shared" ref="C170" si="16">C167-C169</f>
        <v>0</v>
      </c>
      <c r="D170" s="52">
        <f>D169-D167</f>
        <v>0.60899999999999466</v>
      </c>
      <c r="E170" s="52">
        <f t="shared" ref="E170:I170" si="17">E169-E167</f>
        <v>0.48499999999999943</v>
      </c>
      <c r="F170" s="52">
        <f t="shared" si="17"/>
        <v>0.48499999999999943</v>
      </c>
      <c r="G170" s="52">
        <f t="shared" si="17"/>
        <v>0.48499999999999943</v>
      </c>
      <c r="H170" s="52">
        <f t="shared" si="17"/>
        <v>0.61499999999999488</v>
      </c>
      <c r="I170" s="52">
        <f t="shared" si="17"/>
        <v>0</v>
      </c>
      <c r="J170" s="52"/>
      <c r="K170" s="52"/>
      <c r="L170" s="52"/>
      <c r="M170" s="47"/>
      <c r="N170" s="47"/>
      <c r="O170" s="18"/>
    </row>
    <row r="171" spans="1:15" ht="18" customHeight="1">
      <c r="A171" s="42" t="s">
        <v>5</v>
      </c>
      <c r="B171" s="87"/>
      <c r="C171" s="52">
        <f t="shared" ref="C171" si="18">(C170+B170)/2*(C166-B166)</f>
        <v>0</v>
      </c>
      <c r="D171" s="52">
        <f>(D170+C170)/2*(D166-C166)</f>
        <v>0.18269999999999839</v>
      </c>
      <c r="E171" s="52">
        <f t="shared" ref="E171:I171" si="19">(E170+D170)/2*(E166-D166)</f>
        <v>5.4699999999999693E-2</v>
      </c>
      <c r="F171" s="52">
        <f t="shared" si="19"/>
        <v>0.48499999999999943</v>
      </c>
      <c r="G171" s="52">
        <f t="shared" si="19"/>
        <v>0.48499999999999954</v>
      </c>
      <c r="H171" s="52">
        <f t="shared" si="19"/>
        <v>5.4999999999999521E-2</v>
      </c>
      <c r="I171" s="52">
        <f t="shared" si="19"/>
        <v>0.21524999999999828</v>
      </c>
      <c r="J171" s="52"/>
      <c r="K171" s="52"/>
      <c r="L171" s="52"/>
      <c r="M171" s="47"/>
      <c r="N171" s="77">
        <f>SUM(B171:M171)</f>
        <v>1.4776499999999948</v>
      </c>
      <c r="O171" s="18"/>
    </row>
    <row r="172" spans="1:15" ht="18" customHeight="1">
      <c r="A172" s="2"/>
      <c r="B172" s="2"/>
      <c r="C172" s="30"/>
      <c r="D172" s="30"/>
      <c r="E172" s="4"/>
      <c r="F172" s="4"/>
      <c r="G172" s="4"/>
      <c r="H172" s="4"/>
      <c r="I172" s="4"/>
      <c r="J172" s="179" t="s">
        <v>6</v>
      </c>
      <c r="K172" s="179"/>
      <c r="L172" s="179"/>
      <c r="M172" s="179"/>
      <c r="N172" s="109">
        <f>N171</f>
        <v>1.4776499999999948</v>
      </c>
      <c r="O172" s="18"/>
    </row>
    <row r="173" spans="1:15" ht="18" customHeight="1">
      <c r="A173" s="24"/>
      <c r="B173" s="78"/>
      <c r="C173" s="18"/>
      <c r="D173" s="18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1:15" ht="14.1" customHeight="1">
      <c r="A174" s="2"/>
      <c r="B174" s="2"/>
      <c r="C174" s="30"/>
      <c r="D174" s="30"/>
      <c r="E174" s="21"/>
      <c r="F174" s="21"/>
      <c r="G174" s="21"/>
      <c r="H174" s="21"/>
      <c r="I174" s="21"/>
      <c r="J174" s="30"/>
      <c r="K174" s="30"/>
      <c r="L174" s="30"/>
      <c r="M174" s="30"/>
      <c r="N174" s="30"/>
    </row>
    <row r="175" spans="1:15" ht="14.1" customHeight="1">
      <c r="A175" s="6"/>
      <c r="B175" s="6"/>
      <c r="C175" s="7"/>
      <c r="D175" s="7"/>
      <c r="E175" s="7"/>
      <c r="F175" s="7"/>
      <c r="G175" s="7"/>
      <c r="H175" s="7"/>
      <c r="I175" s="7"/>
      <c r="K175" s="7"/>
      <c r="L175" s="7"/>
      <c r="M175" s="7"/>
      <c r="N175" s="7"/>
    </row>
    <row r="176" spans="1:15" ht="14.1" customHeight="1">
      <c r="A176" s="6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</row>
    <row r="177" spans="1:14" ht="14.1" customHeight="1">
      <c r="A177" s="6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</row>
    <row r="178" spans="1:14" ht="14.1" customHeight="1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</row>
    <row r="179" spans="1:14" ht="14.1" customHeight="1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</row>
    <row r="180" spans="1:14" ht="14.1" customHeight="1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</row>
    <row r="181" spans="1:14" ht="14.1" customHeight="1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</row>
    <row r="182" spans="1:14" ht="14.1" customHeight="1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</row>
    <row r="183" spans="1:14" ht="14.1" customHeight="1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</row>
    <row r="184" spans="1:14" ht="14.1" customHeight="1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</row>
    <row r="185" spans="1:14" ht="14.1" customHeight="1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</row>
    <row r="186" spans="1:14" ht="14.1" customHeight="1">
      <c r="A186" s="6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</row>
    <row r="187" spans="1:14" ht="14.1" customHeight="1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</row>
    <row r="188" spans="1:14" ht="14.1" customHeight="1">
      <c r="A188" s="6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</row>
    <row r="189" spans="1:14" ht="14.1" customHeight="1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</row>
    <row r="190" spans="1:14" ht="14.1" customHeight="1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</row>
    <row r="191" spans="1:14" ht="14.1" customHeight="1">
      <c r="A191" s="6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</row>
    <row r="192" spans="1:14" ht="14.1" customHeight="1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</row>
    <row r="193" spans="1:15" ht="14.1" customHeight="1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</row>
    <row r="194" spans="1:15" ht="14.1" customHeight="1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</row>
    <row r="195" spans="1:15" ht="14.1" customHeight="1">
      <c r="A195" s="6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</row>
    <row r="196" spans="1:15" ht="14.1" customHeight="1">
      <c r="A196" s="6"/>
      <c r="B196" s="6"/>
      <c r="C196" s="7"/>
      <c r="D196" s="7"/>
      <c r="E196" s="7"/>
      <c r="F196" s="7"/>
      <c r="G196" s="7"/>
      <c r="H196" s="7"/>
      <c r="I196" s="7"/>
      <c r="J196" s="36"/>
      <c r="K196" s="7"/>
      <c r="L196" s="7"/>
      <c r="M196" s="7"/>
      <c r="N196" s="7"/>
    </row>
    <row r="197" spans="1:15" ht="14.1" customHeight="1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</row>
    <row r="198" spans="1:15" ht="14.1" customHeight="1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</row>
    <row r="199" spans="1:15" ht="14.1" customHeight="1">
      <c r="A199" s="6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</row>
    <row r="200" spans="1:15" ht="14.1" customHeight="1">
      <c r="A200" s="24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</row>
    <row r="201" spans="1:15" ht="14.1" customHeight="1"/>
    <row r="202" spans="1:15" ht="14.1" customHeight="1"/>
    <row r="203" spans="1:15" ht="14.1" customHeight="1"/>
    <row r="204" spans="1:15" ht="14.1" customHeight="1"/>
    <row r="205" spans="1:15" ht="18" customHeight="1">
      <c r="A205" s="184" t="s">
        <v>0</v>
      </c>
      <c r="B205" s="185"/>
      <c r="C205" s="185"/>
      <c r="D205" s="185"/>
      <c r="E205" s="185"/>
      <c r="F205" s="185"/>
      <c r="G205" s="20">
        <v>4500</v>
      </c>
      <c r="H205" s="1" t="s">
        <v>15</v>
      </c>
      <c r="I205" s="1"/>
      <c r="J205" s="32"/>
      <c r="K205" s="1"/>
      <c r="L205" s="1"/>
      <c r="M205" s="1"/>
      <c r="N205" s="1"/>
    </row>
    <row r="206" spans="1:15" ht="18" customHeight="1">
      <c r="A206" s="42" t="s">
        <v>1</v>
      </c>
      <c r="B206" s="82"/>
      <c r="C206" s="83">
        <v>0</v>
      </c>
      <c r="D206" s="84">
        <v>0.6</v>
      </c>
      <c r="E206" s="84">
        <v>0.7</v>
      </c>
      <c r="F206" s="85">
        <v>1.7</v>
      </c>
      <c r="G206" s="85">
        <v>2.7</v>
      </c>
      <c r="H206" s="84">
        <v>2.8</v>
      </c>
      <c r="I206" s="52">
        <v>3.6</v>
      </c>
      <c r="J206" s="52"/>
      <c r="K206" s="84"/>
      <c r="L206" s="86"/>
      <c r="M206" s="45"/>
      <c r="N206" s="47"/>
      <c r="O206" s="18"/>
    </row>
    <row r="207" spans="1:15" ht="18" customHeight="1">
      <c r="A207" s="42" t="s">
        <v>2</v>
      </c>
      <c r="B207" s="82"/>
      <c r="C207" s="83">
        <v>97.3</v>
      </c>
      <c r="D207" s="84">
        <v>95.915000000000006</v>
      </c>
      <c r="E207" s="84">
        <v>95.915000000000006</v>
      </c>
      <c r="F207" s="84">
        <v>95.915000000000006</v>
      </c>
      <c r="G207" s="84">
        <v>95.915000000000006</v>
      </c>
      <c r="H207" s="84">
        <v>95.915000000000006</v>
      </c>
      <c r="I207" s="84">
        <v>97.5</v>
      </c>
      <c r="J207" s="84"/>
      <c r="K207" s="84"/>
      <c r="L207" s="86"/>
      <c r="M207" s="45"/>
      <c r="N207" s="47"/>
      <c r="O207" s="18"/>
    </row>
    <row r="208" spans="1:15" ht="18" customHeight="1">
      <c r="A208" s="42" t="s">
        <v>1</v>
      </c>
      <c r="B208" s="82"/>
      <c r="C208" s="83">
        <v>0</v>
      </c>
      <c r="D208" s="84">
        <v>0.6</v>
      </c>
      <c r="E208" s="84">
        <v>0.7</v>
      </c>
      <c r="F208" s="85">
        <v>1.7</v>
      </c>
      <c r="G208" s="85">
        <v>2.7</v>
      </c>
      <c r="H208" s="84">
        <v>2.8</v>
      </c>
      <c r="I208" s="52">
        <v>3.6</v>
      </c>
      <c r="J208" s="52"/>
      <c r="K208" s="84"/>
      <c r="L208" s="86"/>
      <c r="M208" s="45"/>
      <c r="N208" s="47"/>
      <c r="O208" s="18"/>
    </row>
    <row r="209" spans="1:15" ht="18" customHeight="1">
      <c r="A209" s="42" t="s">
        <v>3</v>
      </c>
      <c r="B209" s="87"/>
      <c r="C209" s="83">
        <v>97.3</v>
      </c>
      <c r="D209" s="84">
        <v>96.49</v>
      </c>
      <c r="E209" s="84">
        <v>96.355000000000004</v>
      </c>
      <c r="F209" s="84">
        <v>96.355000000000004</v>
      </c>
      <c r="G209" s="84">
        <v>96.355000000000004</v>
      </c>
      <c r="H209" s="84">
        <v>96.481999999999999</v>
      </c>
      <c r="I209" s="84">
        <v>97.5</v>
      </c>
      <c r="J209" s="84"/>
      <c r="K209" s="84"/>
      <c r="L209" s="86"/>
      <c r="M209" s="45"/>
      <c r="N209" s="52"/>
      <c r="O209" s="18"/>
    </row>
    <row r="210" spans="1:15" ht="18" customHeight="1">
      <c r="A210" s="42" t="s">
        <v>18</v>
      </c>
      <c r="B210" s="87"/>
      <c r="C210" s="52">
        <f t="shared" ref="C210" si="20">C207-C209</f>
        <v>0</v>
      </c>
      <c r="D210" s="52">
        <f>D209-D207</f>
        <v>0.57499999999998863</v>
      </c>
      <c r="E210" s="52">
        <f t="shared" ref="E210:I210" si="21">E209-E207</f>
        <v>0.43999999999999773</v>
      </c>
      <c r="F210" s="52">
        <f t="shared" si="21"/>
        <v>0.43999999999999773</v>
      </c>
      <c r="G210" s="52">
        <f t="shared" si="21"/>
        <v>0.43999999999999773</v>
      </c>
      <c r="H210" s="52">
        <f t="shared" si="21"/>
        <v>0.56699999999999307</v>
      </c>
      <c r="I210" s="52">
        <f t="shared" si="21"/>
        <v>0</v>
      </c>
      <c r="J210" s="52"/>
      <c r="K210" s="52"/>
      <c r="L210" s="52"/>
      <c r="M210" s="47"/>
      <c r="N210" s="47"/>
      <c r="O210" s="18"/>
    </row>
    <row r="211" spans="1:15" ht="18" customHeight="1">
      <c r="A211" s="42" t="s">
        <v>5</v>
      </c>
      <c r="B211" s="87"/>
      <c r="C211" s="52">
        <f t="shared" ref="C211" si="22">(C210+B210)/2*(C206-B206)</f>
        <v>0</v>
      </c>
      <c r="D211" s="52">
        <f>(D210+C210)/2*(D206-C206)</f>
        <v>0.17249999999999657</v>
      </c>
      <c r="E211" s="52">
        <f t="shared" ref="E211:I211" si="23">(E210+D210)/2*(E206-D206)</f>
        <v>5.074999999999931E-2</v>
      </c>
      <c r="F211" s="52">
        <f t="shared" si="23"/>
        <v>0.43999999999999773</v>
      </c>
      <c r="G211" s="52">
        <f t="shared" si="23"/>
        <v>0.43999999999999784</v>
      </c>
      <c r="H211" s="52">
        <f t="shared" si="23"/>
        <v>5.0349999999999361E-2</v>
      </c>
      <c r="I211" s="52">
        <f t="shared" si="23"/>
        <v>0.22679999999999731</v>
      </c>
      <c r="J211" s="52"/>
      <c r="K211" s="52"/>
      <c r="L211" s="52"/>
      <c r="M211" s="47"/>
      <c r="N211" s="77">
        <f>SUM(B211:M211)</f>
        <v>1.3803999999999883</v>
      </c>
      <c r="O211" s="18"/>
    </row>
    <row r="212" spans="1:15" ht="18" customHeight="1">
      <c r="A212" s="2"/>
      <c r="B212" s="2"/>
      <c r="C212" s="30"/>
      <c r="D212" s="30"/>
      <c r="E212" s="4"/>
      <c r="F212" s="4"/>
      <c r="G212" s="4"/>
      <c r="H212" s="4"/>
      <c r="I212" s="4"/>
      <c r="J212" s="179" t="s">
        <v>6</v>
      </c>
      <c r="K212" s="179"/>
      <c r="L212" s="179"/>
      <c r="M212" s="179"/>
      <c r="N212" s="109">
        <f>N211</f>
        <v>1.3803999999999883</v>
      </c>
      <c r="O212" s="18"/>
    </row>
    <row r="213" spans="1:15" ht="18" customHeight="1">
      <c r="A213" s="24"/>
      <c r="B213" s="78"/>
      <c r="C213" s="18"/>
      <c r="D213" s="18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spans="1:15" ht="14.1" customHeight="1">
      <c r="A214" s="2"/>
      <c r="B214" s="2"/>
      <c r="C214" s="30"/>
      <c r="D214" s="30"/>
      <c r="E214" s="21"/>
      <c r="F214" s="21"/>
      <c r="G214" s="21"/>
      <c r="H214" s="21"/>
      <c r="I214" s="21"/>
      <c r="J214" s="30"/>
      <c r="K214" s="30"/>
      <c r="L214" s="30"/>
      <c r="M214" s="30"/>
      <c r="N214" s="30"/>
    </row>
    <row r="215" spans="1:15" ht="14.1" customHeight="1">
      <c r="A215" s="6"/>
      <c r="B215" s="6"/>
      <c r="C215" s="7"/>
      <c r="D215" s="7"/>
      <c r="E215" s="7"/>
      <c r="F215" s="7"/>
      <c r="G215" s="7"/>
      <c r="H215" s="7"/>
      <c r="I215" s="7"/>
      <c r="K215" s="7"/>
      <c r="L215" s="7"/>
      <c r="M215" s="7"/>
      <c r="N215" s="7"/>
    </row>
    <row r="216" spans="1:15" ht="14.1" customHeight="1">
      <c r="A216" s="6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 spans="1:15" ht="14.1" customHeight="1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 spans="1:15" ht="14.1" customHeight="1">
      <c r="A218" s="6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 spans="1:15" ht="14.1" customHeight="1">
      <c r="A219" s="6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1:15" ht="14.1" customHeight="1">
      <c r="A220" s="6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 spans="1:15" ht="14.1" customHeight="1">
      <c r="A221" s="6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 spans="1:15" ht="14.1" customHeight="1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 spans="1:15" ht="14.1" customHeight="1">
      <c r="A223" s="6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 spans="1:15" ht="14.1" customHeight="1">
      <c r="A224" s="6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 spans="1:14" ht="14.1" customHeight="1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 spans="1:14" ht="14.1" customHeight="1">
      <c r="A226" s="6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 spans="1:14" ht="14.1" customHeight="1">
      <c r="A227" s="6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 spans="1:14" ht="14.1" customHeight="1">
      <c r="A228" s="6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 spans="1:14" ht="14.1" customHeight="1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 spans="1:14" ht="14.1" customHeight="1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 spans="1:14" ht="14.1" customHeight="1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 spans="1:14" ht="14.1" customHeight="1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 spans="1:14" ht="14.1" customHeight="1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 spans="1:14" ht="14.1" customHeight="1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 spans="1:14" ht="14.1" customHeight="1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 spans="1:14" ht="14.1" customHeight="1">
      <c r="A236" s="6"/>
      <c r="B236" s="6"/>
      <c r="C236" s="7"/>
      <c r="D236" s="7"/>
      <c r="E236" s="7"/>
      <c r="F236" s="7"/>
      <c r="G236" s="7"/>
      <c r="H236" s="7"/>
      <c r="I236" s="7"/>
      <c r="J236" s="30"/>
      <c r="K236" s="7"/>
      <c r="L236" s="7"/>
      <c r="M236" s="7"/>
      <c r="N236" s="7"/>
    </row>
    <row r="237" spans="1:14" ht="14.1" customHeight="1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 spans="1:14" ht="14.1" customHeight="1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 spans="1:14" ht="14.1" customHeight="1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 spans="1:14" ht="14.1" customHeight="1">
      <c r="A240" s="24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</row>
    <row r="241" spans="1:15" ht="14.1" customHeight="1"/>
    <row r="242" spans="1:15" ht="14.1" customHeight="1"/>
    <row r="243" spans="1:15" ht="14.1" customHeight="1">
      <c r="B243" s="181"/>
      <c r="C243" s="181"/>
      <c r="D243" s="181"/>
      <c r="E243" s="25"/>
      <c r="F243" s="25"/>
      <c r="G243" s="167"/>
      <c r="H243" s="167"/>
      <c r="I243" s="167"/>
      <c r="J243" s="7"/>
      <c r="K243" s="182"/>
      <c r="L243" s="182"/>
    </row>
    <row r="244" spans="1:15" ht="14.1" customHeight="1">
      <c r="B244" s="170"/>
      <c r="C244" s="170"/>
      <c r="D244" s="170"/>
      <c r="E244" s="26"/>
      <c r="F244" s="26"/>
      <c r="G244" s="170"/>
      <c r="H244" s="170"/>
      <c r="I244" s="170"/>
      <c r="J244" s="25"/>
      <c r="K244" s="171"/>
      <c r="L244" s="171"/>
    </row>
    <row r="245" spans="1:15" ht="14.1" customHeight="1"/>
    <row r="246" spans="1:15" ht="14.1" customHeight="1"/>
    <row r="247" spans="1:15" ht="14.1" customHeight="1"/>
    <row r="248" spans="1:15" ht="18" customHeight="1">
      <c r="A248" s="184" t="s">
        <v>0</v>
      </c>
      <c r="B248" s="185"/>
      <c r="C248" s="185"/>
      <c r="D248" s="185"/>
      <c r="E248" s="185"/>
      <c r="F248" s="185"/>
      <c r="G248" s="20">
        <v>4560</v>
      </c>
      <c r="H248" s="1" t="s">
        <v>15</v>
      </c>
      <c r="I248" s="1"/>
      <c r="J248" s="32"/>
      <c r="K248" s="1"/>
      <c r="L248" s="1"/>
      <c r="M248" s="1"/>
      <c r="N248" s="1"/>
    </row>
    <row r="249" spans="1:15" ht="18" customHeight="1">
      <c r="A249" s="81" t="s">
        <v>1</v>
      </c>
      <c r="B249" s="82"/>
      <c r="C249" s="83">
        <v>0</v>
      </c>
      <c r="D249" s="84">
        <v>0.6</v>
      </c>
      <c r="E249" s="84">
        <v>0.7</v>
      </c>
      <c r="F249" s="85">
        <v>1.7</v>
      </c>
      <c r="G249" s="85">
        <v>2.7</v>
      </c>
      <c r="H249" s="84">
        <v>2.8</v>
      </c>
      <c r="I249" s="52">
        <v>3.6</v>
      </c>
      <c r="J249" s="52"/>
      <c r="K249" s="84"/>
      <c r="L249" s="86"/>
      <c r="M249" s="84"/>
      <c r="N249" s="52"/>
      <c r="O249" s="18"/>
    </row>
    <row r="250" spans="1:15" ht="18" customHeight="1">
      <c r="A250" s="81" t="s">
        <v>2</v>
      </c>
      <c r="B250" s="82"/>
      <c r="C250" s="83">
        <v>97.3</v>
      </c>
      <c r="D250" s="84">
        <v>95.915000000000006</v>
      </c>
      <c r="E250" s="84">
        <v>95.915000000000006</v>
      </c>
      <c r="F250" s="84">
        <v>95.915000000000006</v>
      </c>
      <c r="G250" s="84">
        <v>95.915000000000006</v>
      </c>
      <c r="H250" s="84">
        <v>95.915000000000006</v>
      </c>
      <c r="I250" s="84">
        <v>97.5</v>
      </c>
      <c r="J250" s="84"/>
      <c r="K250" s="84"/>
      <c r="L250" s="86"/>
      <c r="M250" s="84"/>
      <c r="N250" s="52"/>
      <c r="O250" s="18"/>
    </row>
    <row r="251" spans="1:15" ht="18" customHeight="1">
      <c r="A251" s="81" t="s">
        <v>1</v>
      </c>
      <c r="B251" s="82"/>
      <c r="C251" s="83">
        <v>0</v>
      </c>
      <c r="D251" s="84">
        <v>0.6</v>
      </c>
      <c r="E251" s="84">
        <v>0.7</v>
      </c>
      <c r="F251" s="85">
        <v>1.7</v>
      </c>
      <c r="G251" s="85">
        <v>2.7</v>
      </c>
      <c r="H251" s="84">
        <v>2.8</v>
      </c>
      <c r="I251" s="52">
        <v>3.6</v>
      </c>
      <c r="J251" s="52"/>
      <c r="K251" s="84"/>
      <c r="L251" s="86"/>
      <c r="M251" s="84"/>
      <c r="N251" s="52"/>
      <c r="O251" s="18"/>
    </row>
    <row r="252" spans="1:15" ht="18" customHeight="1">
      <c r="A252" s="81" t="s">
        <v>3</v>
      </c>
      <c r="B252" s="87"/>
      <c r="C252" s="83">
        <v>97.3</v>
      </c>
      <c r="D252" s="84">
        <v>96.49</v>
      </c>
      <c r="E252" s="84">
        <v>96.41</v>
      </c>
      <c r="F252" s="84">
        <v>96.41</v>
      </c>
      <c r="G252" s="84">
        <v>96.41</v>
      </c>
      <c r="H252" s="84">
        <v>96.481999999999999</v>
      </c>
      <c r="I252" s="84">
        <v>97.5</v>
      </c>
      <c r="J252" s="84"/>
      <c r="K252" s="84"/>
      <c r="L252" s="86"/>
      <c r="M252" s="84"/>
      <c r="N252" s="52"/>
      <c r="O252" s="18"/>
    </row>
    <row r="253" spans="1:15" ht="18" customHeight="1">
      <c r="A253" s="81" t="s">
        <v>18</v>
      </c>
      <c r="B253" s="87"/>
      <c r="C253" s="52">
        <f t="shared" ref="C253" si="24">C250-C252</f>
        <v>0</v>
      </c>
      <c r="D253" s="52">
        <f>D252-D250</f>
        <v>0.57499999999998863</v>
      </c>
      <c r="E253" s="52">
        <f t="shared" ref="E253:I253" si="25">E252-E250</f>
        <v>0.49499999999999034</v>
      </c>
      <c r="F253" s="52">
        <f t="shared" si="25"/>
        <v>0.49499999999999034</v>
      </c>
      <c r="G253" s="52">
        <f t="shared" si="25"/>
        <v>0.49499999999999034</v>
      </c>
      <c r="H253" s="52">
        <f t="shared" si="25"/>
        <v>0.56699999999999307</v>
      </c>
      <c r="I253" s="52">
        <f t="shared" si="25"/>
        <v>0</v>
      </c>
      <c r="J253" s="52"/>
      <c r="K253" s="52"/>
      <c r="L253" s="52"/>
      <c r="M253" s="52"/>
      <c r="N253" s="52"/>
      <c r="O253" s="18"/>
    </row>
    <row r="254" spans="1:15" ht="18" customHeight="1">
      <c r="A254" s="81" t="s">
        <v>5</v>
      </c>
      <c r="B254" s="87"/>
      <c r="C254" s="52">
        <f t="shared" ref="C254" si="26">(C253+B253)/2*(C249-B249)</f>
        <v>0</v>
      </c>
      <c r="D254" s="52">
        <f>(D253+C253)/2*(D249-C249)</f>
        <v>0.17249999999999657</v>
      </c>
      <c r="E254" s="52">
        <f t="shared" ref="E254" si="27">(E253+D253)/2*(E249-D249)</f>
        <v>5.3499999999998937E-2</v>
      </c>
      <c r="F254" s="52">
        <f t="shared" ref="F254" si="28">(F253+E253)/2*(F249-E249)</f>
        <v>0.49499999999999034</v>
      </c>
      <c r="G254" s="52">
        <f t="shared" ref="G254" si="29">(G253+F253)/2*(G249-F249)</f>
        <v>0.49499999999999045</v>
      </c>
      <c r="H254" s="52">
        <f t="shared" ref="H254" si="30">(H253+G253)/2*(H249-G249)</f>
        <v>5.3099999999998981E-2</v>
      </c>
      <c r="I254" s="52">
        <f t="shared" ref="I254" si="31">(I253+H253)/2*(I249-H249)</f>
        <v>0.22679999999999731</v>
      </c>
      <c r="J254" s="52"/>
      <c r="K254" s="52"/>
      <c r="L254" s="52"/>
      <c r="M254" s="52"/>
      <c r="N254" s="88">
        <f>SUM(B254:M254)</f>
        <v>1.4958999999999725</v>
      </c>
      <c r="O254" s="18"/>
    </row>
    <row r="255" spans="1:15" ht="18" customHeight="1">
      <c r="A255" s="89"/>
      <c r="B255" s="89"/>
      <c r="C255" s="90"/>
      <c r="D255" s="90"/>
      <c r="E255" s="91"/>
      <c r="F255" s="91"/>
      <c r="G255" s="91"/>
      <c r="H255" s="91"/>
      <c r="I255" s="91"/>
      <c r="J255" s="187" t="s">
        <v>6</v>
      </c>
      <c r="K255" s="187"/>
      <c r="L255" s="187"/>
      <c r="M255" s="187"/>
      <c r="N255" s="111">
        <f>N254</f>
        <v>1.4958999999999725</v>
      </c>
      <c r="O255" s="18"/>
    </row>
    <row r="256" spans="1:15" ht="18" customHeight="1">
      <c r="A256" s="24"/>
      <c r="B256" s="78"/>
      <c r="C256" s="18"/>
      <c r="D256" s="18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</row>
    <row r="257" spans="1:14" ht="14.1" customHeight="1">
      <c r="A257" s="2"/>
      <c r="B257" s="2"/>
      <c r="C257" s="30"/>
      <c r="D257" s="30"/>
      <c r="E257" s="21"/>
      <c r="F257" s="21"/>
      <c r="G257" s="21"/>
      <c r="H257" s="21"/>
      <c r="I257" s="21"/>
      <c r="J257" s="30"/>
      <c r="K257" s="30"/>
      <c r="L257" s="30"/>
      <c r="M257" s="30"/>
      <c r="N257" s="30"/>
    </row>
    <row r="258" spans="1:14" ht="14.1" customHeight="1">
      <c r="A258" s="6"/>
      <c r="B258" s="6"/>
      <c r="C258" s="7"/>
      <c r="D258" s="7"/>
      <c r="E258" s="7"/>
      <c r="F258" s="7"/>
      <c r="G258" s="7"/>
      <c r="H258" s="7"/>
      <c r="I258" s="7"/>
      <c r="K258" s="7"/>
      <c r="L258" s="7"/>
      <c r="M258" s="7"/>
      <c r="N258" s="7"/>
    </row>
    <row r="259" spans="1:14" ht="14.1" customHeight="1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</row>
    <row r="260" spans="1:14" ht="14.1" customHeight="1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</row>
    <row r="261" spans="1:14" ht="14.1" customHeight="1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</row>
    <row r="262" spans="1:14" ht="14.1" customHeight="1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</row>
    <row r="263" spans="1:14" ht="14.1" customHeight="1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</row>
    <row r="264" spans="1:14" ht="14.1" customHeight="1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</row>
    <row r="265" spans="1:14" ht="14.1" customHeight="1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</row>
    <row r="266" spans="1:14" ht="14.1" customHeight="1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</row>
    <row r="267" spans="1:14" ht="14.1" customHeight="1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</row>
    <row r="268" spans="1:14" ht="14.1" customHeight="1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</row>
    <row r="269" spans="1:14" ht="14.1" customHeight="1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</row>
    <row r="270" spans="1:14" ht="14.1" customHeight="1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</row>
    <row r="271" spans="1:14" ht="14.1" customHeight="1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</row>
    <row r="272" spans="1:14" ht="14.1" customHeight="1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</row>
    <row r="273" spans="1:15" ht="14.1" customHeight="1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</row>
    <row r="274" spans="1:15" ht="14.1" customHeight="1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</row>
    <row r="275" spans="1:15" ht="14.1" customHeight="1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</row>
    <row r="276" spans="1:15" ht="14.1" customHeight="1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</row>
    <row r="277" spans="1:15" ht="14.1" customHeight="1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</row>
    <row r="278" spans="1:15" ht="14.1" customHeight="1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</row>
    <row r="279" spans="1:15" ht="14.1" customHeight="1">
      <c r="A279" s="6"/>
      <c r="B279" s="6"/>
      <c r="C279" s="7"/>
      <c r="D279" s="7"/>
      <c r="E279" s="7"/>
      <c r="F279" s="7"/>
      <c r="G279" s="7"/>
      <c r="H279" s="7"/>
      <c r="I279" s="7"/>
      <c r="J279" s="36"/>
      <c r="K279" s="7"/>
      <c r="L279" s="7"/>
      <c r="M279" s="7"/>
      <c r="N279" s="7"/>
    </row>
    <row r="280" spans="1:15" ht="14.1" customHeight="1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</row>
    <row r="281" spans="1:15" ht="14.1" customHeight="1"/>
    <row r="282" spans="1:15" ht="14.1" customHeight="1"/>
    <row r="283" spans="1:15" ht="18" customHeight="1">
      <c r="A283" s="184" t="s">
        <v>0</v>
      </c>
      <c r="B283" s="185"/>
      <c r="C283" s="185"/>
      <c r="D283" s="185"/>
      <c r="E283" s="185"/>
      <c r="F283" s="185"/>
      <c r="G283" s="20">
        <v>4620</v>
      </c>
      <c r="H283" s="1" t="s">
        <v>15</v>
      </c>
      <c r="I283" s="1"/>
      <c r="J283" s="33"/>
      <c r="K283" s="1"/>
      <c r="L283" s="1"/>
      <c r="M283" s="1"/>
      <c r="N283" s="1"/>
    </row>
    <row r="284" spans="1:15" ht="18" customHeight="1">
      <c r="A284" s="42" t="s">
        <v>1</v>
      </c>
      <c r="B284" s="82"/>
      <c r="C284" s="83">
        <v>0</v>
      </c>
      <c r="D284" s="84">
        <v>0.6</v>
      </c>
      <c r="E284" s="84">
        <v>0.7</v>
      </c>
      <c r="F284" s="85">
        <v>1.7</v>
      </c>
      <c r="G284" s="85">
        <v>2.7</v>
      </c>
      <c r="H284" s="84">
        <v>2.8</v>
      </c>
      <c r="I284" s="52">
        <v>3.6</v>
      </c>
      <c r="J284" s="52"/>
      <c r="K284" s="84"/>
      <c r="L284" s="86"/>
      <c r="M284" s="45"/>
      <c r="N284" s="47"/>
      <c r="O284" s="22"/>
    </row>
    <row r="285" spans="1:15" ht="18" customHeight="1">
      <c r="A285" s="42" t="s">
        <v>2</v>
      </c>
      <c r="B285" s="82"/>
      <c r="C285" s="83">
        <v>97.16</v>
      </c>
      <c r="D285" s="84">
        <v>95.91</v>
      </c>
      <c r="E285" s="84">
        <v>95.91</v>
      </c>
      <c r="F285" s="84">
        <v>95.91</v>
      </c>
      <c r="G285" s="84">
        <v>95.91</v>
      </c>
      <c r="H285" s="84">
        <v>95.91</v>
      </c>
      <c r="I285" s="84">
        <v>97.34</v>
      </c>
      <c r="J285" s="84"/>
      <c r="K285" s="84"/>
      <c r="L285" s="86"/>
      <c r="M285" s="45"/>
      <c r="N285" s="47"/>
      <c r="O285" s="21"/>
    </row>
    <row r="286" spans="1:15" ht="18" customHeight="1">
      <c r="A286" s="42" t="s">
        <v>1</v>
      </c>
      <c r="B286" s="82"/>
      <c r="C286" s="83">
        <v>0</v>
      </c>
      <c r="D286" s="84">
        <v>0.6</v>
      </c>
      <c r="E286" s="84">
        <v>0.7</v>
      </c>
      <c r="F286" s="85">
        <v>1.7</v>
      </c>
      <c r="G286" s="85">
        <v>2.7</v>
      </c>
      <c r="H286" s="84">
        <v>2.8</v>
      </c>
      <c r="I286" s="52">
        <v>3.6</v>
      </c>
      <c r="J286" s="52"/>
      <c r="K286" s="84"/>
      <c r="L286" s="86"/>
      <c r="M286" s="45"/>
      <c r="N286" s="47"/>
      <c r="O286" s="22"/>
    </row>
    <row r="287" spans="1:15" ht="18" customHeight="1">
      <c r="A287" s="42" t="s">
        <v>3</v>
      </c>
      <c r="B287" s="87"/>
      <c r="C287" s="83">
        <v>97.16</v>
      </c>
      <c r="D287" s="84">
        <v>96.448999999999998</v>
      </c>
      <c r="E287" s="84">
        <v>96.33</v>
      </c>
      <c r="F287" s="84">
        <v>96.33</v>
      </c>
      <c r="G287" s="84">
        <v>96.33</v>
      </c>
      <c r="H287" s="84">
        <v>96.444999999999993</v>
      </c>
      <c r="I287" s="84">
        <v>97.34</v>
      </c>
      <c r="J287" s="84"/>
      <c r="K287" s="84"/>
      <c r="L287" s="86"/>
      <c r="M287" s="45"/>
      <c r="N287" s="52"/>
      <c r="O287" s="23"/>
    </row>
    <row r="288" spans="1:15" ht="18" customHeight="1">
      <c r="A288" s="42" t="s">
        <v>18</v>
      </c>
      <c r="B288" s="87"/>
      <c r="C288" s="52">
        <f t="shared" ref="C288" si="32">C285-C287</f>
        <v>0</v>
      </c>
      <c r="D288" s="52">
        <f>D287-D285</f>
        <v>0.53900000000000148</v>
      </c>
      <c r="E288" s="52">
        <f t="shared" ref="E288:I288" si="33">E287-E285</f>
        <v>0.42000000000000171</v>
      </c>
      <c r="F288" s="52">
        <f t="shared" si="33"/>
        <v>0.42000000000000171</v>
      </c>
      <c r="G288" s="52">
        <f t="shared" si="33"/>
        <v>0.42000000000000171</v>
      </c>
      <c r="H288" s="52">
        <f t="shared" si="33"/>
        <v>0.53499999999999659</v>
      </c>
      <c r="I288" s="52">
        <f t="shared" si="33"/>
        <v>0</v>
      </c>
      <c r="J288" s="52"/>
      <c r="K288" s="52"/>
      <c r="L288" s="52"/>
      <c r="M288" s="47"/>
      <c r="N288" s="47"/>
      <c r="O288" s="21"/>
    </row>
    <row r="289" spans="1:15" ht="18" customHeight="1">
      <c r="A289" s="42" t="s">
        <v>5</v>
      </c>
      <c r="B289" s="87"/>
      <c r="C289" s="52">
        <f t="shared" ref="C289" si="34">(C288+B288)/2*(C284-B284)</f>
        <v>0</v>
      </c>
      <c r="D289" s="52">
        <f>(D288+C288)/2*(D284-C284)</f>
        <v>0.16170000000000043</v>
      </c>
      <c r="E289" s="52">
        <f t="shared" ref="E289:I289" si="35">(E288+D288)/2*(E284-D284)</f>
        <v>4.7950000000000145E-2</v>
      </c>
      <c r="F289" s="52">
        <f t="shared" si="35"/>
        <v>0.42000000000000171</v>
      </c>
      <c r="G289" s="52">
        <f t="shared" si="35"/>
        <v>0.42000000000000182</v>
      </c>
      <c r="H289" s="52">
        <f t="shared" si="35"/>
        <v>4.7749999999999744E-2</v>
      </c>
      <c r="I289" s="52">
        <f t="shared" si="35"/>
        <v>0.21399999999999872</v>
      </c>
      <c r="J289" s="52"/>
      <c r="K289" s="52"/>
      <c r="L289" s="52"/>
      <c r="M289" s="47"/>
      <c r="N289" s="77">
        <f>SUM(B289:M289)</f>
        <v>1.3114000000000026</v>
      </c>
      <c r="O289" s="21"/>
    </row>
    <row r="290" spans="1:15" ht="18" customHeight="1">
      <c r="A290" s="2"/>
      <c r="B290" s="2"/>
      <c r="C290" s="30"/>
      <c r="D290" s="30"/>
      <c r="E290" s="4"/>
      <c r="F290" s="4"/>
      <c r="G290" s="4"/>
      <c r="H290" s="4"/>
      <c r="I290" s="4"/>
      <c r="J290" s="179" t="s">
        <v>6</v>
      </c>
      <c r="K290" s="179"/>
      <c r="L290" s="179"/>
      <c r="M290" s="179"/>
      <c r="N290" s="109">
        <f>N289</f>
        <v>1.3114000000000026</v>
      </c>
      <c r="O290" s="21"/>
    </row>
    <row r="291" spans="1:15" ht="18" customHeight="1">
      <c r="A291" s="24"/>
      <c r="B291" s="78"/>
      <c r="C291" s="18"/>
      <c r="D291" s="18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</row>
    <row r="292" spans="1:15" ht="14.1" customHeight="1">
      <c r="A292" s="2"/>
      <c r="B292" s="2"/>
      <c r="C292" s="30"/>
      <c r="D292" s="30"/>
      <c r="E292" s="21"/>
      <c r="F292" s="21"/>
      <c r="G292" s="21"/>
      <c r="H292" s="21"/>
      <c r="I292" s="21"/>
      <c r="J292" s="30"/>
      <c r="K292" s="30"/>
      <c r="L292" s="30"/>
      <c r="M292" s="30"/>
      <c r="N292" s="30"/>
    </row>
    <row r="293" spans="1:15" ht="14.1" customHeight="1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</row>
    <row r="294" spans="1:15" ht="14.1" customHeight="1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</row>
    <row r="295" spans="1:15" ht="14.1" customHeight="1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</row>
    <row r="296" spans="1:15" ht="14.1" customHeight="1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</row>
    <row r="297" spans="1:15" ht="14.1" customHeight="1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</row>
    <row r="298" spans="1:15" ht="14.1" customHeight="1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</row>
    <row r="299" spans="1:15" ht="14.1" customHeight="1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</row>
    <row r="300" spans="1:15" ht="14.1" customHeight="1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</row>
    <row r="301" spans="1:15" ht="14.1" customHeight="1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</row>
    <row r="302" spans="1:15" ht="14.1" customHeight="1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</row>
    <row r="303" spans="1:15" ht="14.1" customHeight="1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</row>
    <row r="304" spans="1:15" ht="14.1" customHeight="1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</row>
    <row r="305" spans="1:14" ht="14.1" customHeight="1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</row>
    <row r="306" spans="1:14" ht="14.1" customHeight="1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</row>
    <row r="307" spans="1:14" ht="14.1" customHeight="1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</row>
    <row r="308" spans="1:14" ht="14.1" customHeight="1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</row>
    <row r="309" spans="1:14" ht="14.1" customHeight="1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</row>
    <row r="310" spans="1:14" ht="14.1" customHeight="1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</row>
    <row r="311" spans="1:14" ht="14.1" customHeight="1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</row>
    <row r="312" spans="1:14" ht="14.1" customHeight="1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</row>
    <row r="313" spans="1:14" ht="14.1" customHeight="1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</row>
    <row r="314" spans="1:14" ht="14.1" customHeight="1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</row>
    <row r="315" spans="1:14" ht="14.1" customHeight="1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</row>
    <row r="316" spans="1:14" ht="14.1" customHeight="1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</row>
    <row r="317" spans="1:14" ht="14.1" customHeight="1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</row>
    <row r="318" spans="1:14" ht="14.1" customHeight="1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</row>
    <row r="319" spans="1:14" ht="14.1" customHeight="1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</row>
    <row r="320" spans="1:14" ht="14.1" customHeight="1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</row>
    <row r="321" spans="1:16" ht="14.1" customHeight="1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</row>
    <row r="322" spans="1:16" ht="14.1" customHeight="1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</row>
    <row r="323" spans="1:16" ht="14.1" customHeight="1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</row>
    <row r="324" spans="1:16" ht="14.1" customHeight="1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</row>
    <row r="325" spans="1:16" ht="14.1" customHeight="1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</row>
    <row r="326" spans="1:16" ht="14.1" customHeight="1">
      <c r="A326" s="6"/>
      <c r="B326" s="181"/>
      <c r="C326" s="181"/>
      <c r="D326" s="181"/>
      <c r="E326" s="25"/>
      <c r="F326" s="25"/>
      <c r="G326" s="167"/>
      <c r="H326" s="167"/>
      <c r="I326" s="167"/>
      <c r="J326" s="7"/>
      <c r="K326" s="182"/>
      <c r="L326" s="182"/>
      <c r="M326" s="7"/>
      <c r="N326" s="7"/>
    </row>
    <row r="327" spans="1:16" ht="14.1" customHeight="1">
      <c r="A327" s="6"/>
      <c r="B327" s="170"/>
      <c r="C327" s="170"/>
      <c r="D327" s="170"/>
      <c r="E327" s="26"/>
      <c r="F327" s="26"/>
      <c r="G327" s="170"/>
      <c r="H327" s="170"/>
      <c r="I327" s="170"/>
      <c r="J327" s="25"/>
      <c r="K327" s="171"/>
      <c r="L327" s="171"/>
      <c r="M327" s="7"/>
      <c r="N327" s="7"/>
    </row>
    <row r="328" spans="1:16" ht="14.1" customHeight="1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</row>
    <row r="329" spans="1:16" ht="14.1" customHeight="1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</row>
    <row r="330" spans="1:16" ht="14.1" customHeight="1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</row>
    <row r="331" spans="1:16" ht="18.75" customHeight="1">
      <c r="A331" s="184" t="s">
        <v>0</v>
      </c>
      <c r="B331" s="185"/>
      <c r="C331" s="185"/>
      <c r="D331" s="185"/>
      <c r="E331" s="185"/>
      <c r="F331" s="185"/>
      <c r="G331" s="20">
        <v>4680</v>
      </c>
      <c r="H331" s="1" t="s">
        <v>15</v>
      </c>
      <c r="I331" s="1"/>
      <c r="J331" s="32"/>
      <c r="K331" s="1"/>
      <c r="L331" s="1"/>
      <c r="M331" s="1"/>
      <c r="N331" s="1"/>
    </row>
    <row r="332" spans="1:16" ht="18.75" customHeight="1">
      <c r="A332" s="42" t="s">
        <v>1</v>
      </c>
      <c r="B332" s="82"/>
      <c r="C332" s="83">
        <v>0</v>
      </c>
      <c r="D332" s="84">
        <v>0.6</v>
      </c>
      <c r="E332" s="84">
        <v>0.7</v>
      </c>
      <c r="F332" s="85">
        <v>1.7</v>
      </c>
      <c r="G332" s="85">
        <v>2.7</v>
      </c>
      <c r="H332" s="84">
        <v>2.8</v>
      </c>
      <c r="I332" s="52">
        <v>3.5</v>
      </c>
      <c r="J332" s="52"/>
      <c r="K332" s="84"/>
      <c r="L332" s="86"/>
      <c r="M332" s="45"/>
      <c r="N332" s="47"/>
      <c r="O332" s="22"/>
      <c r="P332" s="22"/>
    </row>
    <row r="333" spans="1:16" ht="18.75" customHeight="1">
      <c r="A333" s="42" t="s">
        <v>2</v>
      </c>
      <c r="B333" s="82"/>
      <c r="C333" s="83">
        <v>98.36</v>
      </c>
      <c r="D333" s="84">
        <v>95.91</v>
      </c>
      <c r="E333" s="84">
        <v>95.91</v>
      </c>
      <c r="F333" s="84">
        <v>95.91</v>
      </c>
      <c r="G333" s="84">
        <v>95.91</v>
      </c>
      <c r="H333" s="84">
        <v>95.91</v>
      </c>
      <c r="I333" s="84">
        <v>98.53</v>
      </c>
      <c r="J333" s="84"/>
      <c r="K333" s="84"/>
      <c r="L333" s="86"/>
      <c r="M333" s="45"/>
      <c r="N333" s="47"/>
      <c r="O333" s="21"/>
      <c r="P333" s="21"/>
    </row>
    <row r="334" spans="1:16" ht="18.75" customHeight="1">
      <c r="A334" s="42" t="s">
        <v>1</v>
      </c>
      <c r="B334" s="82"/>
      <c r="C334" s="83">
        <v>0</v>
      </c>
      <c r="D334" s="84">
        <v>0.6</v>
      </c>
      <c r="E334" s="84">
        <v>0.7</v>
      </c>
      <c r="F334" s="85">
        <v>1.7</v>
      </c>
      <c r="G334" s="85">
        <v>2.7</v>
      </c>
      <c r="H334" s="84">
        <v>2.8</v>
      </c>
      <c r="I334" s="52">
        <v>3.5</v>
      </c>
      <c r="J334" s="52"/>
      <c r="K334" s="84"/>
      <c r="L334" s="86"/>
      <c r="M334" s="45"/>
      <c r="N334" s="47"/>
      <c r="O334" s="22"/>
      <c r="P334" s="22"/>
    </row>
    <row r="335" spans="1:16" ht="18.75" customHeight="1">
      <c r="A335" s="42" t="s">
        <v>3</v>
      </c>
      <c r="B335" s="87"/>
      <c r="C335" s="83">
        <v>98.36</v>
      </c>
      <c r="D335" s="84">
        <v>96.722999999999999</v>
      </c>
      <c r="E335" s="84">
        <v>96.45</v>
      </c>
      <c r="F335" s="84">
        <v>96.45</v>
      </c>
      <c r="G335" s="84">
        <v>96.45</v>
      </c>
      <c r="H335" s="84">
        <v>96.71</v>
      </c>
      <c r="I335" s="84">
        <v>98.53</v>
      </c>
      <c r="J335" s="84"/>
      <c r="K335" s="84"/>
      <c r="L335" s="86"/>
      <c r="M335" s="45"/>
      <c r="N335" s="52"/>
      <c r="O335" s="23"/>
      <c r="P335" s="23"/>
    </row>
    <row r="336" spans="1:16" ht="18.75" customHeight="1">
      <c r="A336" s="42" t="s">
        <v>18</v>
      </c>
      <c r="B336" s="87"/>
      <c r="C336" s="52">
        <f t="shared" ref="C336" si="36">C333-C335</f>
        <v>0</v>
      </c>
      <c r="D336" s="52">
        <f>D335-D333</f>
        <v>0.81300000000000239</v>
      </c>
      <c r="E336" s="52">
        <f t="shared" ref="E336:I336" si="37">E335-E333</f>
        <v>0.54000000000000625</v>
      </c>
      <c r="F336" s="52">
        <f t="shared" si="37"/>
        <v>0.54000000000000625</v>
      </c>
      <c r="G336" s="52">
        <f t="shared" si="37"/>
        <v>0.54000000000000625</v>
      </c>
      <c r="H336" s="52">
        <f t="shared" si="37"/>
        <v>0.79999999999999716</v>
      </c>
      <c r="I336" s="52">
        <f t="shared" si="37"/>
        <v>0</v>
      </c>
      <c r="J336" s="52"/>
      <c r="K336" s="52"/>
      <c r="L336" s="52"/>
      <c r="M336" s="47"/>
      <c r="N336" s="47"/>
      <c r="O336" s="21"/>
      <c r="P336" s="21"/>
    </row>
    <row r="337" spans="1:16" ht="18.75" customHeight="1">
      <c r="A337" s="42" t="s">
        <v>5</v>
      </c>
      <c r="B337" s="87"/>
      <c r="C337" s="52">
        <f t="shared" ref="C337" si="38">(C336+B336)/2*(C332-B332)</f>
        <v>0</v>
      </c>
      <c r="D337" s="52">
        <f>(D336+C336)/2*(D332-C332)</f>
        <v>0.2439000000000007</v>
      </c>
      <c r="E337" s="52">
        <f t="shared" ref="E337:I337" si="39">(E336+D336)/2*(E332-D332)</f>
        <v>6.7650000000000418E-2</v>
      </c>
      <c r="F337" s="52">
        <f t="shared" si="39"/>
        <v>0.54000000000000625</v>
      </c>
      <c r="G337" s="52">
        <f t="shared" si="39"/>
        <v>0.54000000000000636</v>
      </c>
      <c r="H337" s="52">
        <f t="shared" si="39"/>
        <v>6.6999999999999935E-2</v>
      </c>
      <c r="I337" s="52">
        <f t="shared" si="39"/>
        <v>0.27999999999999908</v>
      </c>
      <c r="J337" s="52"/>
      <c r="K337" s="52"/>
      <c r="L337" s="52"/>
      <c r="M337" s="47"/>
      <c r="N337" s="77">
        <f>SUM(B337:M337)</f>
        <v>1.7385500000000129</v>
      </c>
      <c r="O337" s="21"/>
      <c r="P337" s="21"/>
    </row>
    <row r="338" spans="1:16" ht="18.75" customHeight="1">
      <c r="A338" s="2"/>
      <c r="B338" s="2"/>
      <c r="C338" s="30"/>
      <c r="D338" s="30"/>
      <c r="E338" s="4"/>
      <c r="F338" s="4"/>
      <c r="G338" s="4"/>
      <c r="H338" s="4"/>
      <c r="I338" s="4"/>
      <c r="J338" s="179" t="s">
        <v>6</v>
      </c>
      <c r="K338" s="179"/>
      <c r="L338" s="179"/>
      <c r="M338" s="179"/>
      <c r="N338" s="109">
        <f>N337</f>
        <v>1.7385500000000129</v>
      </c>
      <c r="O338" s="21"/>
      <c r="P338" s="21"/>
    </row>
    <row r="339" spans="1:16" ht="18.75" customHeight="1">
      <c r="A339" s="24"/>
      <c r="B339" s="78"/>
      <c r="C339" s="18"/>
      <c r="D339" s="18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31"/>
      <c r="P339" s="21"/>
    </row>
    <row r="340" spans="1:16" ht="18.75" customHeight="1">
      <c r="A340" s="2"/>
      <c r="B340" s="2"/>
      <c r="C340" s="30"/>
      <c r="D340" s="30"/>
      <c r="E340" s="21"/>
      <c r="F340" s="21"/>
      <c r="G340" s="21"/>
      <c r="H340" s="21"/>
      <c r="I340" s="21"/>
      <c r="J340" s="30"/>
      <c r="K340" s="30"/>
      <c r="L340" s="30"/>
      <c r="M340" s="30"/>
      <c r="N340" s="30"/>
    </row>
    <row r="341" spans="1:16" ht="14.1" customHeight="1">
      <c r="A341" s="6"/>
      <c r="B341" s="6"/>
      <c r="C341" s="7"/>
      <c r="D341" s="7"/>
      <c r="E341" s="7"/>
      <c r="F341" s="7"/>
      <c r="G341" s="7"/>
      <c r="H341" s="7"/>
      <c r="I341" s="7"/>
      <c r="K341" s="7"/>
      <c r="L341" s="7"/>
      <c r="M341" s="7"/>
      <c r="N341" s="7"/>
    </row>
    <row r="342" spans="1:16" ht="14.1" customHeight="1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</row>
    <row r="343" spans="1:16" ht="14.1" customHeight="1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</row>
    <row r="344" spans="1:16" ht="14.1" customHeight="1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</row>
    <row r="345" spans="1:16" ht="14.1" customHeight="1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</row>
    <row r="346" spans="1:16" ht="14.1" customHeight="1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</row>
    <row r="347" spans="1:16" ht="14.1" customHeight="1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</row>
    <row r="348" spans="1:16" ht="14.1" customHeight="1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</row>
    <row r="349" spans="1:16" ht="14.1" customHeight="1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</row>
    <row r="350" spans="1:16" ht="14.1" customHeight="1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</row>
    <row r="351" spans="1:16" ht="14.1" customHeight="1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</row>
    <row r="352" spans="1:16" ht="14.1" customHeight="1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</row>
    <row r="353" spans="1:16" ht="14.1" customHeight="1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</row>
    <row r="354" spans="1:16" ht="14.1" customHeight="1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</row>
    <row r="355" spans="1:16" ht="14.1" customHeight="1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</row>
    <row r="356" spans="1:16" ht="14.1" customHeight="1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</row>
    <row r="357" spans="1:16" ht="14.1" customHeight="1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</row>
    <row r="358" spans="1:16" ht="14.1" customHeight="1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</row>
    <row r="359" spans="1:16" ht="14.1" customHeight="1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</row>
    <row r="360" spans="1:16" ht="14.1" customHeight="1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</row>
    <row r="361" spans="1:16" ht="14.1" customHeight="1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</row>
    <row r="362" spans="1:16" ht="14.1" customHeight="1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</row>
    <row r="363" spans="1:16" ht="14.1" customHeight="1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</row>
    <row r="364" spans="1:16" ht="14.1" customHeight="1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</row>
    <row r="365" spans="1:16" ht="14.1" customHeight="1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</row>
    <row r="366" spans="1:16" ht="14.1" customHeight="1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</row>
    <row r="367" spans="1:16" ht="18" customHeight="1">
      <c r="A367" s="184" t="s">
        <v>0</v>
      </c>
      <c r="B367" s="185"/>
      <c r="C367" s="185"/>
      <c r="D367" s="185"/>
      <c r="E367" s="185"/>
      <c r="F367" s="185"/>
      <c r="G367" s="20">
        <v>4740</v>
      </c>
      <c r="H367" s="1" t="s">
        <v>15</v>
      </c>
      <c r="I367" s="1"/>
      <c r="J367" s="32"/>
      <c r="K367" s="1"/>
      <c r="L367" s="1"/>
      <c r="M367" s="1"/>
      <c r="N367" s="1"/>
    </row>
    <row r="368" spans="1:16" ht="18" customHeight="1">
      <c r="A368" s="42" t="s">
        <v>1</v>
      </c>
      <c r="B368" s="82"/>
      <c r="C368" s="83">
        <v>0</v>
      </c>
      <c r="D368" s="84">
        <v>0.6</v>
      </c>
      <c r="E368" s="84">
        <v>0.7</v>
      </c>
      <c r="F368" s="85">
        <v>1.7</v>
      </c>
      <c r="G368" s="85">
        <v>2.7</v>
      </c>
      <c r="H368" s="84">
        <v>2.8</v>
      </c>
      <c r="I368" s="52">
        <v>3.6</v>
      </c>
      <c r="J368" s="52"/>
      <c r="K368" s="84"/>
      <c r="L368" s="86"/>
      <c r="M368" s="45"/>
      <c r="N368" s="47"/>
      <c r="O368" s="22"/>
      <c r="P368" s="22"/>
    </row>
    <row r="369" spans="1:16" ht="18" customHeight="1">
      <c r="A369" s="42" t="s">
        <v>2</v>
      </c>
      <c r="B369" s="82"/>
      <c r="C369" s="83">
        <v>98.55</v>
      </c>
      <c r="D369" s="84">
        <v>95.905000000000001</v>
      </c>
      <c r="E369" s="84">
        <v>95.905000000000001</v>
      </c>
      <c r="F369" s="84">
        <v>95.905000000000001</v>
      </c>
      <c r="G369" s="84">
        <v>95.905000000000001</v>
      </c>
      <c r="H369" s="84">
        <v>95.905000000000001</v>
      </c>
      <c r="I369" s="84">
        <v>98.7</v>
      </c>
      <c r="J369" s="84"/>
      <c r="K369" s="84"/>
      <c r="L369" s="86"/>
      <c r="M369" s="45"/>
      <c r="N369" s="47"/>
      <c r="O369" s="21"/>
      <c r="P369" s="21"/>
    </row>
    <row r="370" spans="1:16" ht="18" customHeight="1">
      <c r="A370" s="42" t="s">
        <v>1</v>
      </c>
      <c r="B370" s="82"/>
      <c r="C370" s="83">
        <v>0</v>
      </c>
      <c r="D370" s="84">
        <v>0.6</v>
      </c>
      <c r="E370" s="84">
        <v>0.7</v>
      </c>
      <c r="F370" s="85">
        <v>1.7</v>
      </c>
      <c r="G370" s="85">
        <v>2.7</v>
      </c>
      <c r="H370" s="84">
        <v>2.8</v>
      </c>
      <c r="I370" s="52">
        <v>3.6</v>
      </c>
      <c r="J370" s="52"/>
      <c r="K370" s="84"/>
      <c r="L370" s="86"/>
      <c r="M370" s="45"/>
      <c r="N370" s="47"/>
      <c r="O370" s="22"/>
      <c r="P370" s="22"/>
    </row>
    <row r="371" spans="1:16" ht="18" customHeight="1">
      <c r="A371" s="42" t="s">
        <v>3</v>
      </c>
      <c r="B371" s="87"/>
      <c r="C371" s="83">
        <v>98.55</v>
      </c>
      <c r="D371" s="84">
        <v>96.94</v>
      </c>
      <c r="E371" s="84">
        <v>96.42</v>
      </c>
      <c r="F371" s="84">
        <v>96.42</v>
      </c>
      <c r="G371" s="84">
        <v>96.42</v>
      </c>
      <c r="H371" s="84">
        <v>96.73</v>
      </c>
      <c r="I371" s="84">
        <v>98.7</v>
      </c>
      <c r="J371" s="84"/>
      <c r="K371" s="84"/>
      <c r="L371" s="86"/>
      <c r="M371" s="45"/>
      <c r="N371" s="52"/>
      <c r="O371" s="23"/>
      <c r="P371" s="23"/>
    </row>
    <row r="372" spans="1:16" ht="18" customHeight="1">
      <c r="A372" s="42" t="s">
        <v>18</v>
      </c>
      <c r="B372" s="87"/>
      <c r="C372" s="52">
        <f t="shared" ref="C372" si="40">C369-C371</f>
        <v>0</v>
      </c>
      <c r="D372" s="52">
        <f>D371-D369</f>
        <v>1.0349999999999966</v>
      </c>
      <c r="E372" s="52">
        <f t="shared" ref="E372:I372" si="41">E371-E369</f>
        <v>0.51500000000000057</v>
      </c>
      <c r="F372" s="52">
        <f t="shared" si="41"/>
        <v>0.51500000000000057</v>
      </c>
      <c r="G372" s="52">
        <f t="shared" si="41"/>
        <v>0.51500000000000057</v>
      </c>
      <c r="H372" s="52">
        <f t="shared" si="41"/>
        <v>0.82500000000000284</v>
      </c>
      <c r="I372" s="52">
        <f t="shared" si="41"/>
        <v>0</v>
      </c>
      <c r="J372" s="52"/>
      <c r="K372" s="52"/>
      <c r="L372" s="52"/>
      <c r="M372" s="47"/>
      <c r="N372" s="47"/>
      <c r="O372" s="21"/>
      <c r="P372" s="21"/>
    </row>
    <row r="373" spans="1:16" ht="18" customHeight="1">
      <c r="A373" s="42" t="s">
        <v>5</v>
      </c>
      <c r="B373" s="87"/>
      <c r="C373" s="52">
        <f t="shared" ref="C373" si="42">(C372+B372)/2*(C368-B368)</f>
        <v>0</v>
      </c>
      <c r="D373" s="52">
        <f>(D372+C372)/2*(D368-C368)</f>
        <v>0.31049999999999894</v>
      </c>
      <c r="E373" s="52">
        <f t="shared" ref="E373:I373" si="43">(E372+D372)/2*(E368-D368)</f>
        <v>7.7499999999999847E-2</v>
      </c>
      <c r="F373" s="52">
        <f t="shared" si="43"/>
        <v>0.51500000000000057</v>
      </c>
      <c r="G373" s="52">
        <f t="shared" si="43"/>
        <v>0.51500000000000068</v>
      </c>
      <c r="H373" s="52">
        <f t="shared" si="43"/>
        <v>6.6999999999999935E-2</v>
      </c>
      <c r="I373" s="52">
        <f t="shared" si="43"/>
        <v>0.33000000000000124</v>
      </c>
      <c r="J373" s="52"/>
      <c r="K373" s="52"/>
      <c r="L373" s="52"/>
      <c r="M373" s="47"/>
      <c r="N373" s="77">
        <f>SUM(B373:M373)</f>
        <v>1.8150000000000013</v>
      </c>
      <c r="O373" s="21"/>
      <c r="P373" s="21"/>
    </row>
    <row r="374" spans="1:16" ht="18" customHeight="1">
      <c r="A374" s="2"/>
      <c r="B374" s="2"/>
      <c r="C374" s="30"/>
      <c r="D374" s="30"/>
      <c r="E374" s="4"/>
      <c r="F374" s="4"/>
      <c r="G374" s="4"/>
      <c r="H374" s="4"/>
      <c r="I374" s="4"/>
      <c r="J374" s="179" t="s">
        <v>6</v>
      </c>
      <c r="K374" s="179"/>
      <c r="L374" s="179"/>
      <c r="M374" s="179"/>
      <c r="N374" s="109">
        <f>N373</f>
        <v>1.8150000000000013</v>
      </c>
      <c r="O374" s="21"/>
      <c r="P374" s="21"/>
    </row>
    <row r="375" spans="1:16" ht="18" customHeight="1">
      <c r="A375" s="24"/>
      <c r="B375" s="78"/>
      <c r="C375" s="18"/>
      <c r="D375" s="18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31"/>
      <c r="P375" s="21"/>
    </row>
    <row r="376" spans="1:16" ht="14.1" customHeight="1">
      <c r="A376" s="2"/>
      <c r="B376" s="2"/>
      <c r="C376" s="30"/>
      <c r="D376" s="30"/>
      <c r="E376" s="21"/>
      <c r="F376" s="21"/>
      <c r="G376" s="21"/>
      <c r="H376" s="21"/>
      <c r="I376" s="21"/>
      <c r="J376" s="30"/>
      <c r="K376" s="30"/>
      <c r="L376" s="30"/>
      <c r="M376" s="30"/>
      <c r="N376" s="30"/>
    </row>
    <row r="377" spans="1:16" ht="14.1" customHeight="1">
      <c r="A377" s="2"/>
      <c r="B377" s="2"/>
      <c r="C377" s="30"/>
      <c r="D377" s="30"/>
      <c r="E377" s="4"/>
      <c r="F377" s="4"/>
      <c r="G377" s="4"/>
      <c r="H377" s="4"/>
      <c r="I377" s="4"/>
      <c r="J377" s="30"/>
      <c r="K377" s="30"/>
      <c r="L377" s="30"/>
      <c r="M377" s="30"/>
      <c r="N377" s="30"/>
    </row>
    <row r="378" spans="1:16" ht="14.1" customHeight="1">
      <c r="A378" s="2"/>
      <c r="B378" s="2"/>
      <c r="C378" s="30"/>
      <c r="D378" s="30"/>
      <c r="E378" s="4"/>
      <c r="F378" s="4"/>
      <c r="G378" s="4"/>
      <c r="H378" s="4"/>
      <c r="I378" s="4"/>
      <c r="J378" s="30"/>
      <c r="K378" s="30"/>
      <c r="L378" s="30"/>
      <c r="M378" s="30"/>
      <c r="N378" s="30"/>
    </row>
    <row r="379" spans="1:16" ht="14.1" customHeight="1">
      <c r="A379" s="6"/>
      <c r="B379" s="6"/>
      <c r="C379" s="7"/>
      <c r="D379" s="7"/>
      <c r="E379" s="7"/>
      <c r="F379" s="7"/>
      <c r="G379" s="7"/>
      <c r="H379" s="7"/>
      <c r="I379" s="7"/>
      <c r="K379" s="7"/>
      <c r="L379" s="7"/>
      <c r="M379" s="7"/>
      <c r="N379" s="7"/>
    </row>
    <row r="380" spans="1:16" ht="14.1" customHeight="1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</row>
    <row r="381" spans="1:16" ht="14.1" customHeight="1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</row>
    <row r="382" spans="1:16" ht="14.1" customHeight="1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</row>
    <row r="383" spans="1:16" ht="14.1" customHeight="1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</row>
    <row r="384" spans="1:16" ht="14.1" customHeight="1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</row>
    <row r="385" spans="1:14" ht="14.1" customHeight="1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</row>
    <row r="386" spans="1:14" ht="14.1" customHeight="1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</row>
    <row r="387" spans="1:14" ht="14.1" customHeight="1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</row>
    <row r="388" spans="1:14" ht="14.1" customHeight="1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</row>
    <row r="389" spans="1:14" ht="14.1" customHeight="1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</row>
    <row r="390" spans="1:14" ht="14.1" customHeight="1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</row>
    <row r="391" spans="1:14" ht="14.1" customHeight="1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</row>
    <row r="392" spans="1:14" ht="14.1" customHeight="1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</row>
    <row r="393" spans="1:14" ht="14.1" customHeight="1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</row>
    <row r="394" spans="1:14" ht="14.1" customHeight="1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</row>
    <row r="395" spans="1:14" ht="14.1" customHeight="1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</row>
    <row r="396" spans="1:14" ht="14.1" customHeight="1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</row>
    <row r="397" spans="1:14" ht="14.1" customHeight="1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</row>
    <row r="398" spans="1:14" ht="14.1" customHeight="1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</row>
    <row r="399" spans="1:14" ht="14.1" customHeight="1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</row>
    <row r="400" spans="1:14" ht="14.1" customHeight="1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</row>
    <row r="401" spans="1:14" ht="14.1" customHeight="1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</row>
    <row r="402" spans="1:14" ht="14.1" customHeight="1">
      <c r="A402" s="6"/>
      <c r="B402" s="181"/>
      <c r="C402" s="181"/>
      <c r="D402" s="181"/>
      <c r="E402" s="25"/>
      <c r="F402" s="25"/>
      <c r="G402" s="167"/>
      <c r="H402" s="167"/>
      <c r="I402" s="167"/>
      <c r="J402" s="7"/>
      <c r="K402" s="182"/>
      <c r="L402" s="182"/>
      <c r="M402" s="7"/>
      <c r="N402" s="7"/>
    </row>
    <row r="403" spans="1:14" ht="14.1" customHeight="1">
      <c r="A403" s="6"/>
      <c r="B403" s="170"/>
      <c r="C403" s="170"/>
      <c r="D403" s="170"/>
      <c r="E403" s="26"/>
      <c r="F403" s="26"/>
      <c r="G403" s="170"/>
      <c r="H403" s="170"/>
      <c r="I403" s="170"/>
      <c r="J403" s="25"/>
      <c r="K403" s="171"/>
      <c r="L403" s="171"/>
      <c r="M403" s="7"/>
      <c r="N403" s="7"/>
    </row>
    <row r="404" spans="1:14" ht="14.1" customHeight="1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</row>
    <row r="405" spans="1:14" ht="14.1" customHeight="1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</row>
    <row r="406" spans="1:14" ht="14.1" customHeight="1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</row>
    <row r="407" spans="1:14" ht="14.1" customHeight="1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</row>
    <row r="408" spans="1:14" ht="14.1" customHeight="1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</row>
    <row r="409" spans="1:14" ht="14.1" customHeight="1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</row>
    <row r="410" spans="1:14" ht="14.1" customHeight="1">
      <c r="A410" s="6"/>
      <c r="B410" s="181"/>
      <c r="C410" s="181"/>
      <c r="D410" s="181"/>
      <c r="E410" s="25"/>
      <c r="F410" s="25"/>
      <c r="G410" s="167"/>
      <c r="H410" s="167"/>
      <c r="I410" s="167"/>
      <c r="J410" s="7"/>
      <c r="K410" s="182"/>
      <c r="L410" s="182"/>
      <c r="M410" s="7"/>
      <c r="N410" s="7"/>
    </row>
    <row r="411" spans="1:14" ht="14.1" customHeight="1">
      <c r="A411" s="6"/>
      <c r="B411" s="170"/>
      <c r="C411" s="170"/>
      <c r="D411" s="170"/>
      <c r="E411" s="26"/>
      <c r="F411" s="26"/>
      <c r="G411" s="170"/>
      <c r="H411" s="170"/>
      <c r="I411" s="170"/>
      <c r="J411" s="25"/>
      <c r="K411" s="171"/>
      <c r="L411" s="171"/>
      <c r="M411" s="7"/>
      <c r="N411" s="7"/>
    </row>
    <row r="412" spans="1:14" ht="14.1" customHeight="1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</row>
    <row r="413" spans="1:14" ht="14.1" customHeight="1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</row>
    <row r="414" spans="1:14" ht="18" customHeight="1">
      <c r="A414" s="184" t="s">
        <v>0</v>
      </c>
      <c r="B414" s="185"/>
      <c r="C414" s="185"/>
      <c r="D414" s="185"/>
      <c r="E414" s="185"/>
      <c r="F414" s="185"/>
      <c r="G414" s="20">
        <v>4800</v>
      </c>
      <c r="H414" s="1" t="s">
        <v>15</v>
      </c>
      <c r="I414" s="1"/>
      <c r="J414" s="32"/>
      <c r="K414" s="1"/>
      <c r="L414" s="1"/>
      <c r="M414" s="1"/>
      <c r="N414" s="1"/>
    </row>
    <row r="415" spans="1:14" ht="18" customHeight="1">
      <c r="A415" s="42" t="s">
        <v>1</v>
      </c>
      <c r="B415" s="82"/>
      <c r="C415" s="83">
        <v>0</v>
      </c>
      <c r="D415" s="84">
        <v>0.6</v>
      </c>
      <c r="E415" s="84">
        <v>0.7</v>
      </c>
      <c r="F415" s="85">
        <v>1.7</v>
      </c>
      <c r="G415" s="85">
        <v>2.7</v>
      </c>
      <c r="H415" s="84">
        <v>2.8</v>
      </c>
      <c r="I415" s="52">
        <v>3.5</v>
      </c>
      <c r="J415" s="52"/>
      <c r="K415" s="84"/>
      <c r="L415" s="86"/>
      <c r="M415" s="45"/>
      <c r="N415" s="47"/>
    </row>
    <row r="416" spans="1:14" ht="18" customHeight="1">
      <c r="A416" s="42" t="s">
        <v>2</v>
      </c>
      <c r="B416" s="82"/>
      <c r="C416" s="83">
        <v>99.21</v>
      </c>
      <c r="D416" s="84">
        <v>95.9</v>
      </c>
      <c r="E416" s="84">
        <v>95.9</v>
      </c>
      <c r="F416" s="84">
        <v>95.9</v>
      </c>
      <c r="G416" s="84">
        <v>95.9</v>
      </c>
      <c r="H416" s="84">
        <v>95.9</v>
      </c>
      <c r="I416" s="84">
        <v>99.36</v>
      </c>
      <c r="J416" s="84"/>
      <c r="K416" s="84"/>
      <c r="L416" s="86"/>
      <c r="M416" s="45"/>
      <c r="N416" s="47"/>
    </row>
    <row r="417" spans="1:14" ht="18" customHeight="1">
      <c r="A417" s="42" t="s">
        <v>1</v>
      </c>
      <c r="B417" s="82"/>
      <c r="C417" s="83">
        <v>0</v>
      </c>
      <c r="D417" s="84">
        <v>0.6</v>
      </c>
      <c r="E417" s="84">
        <v>0.7</v>
      </c>
      <c r="F417" s="85">
        <v>1.7</v>
      </c>
      <c r="G417" s="85">
        <v>2.7</v>
      </c>
      <c r="H417" s="84">
        <v>2.8</v>
      </c>
      <c r="I417" s="52">
        <v>3.5</v>
      </c>
      <c r="J417" s="52"/>
      <c r="K417" s="84"/>
      <c r="L417" s="86"/>
      <c r="M417" s="45"/>
      <c r="N417" s="47"/>
    </row>
    <row r="418" spans="1:14" ht="18" customHeight="1">
      <c r="A418" s="42" t="s">
        <v>3</v>
      </c>
      <c r="B418" s="87"/>
      <c r="C418" s="83">
        <v>99.21</v>
      </c>
      <c r="D418" s="84">
        <v>97.11</v>
      </c>
      <c r="E418" s="84">
        <v>96.41</v>
      </c>
      <c r="F418" s="84">
        <v>96.41</v>
      </c>
      <c r="G418" s="84">
        <v>96.41</v>
      </c>
      <c r="H418" s="84">
        <v>96.866</v>
      </c>
      <c r="I418" s="84">
        <v>99.36</v>
      </c>
      <c r="J418" s="84"/>
      <c r="K418" s="84"/>
      <c r="L418" s="86"/>
      <c r="M418" s="45"/>
      <c r="N418" s="52"/>
    </row>
    <row r="419" spans="1:14" ht="18" customHeight="1">
      <c r="A419" s="42" t="s">
        <v>18</v>
      </c>
      <c r="B419" s="87"/>
      <c r="C419" s="52">
        <f t="shared" ref="C419" si="44">C416-C418</f>
        <v>0</v>
      </c>
      <c r="D419" s="52">
        <f>D418-D416</f>
        <v>1.2099999999999937</v>
      </c>
      <c r="E419" s="52">
        <f t="shared" ref="E419:I419" si="45">E418-E416</f>
        <v>0.50999999999999091</v>
      </c>
      <c r="F419" s="52">
        <f t="shared" si="45"/>
        <v>0.50999999999999091</v>
      </c>
      <c r="G419" s="52">
        <f t="shared" si="45"/>
        <v>0.50999999999999091</v>
      </c>
      <c r="H419" s="52">
        <f t="shared" si="45"/>
        <v>0.96599999999999397</v>
      </c>
      <c r="I419" s="52">
        <f t="shared" si="45"/>
        <v>0</v>
      </c>
      <c r="J419" s="52"/>
      <c r="K419" s="52"/>
      <c r="L419" s="52"/>
      <c r="M419" s="47"/>
      <c r="N419" s="47"/>
    </row>
    <row r="420" spans="1:14" ht="18" customHeight="1">
      <c r="A420" s="42" t="s">
        <v>5</v>
      </c>
      <c r="B420" s="87"/>
      <c r="C420" s="52">
        <f t="shared" ref="C420" si="46">(C419+B419)/2*(C415-B415)</f>
        <v>0</v>
      </c>
      <c r="D420" s="52">
        <f>(D419+C419)/2*(D415-C415)</f>
        <v>0.3629999999999981</v>
      </c>
      <c r="E420" s="52">
        <f t="shared" ref="E420:I420" si="47">(E419+D419)/2*(E415-D415)</f>
        <v>8.5999999999999216E-2</v>
      </c>
      <c r="F420" s="52">
        <f t="shared" si="47"/>
        <v>0.50999999999999091</v>
      </c>
      <c r="G420" s="52">
        <f t="shared" si="47"/>
        <v>0.50999999999999102</v>
      </c>
      <c r="H420" s="52">
        <f t="shared" si="47"/>
        <v>7.3799999999998978E-2</v>
      </c>
      <c r="I420" s="52">
        <f t="shared" si="47"/>
        <v>0.33809999999999796</v>
      </c>
      <c r="J420" s="52"/>
      <c r="K420" s="52"/>
      <c r="L420" s="52"/>
      <c r="M420" s="47"/>
      <c r="N420" s="77">
        <f>SUM(B420:M420)</f>
        <v>1.880899999999976</v>
      </c>
    </row>
    <row r="421" spans="1:14" ht="18" customHeight="1">
      <c r="A421" s="2"/>
      <c r="B421" s="2"/>
      <c r="C421" s="30"/>
      <c r="D421" s="30"/>
      <c r="E421" s="4"/>
      <c r="F421" s="4"/>
      <c r="G421" s="4"/>
      <c r="H421" s="4"/>
      <c r="I421" s="4"/>
      <c r="J421" s="179" t="s">
        <v>6</v>
      </c>
      <c r="K421" s="179"/>
      <c r="L421" s="179"/>
      <c r="M421" s="179"/>
      <c r="N421" s="109">
        <f>N420</f>
        <v>1.880899999999976</v>
      </c>
    </row>
    <row r="422" spans="1:14" ht="18" customHeight="1">
      <c r="A422" s="24"/>
      <c r="B422" s="78"/>
      <c r="C422" s="18"/>
      <c r="D422" s="18"/>
      <c r="E422" s="21"/>
      <c r="F422" s="21"/>
      <c r="G422" s="21"/>
      <c r="H422" s="21"/>
      <c r="I422" s="21"/>
      <c r="J422" s="21"/>
      <c r="K422" s="21"/>
      <c r="L422" s="21"/>
      <c r="M422" s="21"/>
      <c r="N422" s="21"/>
    </row>
    <row r="423" spans="1:14" ht="14.1" customHeight="1">
      <c r="A423" s="2"/>
      <c r="B423" s="2"/>
      <c r="C423" s="30"/>
      <c r="D423" s="30"/>
      <c r="E423" s="21"/>
      <c r="F423" s="21"/>
      <c r="G423" s="21"/>
      <c r="H423" s="21"/>
      <c r="I423" s="21"/>
      <c r="J423" s="30"/>
      <c r="K423" s="30"/>
      <c r="L423" s="30"/>
      <c r="M423" s="30"/>
      <c r="N423" s="30"/>
    </row>
    <row r="424" spans="1:14" ht="14.1" customHeight="1">
      <c r="A424" s="6"/>
      <c r="B424" s="6"/>
      <c r="C424" s="7"/>
      <c r="D424" s="7"/>
      <c r="E424" s="7"/>
      <c r="F424" s="7"/>
      <c r="G424" s="7"/>
      <c r="H424" s="7"/>
      <c r="I424" s="7"/>
      <c r="K424" s="7"/>
      <c r="L424" s="7"/>
      <c r="M424" s="7"/>
      <c r="N424" s="7"/>
    </row>
    <row r="425" spans="1:14" ht="14.1" customHeight="1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</row>
    <row r="426" spans="1:14" ht="14.1" customHeight="1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</row>
    <row r="427" spans="1:14" ht="14.1" customHeight="1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</row>
    <row r="428" spans="1:14" ht="14.1" customHeight="1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</row>
    <row r="429" spans="1:14" ht="14.1" customHeight="1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</row>
    <row r="430" spans="1:14" ht="14.1" customHeight="1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</row>
    <row r="431" spans="1:14" ht="14.1" customHeight="1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</row>
    <row r="432" spans="1:14" ht="14.1" customHeight="1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</row>
    <row r="433" spans="1:14" ht="14.1" customHeight="1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</row>
    <row r="434" spans="1:14" ht="14.1" customHeight="1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</row>
    <row r="435" spans="1:14" ht="14.1" customHeight="1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</row>
    <row r="436" spans="1:14" ht="14.1" customHeight="1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</row>
    <row r="437" spans="1:14" ht="14.1" customHeight="1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</row>
    <row r="438" spans="1:14" ht="14.1" customHeight="1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</row>
    <row r="439" spans="1:14" ht="14.1" customHeight="1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</row>
    <row r="440" spans="1:14" ht="14.1" customHeight="1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</row>
    <row r="441" spans="1:14" ht="14.1" customHeight="1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</row>
    <row r="442" spans="1:14" ht="14.1" customHeight="1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</row>
    <row r="443" spans="1:14" ht="14.1" customHeight="1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</row>
    <row r="444" spans="1:14" ht="14.1" customHeight="1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</row>
    <row r="445" spans="1:14" ht="14.1" customHeight="1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</row>
    <row r="446" spans="1:14" ht="14.1" customHeight="1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</row>
    <row r="447" spans="1:14" ht="14.1" customHeight="1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</row>
    <row r="448" spans="1:14" ht="14.1" customHeight="1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</row>
    <row r="449" spans="1:15" ht="14.1" customHeight="1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</row>
    <row r="450" spans="1:15" ht="14.1" customHeight="1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</row>
    <row r="451" spans="1:15" ht="14.1" customHeight="1">
      <c r="B451" s="181"/>
      <c r="C451" s="181"/>
      <c r="D451" s="181"/>
      <c r="E451" s="25"/>
      <c r="F451" s="25"/>
      <c r="G451" s="167"/>
      <c r="H451" s="167"/>
      <c r="I451" s="167"/>
      <c r="J451" s="7"/>
      <c r="K451" s="182"/>
      <c r="L451" s="182"/>
    </row>
    <row r="452" spans="1:15" ht="14.1" customHeight="1">
      <c r="B452" s="170"/>
      <c r="C452" s="170"/>
      <c r="D452" s="170"/>
      <c r="E452" s="26"/>
      <c r="F452" s="26"/>
      <c r="G452" s="170"/>
      <c r="H452" s="170"/>
      <c r="I452" s="170"/>
      <c r="J452" s="25"/>
      <c r="K452" s="171"/>
      <c r="L452" s="171"/>
    </row>
    <row r="453" spans="1:15" ht="14.1" customHeight="1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</row>
    <row r="454" spans="1:15" ht="14.1" customHeight="1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</row>
    <row r="455" spans="1:15" ht="14.1" customHeight="1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</row>
    <row r="456" spans="1:15" ht="14.1" customHeight="1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</row>
    <row r="457" spans="1:15" ht="14.1" customHeight="1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</row>
    <row r="458" spans="1:15" ht="14.1" customHeight="1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</row>
    <row r="459" spans="1:15" ht="14.1" customHeight="1"/>
    <row r="460" spans="1:15" ht="14.1" customHeight="1"/>
    <row r="461" spans="1:15" ht="14.1" customHeight="1"/>
    <row r="462" spans="1:15" ht="14.1" customHeight="1"/>
    <row r="463" spans="1:15" ht="18" customHeight="1">
      <c r="A463" s="184" t="s">
        <v>0</v>
      </c>
      <c r="B463" s="185"/>
      <c r="C463" s="185"/>
      <c r="D463" s="185"/>
      <c r="E463" s="185"/>
      <c r="F463" s="185"/>
      <c r="G463" s="20">
        <v>4860</v>
      </c>
      <c r="H463" s="1" t="s">
        <v>15</v>
      </c>
      <c r="I463" s="1"/>
      <c r="J463" s="33"/>
      <c r="K463" s="1"/>
      <c r="L463" s="1"/>
      <c r="M463" s="1"/>
      <c r="N463" s="1"/>
    </row>
    <row r="464" spans="1:15" ht="18" customHeight="1">
      <c r="A464" s="42" t="s">
        <v>1</v>
      </c>
      <c r="B464" s="82"/>
      <c r="C464" s="83">
        <v>0</v>
      </c>
      <c r="D464" s="84">
        <v>0.6</v>
      </c>
      <c r="E464" s="84">
        <v>0.7</v>
      </c>
      <c r="F464" s="85">
        <v>1.7</v>
      </c>
      <c r="G464" s="85">
        <v>2.7</v>
      </c>
      <c r="H464" s="84">
        <v>2.8</v>
      </c>
      <c r="I464" s="52">
        <v>3.6</v>
      </c>
      <c r="J464" s="52"/>
      <c r="K464" s="84"/>
      <c r="L464" s="86"/>
      <c r="M464" s="45"/>
      <c r="N464" s="47"/>
      <c r="O464" s="22"/>
    </row>
    <row r="465" spans="1:15" ht="18" customHeight="1">
      <c r="A465" s="42" t="s">
        <v>2</v>
      </c>
      <c r="B465" s="82"/>
      <c r="C465" s="83">
        <v>98.34</v>
      </c>
      <c r="D465" s="84">
        <v>95.9</v>
      </c>
      <c r="E465" s="84">
        <v>95.9</v>
      </c>
      <c r="F465" s="84">
        <v>95.9</v>
      </c>
      <c r="G465" s="84">
        <v>95.9</v>
      </c>
      <c r="H465" s="84">
        <v>95.9</v>
      </c>
      <c r="I465" s="84">
        <v>98.52</v>
      </c>
      <c r="J465" s="84"/>
      <c r="K465" s="84"/>
      <c r="L465" s="86"/>
      <c r="M465" s="45"/>
      <c r="N465" s="47"/>
      <c r="O465" s="21"/>
    </row>
    <row r="466" spans="1:15" ht="18" customHeight="1">
      <c r="A466" s="42" t="s">
        <v>1</v>
      </c>
      <c r="B466" s="82"/>
      <c r="C466" s="83">
        <v>0</v>
      </c>
      <c r="D466" s="84">
        <v>0.6</v>
      </c>
      <c r="E466" s="84">
        <v>0.7</v>
      </c>
      <c r="F466" s="85">
        <v>1.7</v>
      </c>
      <c r="G466" s="85">
        <v>2.7</v>
      </c>
      <c r="H466" s="84">
        <v>2.8</v>
      </c>
      <c r="I466" s="52">
        <v>3.6</v>
      </c>
      <c r="J466" s="52"/>
      <c r="K466" s="84"/>
      <c r="L466" s="86"/>
      <c r="M466" s="45"/>
      <c r="N466" s="47"/>
      <c r="O466" s="22"/>
    </row>
    <row r="467" spans="1:15" ht="18" customHeight="1">
      <c r="A467" s="42" t="s">
        <v>3</v>
      </c>
      <c r="B467" s="87"/>
      <c r="C467" s="83">
        <v>98.34</v>
      </c>
      <c r="D467" s="84">
        <v>96.626000000000005</v>
      </c>
      <c r="E467" s="84">
        <v>96.34</v>
      </c>
      <c r="F467" s="84">
        <v>96.34</v>
      </c>
      <c r="G467" s="84">
        <v>96.34</v>
      </c>
      <c r="H467" s="84">
        <v>96.581999999999994</v>
      </c>
      <c r="I467" s="84">
        <v>98.52</v>
      </c>
      <c r="J467" s="84"/>
      <c r="K467" s="84"/>
      <c r="L467" s="86"/>
      <c r="M467" s="45"/>
      <c r="N467" s="52"/>
      <c r="O467" s="23"/>
    </row>
    <row r="468" spans="1:15" ht="18" customHeight="1">
      <c r="A468" s="42" t="s">
        <v>18</v>
      </c>
      <c r="B468" s="87"/>
      <c r="C468" s="52">
        <f t="shared" ref="C468" si="48">C465-C467</f>
        <v>0</v>
      </c>
      <c r="D468" s="52">
        <f>D467-D465</f>
        <v>0.72599999999999909</v>
      </c>
      <c r="E468" s="52">
        <f t="shared" ref="E468:I468" si="49">E467-E465</f>
        <v>0.43999999999999773</v>
      </c>
      <c r="F468" s="52">
        <f t="shared" si="49"/>
        <v>0.43999999999999773</v>
      </c>
      <c r="G468" s="52">
        <f t="shared" si="49"/>
        <v>0.43999999999999773</v>
      </c>
      <c r="H468" s="52">
        <f t="shared" si="49"/>
        <v>0.68199999999998795</v>
      </c>
      <c r="I468" s="52">
        <f t="shared" si="49"/>
        <v>0</v>
      </c>
      <c r="J468" s="52"/>
      <c r="K468" s="52"/>
      <c r="L468" s="52"/>
      <c r="M468" s="47"/>
      <c r="N468" s="47"/>
      <c r="O468" s="21"/>
    </row>
    <row r="469" spans="1:15" ht="18" customHeight="1">
      <c r="A469" s="42" t="s">
        <v>5</v>
      </c>
      <c r="B469" s="87"/>
      <c r="C469" s="52">
        <f t="shared" ref="C469" si="50">(C468+B468)/2*(C464-B464)</f>
        <v>0</v>
      </c>
      <c r="D469" s="52">
        <f>(D468+C468)/2*(D464-C464)</f>
        <v>0.21779999999999972</v>
      </c>
      <c r="E469" s="52">
        <f t="shared" ref="E469:I469" si="51">(E468+D468)/2*(E464-D464)</f>
        <v>5.8299999999999831E-2</v>
      </c>
      <c r="F469" s="52">
        <f t="shared" si="51"/>
        <v>0.43999999999999773</v>
      </c>
      <c r="G469" s="52">
        <f t="shared" si="51"/>
        <v>0.43999999999999784</v>
      </c>
      <c r="H469" s="52">
        <f t="shared" si="51"/>
        <v>5.6099999999999081E-2</v>
      </c>
      <c r="I469" s="52">
        <f t="shared" si="51"/>
        <v>0.27279999999999527</v>
      </c>
      <c r="J469" s="52"/>
      <c r="K469" s="52"/>
      <c r="L469" s="52"/>
      <c r="M469" s="47"/>
      <c r="N469" s="77">
        <f>SUM(B469:M469)</f>
        <v>1.4849999999999894</v>
      </c>
      <c r="O469" s="21"/>
    </row>
    <row r="470" spans="1:15" ht="18" customHeight="1">
      <c r="A470" s="2"/>
      <c r="B470" s="2"/>
      <c r="C470" s="30"/>
      <c r="D470" s="30"/>
      <c r="E470" s="4"/>
      <c r="F470" s="4"/>
      <c r="G470" s="4"/>
      <c r="H470" s="4"/>
      <c r="I470" s="4"/>
      <c r="J470" s="179" t="s">
        <v>6</v>
      </c>
      <c r="K470" s="179"/>
      <c r="L470" s="179"/>
      <c r="M470" s="179"/>
      <c r="N470" s="109">
        <f>N469</f>
        <v>1.4849999999999894</v>
      </c>
      <c r="O470" s="21"/>
    </row>
    <row r="471" spans="1:15" ht="18" customHeight="1">
      <c r="A471" s="24"/>
      <c r="B471" s="78"/>
      <c r="C471" s="18"/>
      <c r="D471" s="18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</row>
    <row r="472" spans="1:15" ht="14.1" customHeight="1">
      <c r="A472" s="2"/>
      <c r="B472" s="2"/>
      <c r="C472" s="30"/>
      <c r="D472" s="30"/>
      <c r="E472" s="21"/>
      <c r="F472" s="21"/>
      <c r="G472" s="21"/>
      <c r="H472" s="21"/>
      <c r="I472" s="21"/>
      <c r="J472" s="30"/>
      <c r="K472" s="30"/>
      <c r="L472" s="30"/>
      <c r="M472" s="30"/>
      <c r="N472" s="30"/>
    </row>
    <row r="473" spans="1:15" ht="14.1" customHeight="1">
      <c r="A473" s="6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</row>
    <row r="474" spans="1:15" ht="14.1" customHeight="1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</row>
    <row r="475" spans="1:15" ht="14.1" customHeight="1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</row>
    <row r="476" spans="1:15" ht="14.1" customHeight="1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</row>
    <row r="477" spans="1:15" ht="14.1" customHeight="1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</row>
    <row r="478" spans="1:15" ht="14.1" customHeight="1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</row>
    <row r="479" spans="1:15" ht="14.1" customHeight="1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</row>
    <row r="480" spans="1:15" ht="14.1" customHeight="1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</row>
    <row r="481" spans="1:14" ht="14.1" customHeight="1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</row>
    <row r="482" spans="1:14" ht="14.1" customHeight="1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</row>
    <row r="483" spans="1:14" ht="14.1" customHeight="1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</row>
    <row r="484" spans="1:14" ht="14.1" customHeight="1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</row>
    <row r="485" spans="1:14" ht="14.1" customHeight="1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</row>
    <row r="486" spans="1:14" ht="14.1" customHeight="1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</row>
    <row r="487" spans="1:14" ht="14.1" customHeight="1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</row>
    <row r="488" spans="1:14" ht="14.1" customHeight="1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</row>
    <row r="489" spans="1:14" ht="14.1" customHeight="1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</row>
    <row r="490" spans="1:14" ht="14.1" customHeight="1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</row>
    <row r="491" spans="1:14" ht="14.1" customHeight="1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</row>
    <row r="492" spans="1:14" ht="14.1" customHeight="1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</row>
    <row r="493" spans="1:14" ht="14.1" customHeight="1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</row>
    <row r="494" spans="1:14" ht="14.1" customHeight="1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</row>
    <row r="495" spans="1:14" ht="14.1" customHeight="1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</row>
    <row r="496" spans="1:14" ht="14.1" customHeight="1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</row>
    <row r="497" spans="1:16" ht="14.1" customHeight="1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</row>
    <row r="498" spans="1:16" ht="18.75" customHeight="1">
      <c r="A498" s="184" t="s">
        <v>0</v>
      </c>
      <c r="B498" s="185"/>
      <c r="C498" s="185"/>
      <c r="D498" s="185"/>
      <c r="E498" s="185"/>
      <c r="F498" s="185"/>
      <c r="G498" s="20">
        <v>4920</v>
      </c>
      <c r="H498" s="1" t="s">
        <v>15</v>
      </c>
      <c r="I498" s="1"/>
      <c r="J498" s="32"/>
      <c r="K498" s="1"/>
      <c r="L498" s="1"/>
      <c r="M498" s="1"/>
      <c r="N498" s="1"/>
    </row>
    <row r="499" spans="1:16" ht="18.75" customHeight="1">
      <c r="A499" s="42" t="s">
        <v>1</v>
      </c>
      <c r="B499" s="82"/>
      <c r="C499" s="83">
        <v>0</v>
      </c>
      <c r="D499" s="84">
        <v>0.6</v>
      </c>
      <c r="E499" s="84">
        <v>0.7</v>
      </c>
      <c r="F499" s="85">
        <v>1.7</v>
      </c>
      <c r="G499" s="85">
        <v>2.7</v>
      </c>
      <c r="H499" s="84">
        <v>2.8</v>
      </c>
      <c r="I499" s="52">
        <v>3.5</v>
      </c>
      <c r="J499" s="52"/>
      <c r="K499" s="84"/>
      <c r="L499" s="86"/>
      <c r="M499" s="45"/>
      <c r="N499" s="47"/>
      <c r="O499" s="22"/>
      <c r="P499" s="22"/>
    </row>
    <row r="500" spans="1:16" ht="18.75" customHeight="1">
      <c r="A500" s="42" t="s">
        <v>2</v>
      </c>
      <c r="B500" s="82"/>
      <c r="C500" s="83">
        <v>98.89</v>
      </c>
      <c r="D500" s="84">
        <v>95.9</v>
      </c>
      <c r="E500" s="84">
        <v>95.9</v>
      </c>
      <c r="F500" s="84">
        <v>95.9</v>
      </c>
      <c r="G500" s="84">
        <v>95.9</v>
      </c>
      <c r="H500" s="84">
        <v>95.9</v>
      </c>
      <c r="I500" s="84">
        <v>99.06</v>
      </c>
      <c r="J500" s="84"/>
      <c r="K500" s="84"/>
      <c r="L500" s="86"/>
      <c r="M500" s="45"/>
      <c r="N500" s="47"/>
      <c r="O500" s="21"/>
      <c r="P500" s="21"/>
    </row>
    <row r="501" spans="1:16" ht="18.75" customHeight="1">
      <c r="A501" s="42" t="s">
        <v>1</v>
      </c>
      <c r="B501" s="82"/>
      <c r="C501" s="83">
        <v>0</v>
      </c>
      <c r="D501" s="84">
        <v>0.6</v>
      </c>
      <c r="E501" s="84">
        <v>0.7</v>
      </c>
      <c r="F501" s="85">
        <v>1.7</v>
      </c>
      <c r="G501" s="85">
        <v>2.7</v>
      </c>
      <c r="H501" s="84">
        <v>2.8</v>
      </c>
      <c r="I501" s="52">
        <v>3.5</v>
      </c>
      <c r="J501" s="52"/>
      <c r="K501" s="84"/>
      <c r="L501" s="86"/>
      <c r="M501" s="45"/>
      <c r="N501" s="47"/>
      <c r="O501" s="22"/>
      <c r="P501" s="22"/>
    </row>
    <row r="502" spans="1:16" ht="18.75" customHeight="1">
      <c r="A502" s="42" t="s">
        <v>3</v>
      </c>
      <c r="B502" s="87"/>
      <c r="C502" s="83">
        <v>98.89</v>
      </c>
      <c r="D502" s="84">
        <v>97.34</v>
      </c>
      <c r="E502" s="84">
        <v>96.35</v>
      </c>
      <c r="F502" s="84">
        <v>96.35</v>
      </c>
      <c r="G502" s="84">
        <v>96.35</v>
      </c>
      <c r="H502" s="84">
        <v>96.951999999999998</v>
      </c>
      <c r="I502" s="84">
        <v>99.06</v>
      </c>
      <c r="J502" s="84"/>
      <c r="K502" s="84"/>
      <c r="L502" s="86"/>
      <c r="M502" s="45"/>
      <c r="N502" s="52"/>
      <c r="O502" s="23"/>
      <c r="P502" s="23"/>
    </row>
    <row r="503" spans="1:16" ht="18.75" customHeight="1">
      <c r="A503" s="42" t="s">
        <v>18</v>
      </c>
      <c r="B503" s="87"/>
      <c r="C503" s="52">
        <f t="shared" ref="C503" si="52">C500-C502</f>
        <v>0</v>
      </c>
      <c r="D503" s="52">
        <f>D502-D500</f>
        <v>1.4399999999999977</v>
      </c>
      <c r="E503" s="52">
        <f t="shared" ref="E503:I503" si="53">E502-E500</f>
        <v>0.44999999999998863</v>
      </c>
      <c r="F503" s="52">
        <f t="shared" si="53"/>
        <v>0.44999999999998863</v>
      </c>
      <c r="G503" s="52">
        <f t="shared" si="53"/>
        <v>0.44999999999998863</v>
      </c>
      <c r="H503" s="52">
        <f t="shared" si="53"/>
        <v>1.0519999999999925</v>
      </c>
      <c r="I503" s="52">
        <f t="shared" si="53"/>
        <v>0</v>
      </c>
      <c r="J503" s="52"/>
      <c r="K503" s="52"/>
      <c r="L503" s="52"/>
      <c r="M503" s="47"/>
      <c r="N503" s="47"/>
      <c r="O503" s="21"/>
      <c r="P503" s="21"/>
    </row>
    <row r="504" spans="1:16" ht="18.75" customHeight="1">
      <c r="A504" s="42" t="s">
        <v>5</v>
      </c>
      <c r="B504" s="87"/>
      <c r="C504" s="52">
        <f t="shared" ref="C504" si="54">(C503+B503)/2*(C499-B499)</f>
        <v>0</v>
      </c>
      <c r="D504" s="52">
        <f>(D503+C503)/2*(D499-C499)</f>
        <v>0.43199999999999933</v>
      </c>
      <c r="E504" s="52">
        <f t="shared" ref="E504:I504" si="55">(E503+D503)/2*(E499-D499)</f>
        <v>9.4499999999999293E-2</v>
      </c>
      <c r="F504" s="52">
        <f t="shared" si="55"/>
        <v>0.44999999999998863</v>
      </c>
      <c r="G504" s="52">
        <f t="shared" si="55"/>
        <v>0.44999999999998874</v>
      </c>
      <c r="H504" s="52">
        <f t="shared" si="55"/>
        <v>7.5099999999998793E-2</v>
      </c>
      <c r="I504" s="52">
        <f t="shared" si="55"/>
        <v>0.36819999999999747</v>
      </c>
      <c r="J504" s="52"/>
      <c r="K504" s="52"/>
      <c r="L504" s="52"/>
      <c r="M504" s="47"/>
      <c r="N504" s="77">
        <f>SUM(B504:M504)</f>
        <v>1.8697999999999722</v>
      </c>
      <c r="O504" s="21"/>
      <c r="P504" s="21"/>
    </row>
    <row r="505" spans="1:16" ht="18.75" customHeight="1">
      <c r="A505" s="2"/>
      <c r="B505" s="2"/>
      <c r="C505" s="30"/>
      <c r="D505" s="30"/>
      <c r="E505" s="4"/>
      <c r="F505" s="4"/>
      <c r="G505" s="4"/>
      <c r="H505" s="4"/>
      <c r="I505" s="4"/>
      <c r="J505" s="179" t="s">
        <v>6</v>
      </c>
      <c r="K505" s="179"/>
      <c r="L505" s="179"/>
      <c r="M505" s="179"/>
      <c r="N505" s="109">
        <f>N504</f>
        <v>1.8697999999999722</v>
      </c>
      <c r="O505" s="21"/>
      <c r="P505" s="21"/>
    </row>
    <row r="506" spans="1:16" ht="18.75" customHeight="1">
      <c r="A506" s="24"/>
      <c r="B506" s="78"/>
      <c r="C506" s="18"/>
      <c r="D506" s="18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31"/>
      <c r="P506" s="21"/>
    </row>
    <row r="507" spans="1:16" ht="18.75" customHeight="1">
      <c r="A507" s="2"/>
      <c r="B507" s="2"/>
      <c r="C507" s="30"/>
      <c r="D507" s="30"/>
      <c r="E507" s="21"/>
      <c r="F507" s="21"/>
      <c r="G507" s="21"/>
      <c r="H507" s="21"/>
      <c r="I507" s="21"/>
      <c r="J507" s="30"/>
      <c r="K507" s="30"/>
      <c r="L507" s="30"/>
      <c r="M507" s="30"/>
      <c r="N507" s="30"/>
    </row>
    <row r="508" spans="1:16" ht="14.1" customHeight="1">
      <c r="A508" s="6"/>
      <c r="B508" s="6"/>
      <c r="C508" s="7"/>
      <c r="D508" s="7"/>
      <c r="E508" s="7"/>
      <c r="F508" s="7"/>
      <c r="G508" s="7"/>
      <c r="H508" s="7"/>
      <c r="I508" s="7"/>
      <c r="K508" s="7"/>
      <c r="L508" s="7"/>
      <c r="M508" s="7"/>
      <c r="N508" s="7"/>
    </row>
    <row r="509" spans="1:16" ht="14.1" customHeight="1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</row>
    <row r="510" spans="1:16" ht="14.1" customHeight="1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</row>
    <row r="511" spans="1:16" ht="14.1" customHeight="1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</row>
    <row r="512" spans="1:16" ht="14.1" customHeight="1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</row>
    <row r="513" spans="1:14" ht="14.1" customHeight="1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</row>
    <row r="514" spans="1:14" ht="14.1" customHeight="1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</row>
    <row r="515" spans="1:14" ht="14.1" customHeight="1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</row>
    <row r="516" spans="1:14" ht="14.1" customHeight="1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</row>
    <row r="517" spans="1:14" ht="14.1" customHeight="1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</row>
    <row r="518" spans="1:14" ht="14.1" customHeight="1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</row>
    <row r="519" spans="1:14" ht="14.1" customHeight="1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</row>
    <row r="520" spans="1:14" ht="14.1" customHeight="1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</row>
    <row r="521" spans="1:14" ht="14.1" customHeight="1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</row>
    <row r="522" spans="1:14" ht="14.1" customHeight="1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</row>
    <row r="523" spans="1:14" ht="14.1" customHeight="1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</row>
    <row r="524" spans="1:14" ht="14.1" customHeight="1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</row>
    <row r="525" spans="1:14" ht="14.1" customHeight="1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</row>
    <row r="526" spans="1:14" ht="14.1" customHeight="1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</row>
    <row r="527" spans="1:14" ht="14.1" customHeight="1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</row>
    <row r="528" spans="1:14" ht="14.1" customHeight="1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</row>
    <row r="529" spans="1:16" ht="14.1" customHeight="1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</row>
    <row r="530" spans="1:16" ht="14.1" customHeight="1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</row>
    <row r="531" spans="1:16" ht="14.1" customHeight="1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</row>
    <row r="532" spans="1:16" ht="14.1" customHeight="1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</row>
    <row r="533" spans="1:16" ht="14.1" customHeight="1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</row>
    <row r="534" spans="1:16" ht="14.1" customHeight="1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</row>
    <row r="535" spans="1:16" ht="14.1" customHeight="1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</row>
    <row r="536" spans="1:16" ht="14.1" customHeight="1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</row>
    <row r="537" spans="1:16" ht="14.1" customHeight="1">
      <c r="B537" s="181"/>
      <c r="C537" s="181"/>
      <c r="D537" s="181"/>
      <c r="E537" s="25"/>
      <c r="F537" s="25"/>
      <c r="G537" s="167"/>
      <c r="H537" s="167"/>
      <c r="I537" s="167"/>
      <c r="J537" s="7"/>
      <c r="K537" s="182"/>
      <c r="L537" s="182"/>
    </row>
    <row r="538" spans="1:16" ht="14.1" customHeight="1">
      <c r="B538" s="170"/>
      <c r="C538" s="170"/>
      <c r="D538" s="170"/>
      <c r="E538" s="26"/>
      <c r="F538" s="26"/>
      <c r="G538" s="170"/>
      <c r="H538" s="170"/>
      <c r="I538" s="170"/>
      <c r="J538" s="25"/>
      <c r="K538" s="171"/>
      <c r="L538" s="171"/>
    </row>
    <row r="539" spans="1:16" ht="14.1" customHeight="1">
      <c r="A539" s="6"/>
      <c r="B539" s="6"/>
      <c r="C539" s="7"/>
      <c r="D539" s="7"/>
      <c r="E539" s="7"/>
      <c r="F539" s="7"/>
      <c r="G539" s="7"/>
      <c r="H539" s="7"/>
      <c r="I539" s="7"/>
      <c r="J539" s="27"/>
      <c r="K539" s="7"/>
      <c r="L539" s="7"/>
      <c r="M539" s="7"/>
      <c r="N539" s="7"/>
    </row>
    <row r="540" spans="1:16" ht="14.1" customHeight="1">
      <c r="A540" s="6"/>
      <c r="B540" s="6"/>
      <c r="C540" s="7"/>
      <c r="D540" s="7"/>
      <c r="E540" s="7"/>
      <c r="F540" s="7"/>
      <c r="G540" s="7"/>
      <c r="H540" s="7"/>
      <c r="I540" s="7"/>
      <c r="J540" s="27"/>
      <c r="K540" s="7"/>
      <c r="L540" s="7"/>
      <c r="M540" s="7"/>
      <c r="N540" s="7"/>
    </row>
    <row r="541" spans="1:16" ht="14.1" customHeight="1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</row>
    <row r="542" spans="1:16" ht="18" customHeight="1">
      <c r="A542" s="184" t="s">
        <v>0</v>
      </c>
      <c r="B542" s="185"/>
      <c r="C542" s="185"/>
      <c r="D542" s="185"/>
      <c r="E542" s="185"/>
      <c r="F542" s="185"/>
      <c r="G542" s="20">
        <v>4980</v>
      </c>
      <c r="H542" s="1" t="s">
        <v>15</v>
      </c>
      <c r="I542" s="1"/>
      <c r="J542" s="32"/>
      <c r="K542" s="1"/>
      <c r="L542" s="1"/>
      <c r="M542" s="1"/>
      <c r="N542" s="1"/>
    </row>
    <row r="543" spans="1:16" ht="18" customHeight="1">
      <c r="A543" s="42" t="s">
        <v>1</v>
      </c>
      <c r="B543" s="82"/>
      <c r="C543" s="83">
        <v>0</v>
      </c>
      <c r="D543" s="84">
        <v>0.6</v>
      </c>
      <c r="E543" s="84">
        <v>0.7</v>
      </c>
      <c r="F543" s="85">
        <v>1.7</v>
      </c>
      <c r="G543" s="85">
        <v>2.7</v>
      </c>
      <c r="H543" s="84">
        <v>2.8</v>
      </c>
      <c r="I543" s="52">
        <v>3.6</v>
      </c>
      <c r="J543" s="52"/>
      <c r="K543" s="84"/>
      <c r="L543" s="86"/>
      <c r="M543" s="45"/>
      <c r="N543" s="47"/>
      <c r="O543" s="22"/>
      <c r="P543" s="22"/>
    </row>
    <row r="544" spans="1:16" ht="18" customHeight="1">
      <c r="A544" s="42" t="s">
        <v>2</v>
      </c>
      <c r="B544" s="82"/>
      <c r="C544" s="83">
        <v>96.6</v>
      </c>
      <c r="D544" s="84">
        <v>95.66</v>
      </c>
      <c r="E544" s="84">
        <v>95.66</v>
      </c>
      <c r="F544" s="84">
        <v>95.66</v>
      </c>
      <c r="G544" s="84">
        <v>95.66</v>
      </c>
      <c r="H544" s="84">
        <v>95.66</v>
      </c>
      <c r="I544" s="84">
        <v>96.8</v>
      </c>
      <c r="J544" s="84"/>
      <c r="K544" s="84"/>
      <c r="L544" s="86"/>
      <c r="M544" s="45"/>
      <c r="N544" s="47"/>
      <c r="O544" s="21"/>
      <c r="P544" s="21"/>
    </row>
    <row r="545" spans="1:16" ht="18" customHeight="1">
      <c r="A545" s="42" t="s">
        <v>1</v>
      </c>
      <c r="B545" s="82"/>
      <c r="C545" s="83">
        <v>0</v>
      </c>
      <c r="D545" s="84">
        <v>0.6</v>
      </c>
      <c r="E545" s="84">
        <v>0.7</v>
      </c>
      <c r="F545" s="85">
        <v>1.7</v>
      </c>
      <c r="G545" s="85">
        <v>2.7</v>
      </c>
      <c r="H545" s="84">
        <v>2.8</v>
      </c>
      <c r="I545" s="52">
        <v>3.6</v>
      </c>
      <c r="J545" s="52"/>
      <c r="K545" s="84"/>
      <c r="L545" s="86"/>
      <c r="M545" s="45"/>
      <c r="N545" s="47"/>
      <c r="O545" s="22"/>
      <c r="P545" s="22"/>
    </row>
    <row r="546" spans="1:16" ht="18" customHeight="1">
      <c r="A546" s="42" t="s">
        <v>3</v>
      </c>
      <c r="B546" s="87"/>
      <c r="C546" s="83">
        <v>96.6</v>
      </c>
      <c r="D546" s="84">
        <v>96.153999999999996</v>
      </c>
      <c r="E546" s="84">
        <v>96.08</v>
      </c>
      <c r="F546" s="84">
        <v>96.08</v>
      </c>
      <c r="G546" s="84">
        <v>96.08</v>
      </c>
      <c r="H546" s="84">
        <v>96.16</v>
      </c>
      <c r="I546" s="84">
        <v>96.8</v>
      </c>
      <c r="J546" s="84"/>
      <c r="K546" s="84"/>
      <c r="L546" s="86"/>
      <c r="M546" s="45"/>
      <c r="N546" s="52"/>
      <c r="O546" s="23"/>
      <c r="P546" s="23"/>
    </row>
    <row r="547" spans="1:16" ht="18" customHeight="1">
      <c r="A547" s="42" t="s">
        <v>18</v>
      </c>
      <c r="B547" s="87"/>
      <c r="C547" s="52">
        <f t="shared" ref="C547" si="56">C544-C546</f>
        <v>0</v>
      </c>
      <c r="D547" s="52">
        <f>D546-D544</f>
        <v>0.49399999999999977</v>
      </c>
      <c r="E547" s="52">
        <f t="shared" ref="E547:I547" si="57">E546-E544</f>
        <v>0.42000000000000171</v>
      </c>
      <c r="F547" s="52">
        <f t="shared" si="57"/>
        <v>0.42000000000000171</v>
      </c>
      <c r="G547" s="52">
        <f t="shared" si="57"/>
        <v>0.42000000000000171</v>
      </c>
      <c r="H547" s="52">
        <f t="shared" si="57"/>
        <v>0.5</v>
      </c>
      <c r="I547" s="52">
        <f t="shared" si="57"/>
        <v>0</v>
      </c>
      <c r="J547" s="52"/>
      <c r="K547" s="52"/>
      <c r="L547" s="52"/>
      <c r="M547" s="47"/>
      <c r="N547" s="47"/>
      <c r="O547" s="21"/>
      <c r="P547" s="21"/>
    </row>
    <row r="548" spans="1:16" ht="18" customHeight="1">
      <c r="A548" s="42" t="s">
        <v>5</v>
      </c>
      <c r="B548" s="87"/>
      <c r="C548" s="52">
        <f t="shared" ref="C548" si="58">(C547+B547)/2*(C543-B543)</f>
        <v>0</v>
      </c>
      <c r="D548" s="52">
        <f>(D547+C547)/2*(D543-C543)</f>
        <v>0.14819999999999992</v>
      </c>
      <c r="E548" s="52">
        <f t="shared" ref="E548:I548" si="59">(E547+D547)/2*(E543-D543)</f>
        <v>4.5700000000000067E-2</v>
      </c>
      <c r="F548" s="52">
        <f t="shared" si="59"/>
        <v>0.42000000000000171</v>
      </c>
      <c r="G548" s="52">
        <f t="shared" si="59"/>
        <v>0.42000000000000182</v>
      </c>
      <c r="H548" s="52">
        <f t="shared" si="59"/>
        <v>4.5999999999999923E-2</v>
      </c>
      <c r="I548" s="52">
        <f t="shared" si="59"/>
        <v>0.20000000000000007</v>
      </c>
      <c r="J548" s="52"/>
      <c r="K548" s="52"/>
      <c r="L548" s="52"/>
      <c r="M548" s="47"/>
      <c r="N548" s="77">
        <f>SUM(B548:M548)</f>
        <v>1.2799000000000036</v>
      </c>
      <c r="O548" s="21"/>
      <c r="P548" s="21"/>
    </row>
    <row r="549" spans="1:16" ht="18" customHeight="1">
      <c r="A549" s="2"/>
      <c r="B549" s="2"/>
      <c r="C549" s="30"/>
      <c r="D549" s="30"/>
      <c r="E549" s="4"/>
      <c r="F549" s="4"/>
      <c r="G549" s="4"/>
      <c r="H549" s="4"/>
      <c r="I549" s="4"/>
      <c r="J549" s="179" t="s">
        <v>6</v>
      </c>
      <c r="K549" s="179"/>
      <c r="L549" s="179"/>
      <c r="M549" s="179"/>
      <c r="N549" s="109">
        <f>N548</f>
        <v>1.2799000000000036</v>
      </c>
      <c r="O549" s="21"/>
      <c r="P549" s="21"/>
    </row>
    <row r="550" spans="1:16" ht="18" customHeight="1">
      <c r="A550" s="24"/>
      <c r="B550" s="78"/>
      <c r="C550" s="18"/>
      <c r="D550" s="18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31"/>
      <c r="P550" s="21"/>
    </row>
    <row r="551" spans="1:16" ht="14.1" customHeight="1">
      <c r="A551" s="2"/>
      <c r="B551" s="2"/>
      <c r="C551" s="30"/>
      <c r="D551" s="30"/>
      <c r="E551" s="21"/>
      <c r="F551" s="21"/>
      <c r="G551" s="21"/>
      <c r="H551" s="21"/>
      <c r="I551" s="21"/>
      <c r="J551" s="30"/>
      <c r="K551" s="30"/>
      <c r="L551" s="30"/>
      <c r="M551" s="30"/>
      <c r="N551" s="30"/>
    </row>
    <row r="552" spans="1:16" ht="14.1" customHeight="1">
      <c r="A552" s="2"/>
      <c r="B552" s="2"/>
      <c r="C552" s="30"/>
      <c r="D552" s="30"/>
      <c r="E552" s="4"/>
      <c r="F552" s="4"/>
      <c r="G552" s="4"/>
      <c r="H552" s="4"/>
      <c r="I552" s="4"/>
      <c r="J552" s="30"/>
      <c r="K552" s="30"/>
      <c r="L552" s="30"/>
      <c r="M552" s="30"/>
      <c r="N552" s="30"/>
    </row>
    <row r="553" spans="1:16" ht="14.1" customHeight="1">
      <c r="A553" s="2"/>
      <c r="B553" s="2"/>
      <c r="C553" s="30"/>
      <c r="D553" s="30"/>
      <c r="E553" s="4"/>
      <c r="F553" s="4"/>
      <c r="G553" s="4"/>
      <c r="H553" s="4"/>
      <c r="I553" s="4"/>
      <c r="J553" s="30"/>
      <c r="K553" s="30"/>
      <c r="L553" s="30"/>
      <c r="M553" s="30"/>
      <c r="N553" s="30"/>
    </row>
    <row r="554" spans="1:16" ht="14.1" customHeight="1">
      <c r="A554" s="6"/>
      <c r="B554" s="6"/>
      <c r="C554" s="7"/>
      <c r="D554" s="7"/>
      <c r="E554" s="7"/>
      <c r="F554" s="7"/>
      <c r="G554" s="7"/>
      <c r="H554" s="7"/>
      <c r="I554" s="7"/>
      <c r="K554" s="7"/>
      <c r="L554" s="7"/>
      <c r="M554" s="7"/>
      <c r="N554" s="7"/>
    </row>
    <row r="555" spans="1:16" ht="14.1" customHeight="1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</row>
    <row r="556" spans="1:16" ht="14.1" customHeight="1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</row>
    <row r="557" spans="1:16" ht="14.1" customHeight="1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</row>
    <row r="558" spans="1:16" ht="14.1" customHeight="1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</row>
    <row r="559" spans="1:16" ht="14.1" customHeight="1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</row>
    <row r="560" spans="1:16" ht="14.1" customHeight="1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</row>
    <row r="561" spans="1:14" ht="14.1" customHeight="1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</row>
    <row r="562" spans="1:14" ht="14.1" customHeight="1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</row>
    <row r="563" spans="1:14" ht="14.1" customHeight="1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</row>
    <row r="564" spans="1:14" ht="14.1" customHeight="1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</row>
    <row r="565" spans="1:14" ht="14.1" customHeight="1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</row>
    <row r="566" spans="1:14" ht="14.1" customHeight="1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</row>
    <row r="567" spans="1:14" ht="14.1" customHeight="1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</row>
    <row r="568" spans="1:14" ht="14.1" customHeight="1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</row>
    <row r="569" spans="1:14" ht="14.1" customHeight="1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</row>
    <row r="570" spans="1:14" ht="14.1" customHeight="1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</row>
    <row r="571" spans="1:14" ht="14.1" customHeight="1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</row>
    <row r="572" spans="1:14" ht="14.1" customHeight="1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</row>
    <row r="573" spans="1:14" ht="14.1" customHeight="1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</row>
    <row r="574" spans="1:14" ht="14.1" customHeight="1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</row>
    <row r="575" spans="1:14" ht="14.1" customHeight="1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</row>
    <row r="576" spans="1:14" ht="14.1" customHeight="1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</row>
    <row r="577" spans="1:14" ht="14.1" customHeight="1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</row>
    <row r="578" spans="1:14" ht="14.1" customHeight="1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</row>
    <row r="579" spans="1:14" ht="14.1" customHeight="1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</row>
    <row r="580" spans="1:14" ht="14.1" customHeight="1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</row>
    <row r="581" spans="1:14" ht="18" customHeight="1">
      <c r="A581" s="184" t="s">
        <v>0</v>
      </c>
      <c r="B581" s="185"/>
      <c r="C581" s="185"/>
      <c r="D581" s="185"/>
      <c r="E581" s="185"/>
      <c r="F581" s="185"/>
      <c r="G581" s="20">
        <v>5040</v>
      </c>
      <c r="H581" s="1" t="s">
        <v>15</v>
      </c>
      <c r="I581" s="1"/>
      <c r="J581" s="32"/>
      <c r="K581" s="1"/>
      <c r="L581" s="1"/>
      <c r="M581" s="1"/>
      <c r="N581" s="1"/>
    </row>
    <row r="582" spans="1:14" ht="18" customHeight="1">
      <c r="A582" s="42" t="s">
        <v>1</v>
      </c>
      <c r="B582" s="82"/>
      <c r="C582" s="83">
        <v>0</v>
      </c>
      <c r="D582" s="84">
        <v>0.6</v>
      </c>
      <c r="E582" s="84">
        <v>0.7</v>
      </c>
      <c r="F582" s="85">
        <v>1.7</v>
      </c>
      <c r="G582" s="85">
        <v>2.7</v>
      </c>
      <c r="H582" s="84">
        <v>2.8</v>
      </c>
      <c r="I582" s="52">
        <v>3.5</v>
      </c>
      <c r="J582" s="52"/>
      <c r="K582" s="84"/>
      <c r="L582" s="86"/>
      <c r="M582" s="45"/>
      <c r="N582" s="47"/>
    </row>
    <row r="583" spans="1:14" ht="18" customHeight="1">
      <c r="A583" s="42" t="s">
        <v>2</v>
      </c>
      <c r="B583" s="82"/>
      <c r="C583" s="83">
        <v>96.84</v>
      </c>
      <c r="D583" s="84">
        <v>95.52</v>
      </c>
      <c r="E583" s="84">
        <v>95.52</v>
      </c>
      <c r="F583" s="84">
        <v>95.52</v>
      </c>
      <c r="G583" s="84">
        <v>95.52</v>
      </c>
      <c r="H583" s="84">
        <v>95.52</v>
      </c>
      <c r="I583" s="84">
        <v>96.99</v>
      </c>
      <c r="J583" s="84"/>
      <c r="K583" s="84"/>
      <c r="L583" s="86"/>
      <c r="M583" s="45"/>
      <c r="N583" s="47"/>
    </row>
    <row r="584" spans="1:14" ht="18" customHeight="1">
      <c r="A584" s="42" t="s">
        <v>1</v>
      </c>
      <c r="B584" s="82"/>
      <c r="C584" s="83">
        <v>0</v>
      </c>
      <c r="D584" s="84">
        <v>0.6</v>
      </c>
      <c r="E584" s="84">
        <v>0.7</v>
      </c>
      <c r="F584" s="85">
        <v>1.7</v>
      </c>
      <c r="G584" s="85">
        <v>2.7</v>
      </c>
      <c r="H584" s="84">
        <v>2.8</v>
      </c>
      <c r="I584" s="52">
        <v>3.5</v>
      </c>
      <c r="J584" s="52"/>
      <c r="K584" s="84"/>
      <c r="L584" s="86"/>
      <c r="M584" s="45"/>
      <c r="N584" s="47"/>
    </row>
    <row r="585" spans="1:14" ht="18" customHeight="1">
      <c r="A585" s="42" t="s">
        <v>3</v>
      </c>
      <c r="B585" s="87"/>
      <c r="C585" s="83">
        <v>96.84</v>
      </c>
      <c r="D585" s="84">
        <v>96.085999999999999</v>
      </c>
      <c r="E585" s="84">
        <v>95.96</v>
      </c>
      <c r="F585" s="84">
        <v>95.96</v>
      </c>
      <c r="G585" s="84">
        <v>95.96</v>
      </c>
      <c r="H585" s="84">
        <v>96.087000000000003</v>
      </c>
      <c r="I585" s="84">
        <v>96.99</v>
      </c>
      <c r="J585" s="84"/>
      <c r="K585" s="84"/>
      <c r="L585" s="86"/>
      <c r="M585" s="45"/>
      <c r="N585" s="52"/>
    </row>
    <row r="586" spans="1:14" ht="18" customHeight="1">
      <c r="A586" s="42" t="s">
        <v>18</v>
      </c>
      <c r="B586" s="87"/>
      <c r="C586" s="52">
        <f t="shared" ref="C586" si="60">C583-C585</f>
        <v>0</v>
      </c>
      <c r="D586" s="52">
        <f>D585-D583</f>
        <v>0.5660000000000025</v>
      </c>
      <c r="E586" s="52">
        <f t="shared" ref="E586:I586" si="61">E585-E583</f>
        <v>0.43999999999999773</v>
      </c>
      <c r="F586" s="52">
        <f t="shared" si="61"/>
        <v>0.43999999999999773</v>
      </c>
      <c r="G586" s="52">
        <f t="shared" si="61"/>
        <v>0.43999999999999773</v>
      </c>
      <c r="H586" s="52">
        <f t="shared" si="61"/>
        <v>0.56700000000000728</v>
      </c>
      <c r="I586" s="52">
        <f t="shared" si="61"/>
        <v>0</v>
      </c>
      <c r="J586" s="52"/>
      <c r="K586" s="52"/>
      <c r="L586" s="52"/>
      <c r="M586" s="47"/>
      <c r="N586" s="47"/>
    </row>
    <row r="587" spans="1:14" ht="18" customHeight="1">
      <c r="A587" s="42" t="s">
        <v>5</v>
      </c>
      <c r="B587" s="87"/>
      <c r="C587" s="52">
        <f t="shared" ref="C587" si="62">(C586+B586)/2*(C582-B582)</f>
        <v>0</v>
      </c>
      <c r="D587" s="52">
        <f>(D586+C586)/2*(D582-C582)</f>
        <v>0.16980000000000076</v>
      </c>
      <c r="E587" s="52">
        <f t="shared" ref="E587:I587" si="63">(E586+D586)/2*(E582-D582)</f>
        <v>5.0299999999999997E-2</v>
      </c>
      <c r="F587" s="52">
        <f t="shared" si="63"/>
        <v>0.43999999999999773</v>
      </c>
      <c r="G587" s="52">
        <f t="shared" si="63"/>
        <v>0.43999999999999784</v>
      </c>
      <c r="H587" s="52">
        <f t="shared" si="63"/>
        <v>5.0350000000000068E-2</v>
      </c>
      <c r="I587" s="52">
        <f t="shared" si="63"/>
        <v>0.1984500000000026</v>
      </c>
      <c r="J587" s="52"/>
      <c r="K587" s="52"/>
      <c r="L587" s="52"/>
      <c r="M587" s="47"/>
      <c r="N587" s="77">
        <f>SUM(B587:M587)</f>
        <v>1.3488999999999991</v>
      </c>
    </row>
    <row r="588" spans="1:14" ht="18" customHeight="1">
      <c r="A588" s="2"/>
      <c r="B588" s="2"/>
      <c r="C588" s="30"/>
      <c r="D588" s="30"/>
      <c r="E588" s="4"/>
      <c r="F588" s="4"/>
      <c r="G588" s="4"/>
      <c r="H588" s="4"/>
      <c r="I588" s="4"/>
      <c r="J588" s="179" t="s">
        <v>6</v>
      </c>
      <c r="K588" s="179"/>
      <c r="L588" s="179"/>
      <c r="M588" s="179"/>
      <c r="N588" s="109">
        <f>N587</f>
        <v>1.3488999999999991</v>
      </c>
    </row>
    <row r="589" spans="1:14" ht="18" customHeight="1">
      <c r="A589" s="24"/>
      <c r="B589" s="78"/>
      <c r="C589" s="18"/>
      <c r="D589" s="18"/>
      <c r="E589" s="21"/>
      <c r="F589" s="21"/>
      <c r="G589" s="21"/>
      <c r="H589" s="21"/>
      <c r="I589" s="21"/>
      <c r="J589" s="21"/>
      <c r="K589" s="21"/>
      <c r="L589" s="21"/>
      <c r="M589" s="21"/>
      <c r="N589" s="21"/>
    </row>
    <row r="590" spans="1:14" ht="14.1" customHeight="1">
      <c r="A590" s="2"/>
      <c r="B590" s="2"/>
      <c r="C590" s="30"/>
      <c r="D590" s="30"/>
      <c r="E590" s="21"/>
      <c r="F590" s="21"/>
      <c r="G590" s="21"/>
      <c r="H590" s="21"/>
      <c r="I590" s="21"/>
      <c r="J590" s="30"/>
      <c r="K590" s="30"/>
      <c r="L590" s="30"/>
      <c r="M590" s="30"/>
      <c r="N590" s="30"/>
    </row>
    <row r="591" spans="1:14" ht="14.1" customHeight="1">
      <c r="A591" s="6"/>
      <c r="B591" s="6"/>
      <c r="C591" s="7"/>
      <c r="D591" s="7"/>
      <c r="E591" s="7"/>
      <c r="F591" s="7"/>
      <c r="G591" s="7"/>
      <c r="H591" s="7"/>
      <c r="I591" s="7"/>
      <c r="K591" s="7"/>
      <c r="L591" s="7"/>
      <c r="M591" s="7"/>
      <c r="N591" s="7"/>
    </row>
    <row r="592" spans="1:14" ht="14.1" customHeight="1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</row>
    <row r="593" spans="1:14" ht="14.1" customHeight="1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</row>
    <row r="594" spans="1:14" ht="14.1" customHeight="1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</row>
    <row r="595" spans="1:14" ht="14.1" customHeight="1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</row>
    <row r="596" spans="1:14" ht="14.1" customHeight="1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</row>
    <row r="597" spans="1:14" ht="14.1" customHeight="1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</row>
    <row r="598" spans="1:14" ht="14.1" customHeight="1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</row>
    <row r="599" spans="1:14" ht="14.1" customHeight="1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</row>
    <row r="600" spans="1:14" ht="14.1" customHeight="1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</row>
    <row r="601" spans="1:14" ht="14.1" customHeight="1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</row>
    <row r="602" spans="1:14" ht="14.1" customHeight="1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</row>
    <row r="603" spans="1:14" ht="14.1" customHeight="1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</row>
    <row r="604" spans="1:14" ht="14.1" customHeight="1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</row>
    <row r="605" spans="1:14" ht="14.1" customHeight="1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</row>
    <row r="606" spans="1:14" ht="14.1" customHeight="1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</row>
    <row r="607" spans="1:14" ht="14.1" customHeight="1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</row>
    <row r="608" spans="1:14" ht="14.1" customHeight="1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</row>
    <row r="609" spans="1:14" ht="14.1" customHeight="1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</row>
    <row r="610" spans="1:14" ht="14.1" customHeight="1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</row>
    <row r="611" spans="1:14" ht="14.1" customHeight="1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</row>
    <row r="612" spans="1:14" ht="14.1" customHeight="1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</row>
    <row r="613" spans="1:14" ht="14.1" customHeight="1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</row>
    <row r="614" spans="1:14" ht="14.1" customHeight="1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</row>
    <row r="615" spans="1:14" ht="14.1" customHeight="1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</row>
    <row r="616" spans="1:14" ht="14.1" customHeight="1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</row>
    <row r="617" spans="1:14" ht="14.1" customHeight="1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</row>
    <row r="618" spans="1:14" ht="14.1" customHeight="1">
      <c r="B618" s="181"/>
      <c r="C618" s="181"/>
      <c r="D618" s="181"/>
      <c r="E618" s="25"/>
      <c r="F618" s="25"/>
      <c r="G618" s="167"/>
      <c r="H618" s="167"/>
      <c r="I618" s="167"/>
      <c r="J618" s="7"/>
      <c r="K618" s="182"/>
      <c r="L618" s="182"/>
    </row>
    <row r="619" spans="1:14" ht="14.1" customHeight="1">
      <c r="B619" s="170"/>
      <c r="C619" s="170"/>
      <c r="D619" s="170"/>
      <c r="E619" s="26"/>
      <c r="F619" s="26"/>
      <c r="G619" s="170"/>
      <c r="H619" s="170"/>
      <c r="I619" s="170"/>
      <c r="J619" s="25"/>
      <c r="K619" s="171"/>
      <c r="L619" s="171"/>
    </row>
    <row r="620" spans="1:14" ht="14.1" customHeight="1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</row>
    <row r="621" spans="1:14" ht="14.1" customHeight="1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</row>
    <row r="622" spans="1:14" ht="14.1" customHeight="1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</row>
    <row r="623" spans="1:14" ht="14.1" customHeight="1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</row>
    <row r="624" spans="1:14" ht="14.1" customHeight="1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</row>
    <row r="625" spans="1:15" ht="14.1" customHeight="1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</row>
    <row r="626" spans="1:15" ht="18" customHeight="1">
      <c r="A626" s="184" t="s">
        <v>0</v>
      </c>
      <c r="B626" s="185"/>
      <c r="C626" s="185"/>
      <c r="D626" s="185"/>
      <c r="E626" s="185"/>
      <c r="F626" s="185"/>
      <c r="G626" s="20">
        <v>5100</v>
      </c>
      <c r="H626" s="1" t="s">
        <v>15</v>
      </c>
      <c r="I626" s="1"/>
      <c r="J626" s="32"/>
      <c r="K626" s="1"/>
      <c r="L626" s="1"/>
      <c r="M626" s="1"/>
      <c r="N626" s="1"/>
    </row>
    <row r="627" spans="1:15" ht="18" customHeight="1">
      <c r="A627" s="42" t="s">
        <v>1</v>
      </c>
      <c r="B627" s="82"/>
      <c r="C627" s="83">
        <v>0</v>
      </c>
      <c r="D627" s="84">
        <v>0.6</v>
      </c>
      <c r="E627" s="84">
        <v>0.7</v>
      </c>
      <c r="F627" s="85">
        <v>1.7</v>
      </c>
      <c r="G627" s="85">
        <v>2.7</v>
      </c>
      <c r="H627" s="84">
        <v>2.8</v>
      </c>
      <c r="I627" s="52">
        <v>3.6</v>
      </c>
      <c r="J627" s="52"/>
      <c r="K627" s="84"/>
      <c r="L627" s="86"/>
      <c r="M627" s="45"/>
      <c r="N627" s="47"/>
      <c r="O627" s="18"/>
    </row>
    <row r="628" spans="1:15" ht="18" customHeight="1">
      <c r="A628" s="42" t="s">
        <v>2</v>
      </c>
      <c r="B628" s="82"/>
      <c r="C628" s="83">
        <v>96.21</v>
      </c>
      <c r="D628" s="84">
        <v>95.51</v>
      </c>
      <c r="E628" s="84">
        <v>95.51</v>
      </c>
      <c r="F628" s="84">
        <v>95.51</v>
      </c>
      <c r="G628" s="84">
        <v>95.51</v>
      </c>
      <c r="H628" s="84">
        <v>95.51</v>
      </c>
      <c r="I628" s="84">
        <v>96.39</v>
      </c>
      <c r="J628" s="84"/>
      <c r="K628" s="84"/>
      <c r="L628" s="86"/>
      <c r="M628" s="45"/>
      <c r="N628" s="47"/>
      <c r="O628" s="18"/>
    </row>
    <row r="629" spans="1:15" ht="18" customHeight="1">
      <c r="A629" s="42" t="s">
        <v>1</v>
      </c>
      <c r="B629" s="82"/>
      <c r="C629" s="83">
        <v>0</v>
      </c>
      <c r="D629" s="84">
        <v>0.6</v>
      </c>
      <c r="E629" s="84">
        <v>0.7</v>
      </c>
      <c r="F629" s="85">
        <v>1.7</v>
      </c>
      <c r="G629" s="85">
        <v>2.7</v>
      </c>
      <c r="H629" s="84">
        <v>2.8</v>
      </c>
      <c r="I629" s="52">
        <v>3.6</v>
      </c>
      <c r="J629" s="52"/>
      <c r="K629" s="84"/>
      <c r="L629" s="86"/>
      <c r="M629" s="45"/>
      <c r="N629" s="47"/>
      <c r="O629" s="18"/>
    </row>
    <row r="630" spans="1:15" ht="18" customHeight="1">
      <c r="A630" s="42" t="s">
        <v>3</v>
      </c>
      <c r="B630" s="87"/>
      <c r="C630" s="83">
        <v>96.21</v>
      </c>
      <c r="D630" s="84">
        <v>95.953000000000003</v>
      </c>
      <c r="E630" s="84">
        <v>95.91</v>
      </c>
      <c r="F630" s="84">
        <v>95.91</v>
      </c>
      <c r="G630" s="84">
        <v>95.91</v>
      </c>
      <c r="H630" s="84">
        <v>95.962999999999994</v>
      </c>
      <c r="I630" s="84">
        <v>96.39</v>
      </c>
      <c r="J630" s="84"/>
      <c r="K630" s="84"/>
      <c r="L630" s="86"/>
      <c r="M630" s="45"/>
      <c r="N630" s="52"/>
      <c r="O630" s="18"/>
    </row>
    <row r="631" spans="1:15" ht="18" customHeight="1">
      <c r="A631" s="42" t="s">
        <v>18</v>
      </c>
      <c r="B631" s="87"/>
      <c r="C631" s="52">
        <f t="shared" ref="C631" si="64">C628-C630</f>
        <v>0</v>
      </c>
      <c r="D631" s="52">
        <f>D630-D628</f>
        <v>0.44299999999999784</v>
      </c>
      <c r="E631" s="52">
        <f t="shared" ref="E631:I631" si="65">E630-E628</f>
        <v>0.39999999999999147</v>
      </c>
      <c r="F631" s="52">
        <f t="shared" si="65"/>
        <v>0.39999999999999147</v>
      </c>
      <c r="G631" s="52">
        <f t="shared" si="65"/>
        <v>0.39999999999999147</v>
      </c>
      <c r="H631" s="52">
        <f t="shared" si="65"/>
        <v>0.45299999999998875</v>
      </c>
      <c r="I631" s="52">
        <f t="shared" si="65"/>
        <v>0</v>
      </c>
      <c r="J631" s="52"/>
      <c r="K631" s="52"/>
      <c r="L631" s="52"/>
      <c r="M631" s="47"/>
      <c r="N631" s="47"/>
      <c r="O631" s="18"/>
    </row>
    <row r="632" spans="1:15" ht="18" customHeight="1">
      <c r="A632" s="42" t="s">
        <v>5</v>
      </c>
      <c r="B632" s="87"/>
      <c r="C632" s="52">
        <f t="shared" ref="C632" si="66">(C631+B631)/2*(C627-B627)</f>
        <v>0</v>
      </c>
      <c r="D632" s="52">
        <f>(D631+C631)/2*(D627-C627)</f>
        <v>0.13289999999999935</v>
      </c>
      <c r="E632" s="52">
        <f t="shared" ref="E632:I632" si="67">(E631+D631)/2*(E627-D627)</f>
        <v>4.2149999999999459E-2</v>
      </c>
      <c r="F632" s="52">
        <f t="shared" si="67"/>
        <v>0.39999999999999147</v>
      </c>
      <c r="G632" s="52">
        <f t="shared" si="67"/>
        <v>0.39999999999999158</v>
      </c>
      <c r="H632" s="52">
        <f t="shared" si="67"/>
        <v>4.2649999999998862E-2</v>
      </c>
      <c r="I632" s="52">
        <f t="shared" si="67"/>
        <v>0.18119999999999556</v>
      </c>
      <c r="J632" s="52"/>
      <c r="K632" s="52"/>
      <c r="L632" s="52"/>
      <c r="M632" s="47"/>
      <c r="N632" s="77">
        <f>SUM(B632:M632)</f>
        <v>1.1988999999999763</v>
      </c>
      <c r="O632" s="18"/>
    </row>
    <row r="633" spans="1:15" ht="18" customHeight="1">
      <c r="A633" s="2"/>
      <c r="B633" s="2"/>
      <c r="C633" s="30"/>
      <c r="D633" s="30"/>
      <c r="E633" s="4"/>
      <c r="F633" s="4"/>
      <c r="G633" s="4"/>
      <c r="H633" s="4"/>
      <c r="I633" s="4"/>
      <c r="J633" s="179" t="s">
        <v>6</v>
      </c>
      <c r="K633" s="179"/>
      <c r="L633" s="179"/>
      <c r="M633" s="179"/>
      <c r="N633" s="109">
        <f>N632</f>
        <v>1.1988999999999763</v>
      </c>
      <c r="O633" s="18"/>
    </row>
    <row r="634" spans="1:15" ht="18" customHeight="1">
      <c r="A634" s="24"/>
      <c r="B634" s="78"/>
      <c r="C634" s="18"/>
      <c r="D634" s="18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</row>
    <row r="635" spans="1:15" ht="14.1" customHeight="1">
      <c r="A635" s="2"/>
      <c r="B635" s="2"/>
      <c r="C635" s="30"/>
      <c r="D635" s="30"/>
      <c r="E635" s="21"/>
      <c r="F635" s="21"/>
      <c r="G635" s="21"/>
      <c r="H635" s="21"/>
      <c r="I635" s="21"/>
      <c r="J635" s="30"/>
      <c r="K635" s="30"/>
      <c r="L635" s="30"/>
      <c r="M635" s="30"/>
      <c r="N635" s="30"/>
    </row>
    <row r="636" spans="1:15" ht="14.1" customHeight="1">
      <c r="A636" s="6"/>
      <c r="B636" s="6"/>
      <c r="C636" s="7"/>
      <c r="D636" s="7"/>
      <c r="E636" s="7"/>
      <c r="F636" s="7"/>
      <c r="G636" s="7"/>
      <c r="H636" s="7"/>
      <c r="I636" s="7"/>
      <c r="K636" s="7"/>
      <c r="L636" s="7"/>
      <c r="M636" s="7"/>
      <c r="N636" s="7"/>
    </row>
    <row r="637" spans="1:15" ht="14.1" customHeight="1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</row>
    <row r="638" spans="1:15" ht="14.1" customHeight="1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</row>
    <row r="639" spans="1:15" ht="14.1" customHeight="1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</row>
    <row r="640" spans="1:15" ht="14.1" customHeight="1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</row>
    <row r="641" spans="1:14" ht="14.1" customHeight="1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</row>
    <row r="642" spans="1:14" ht="14.1" customHeight="1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</row>
    <row r="643" spans="1:14" ht="14.1" customHeight="1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</row>
    <row r="644" spans="1:14" ht="14.1" customHeight="1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</row>
    <row r="645" spans="1:14" ht="14.1" customHeight="1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</row>
    <row r="646" spans="1:14" ht="14.1" customHeight="1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</row>
    <row r="647" spans="1:14" ht="14.1" customHeight="1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</row>
    <row r="648" spans="1:14" ht="14.1" customHeight="1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</row>
    <row r="649" spans="1:14" ht="14.1" customHeight="1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</row>
    <row r="650" spans="1:14" ht="14.1" customHeight="1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</row>
    <row r="651" spans="1:14" ht="14.1" customHeight="1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</row>
    <row r="652" spans="1:14" ht="14.1" customHeight="1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</row>
    <row r="653" spans="1:14" ht="14.1" customHeight="1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</row>
    <row r="654" spans="1:14" ht="14.1" customHeight="1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</row>
    <row r="655" spans="1:14" ht="14.1" customHeight="1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</row>
    <row r="656" spans="1:14" ht="14.1" customHeight="1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</row>
    <row r="657" spans="1:15" ht="14.1" customHeight="1">
      <c r="A657" s="6"/>
      <c r="B657" s="6"/>
      <c r="C657" s="7"/>
      <c r="D657" s="7"/>
      <c r="E657" s="7"/>
      <c r="F657" s="7"/>
      <c r="G657" s="7"/>
      <c r="H657" s="7"/>
      <c r="I657" s="7"/>
      <c r="J657" s="36"/>
      <c r="K657" s="7"/>
      <c r="L657" s="7"/>
      <c r="M657" s="7"/>
      <c r="N657" s="7"/>
    </row>
    <row r="658" spans="1:15" ht="14.1" customHeight="1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</row>
    <row r="659" spans="1:15" ht="14.1" customHeight="1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</row>
    <row r="660" spans="1:15" ht="14.1" customHeight="1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</row>
    <row r="661" spans="1:15" ht="14.1" customHeight="1">
      <c r="A661" s="24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</row>
    <row r="662" spans="1:15" ht="14.1" customHeight="1"/>
    <row r="663" spans="1:15" ht="14.1" customHeight="1"/>
    <row r="664" spans="1:15" ht="14.1" customHeight="1"/>
    <row r="665" spans="1:15" ht="18" customHeight="1">
      <c r="A665" s="184" t="s">
        <v>0</v>
      </c>
      <c r="B665" s="185"/>
      <c r="C665" s="185"/>
      <c r="D665" s="185"/>
      <c r="E665" s="185"/>
      <c r="F665" s="185"/>
      <c r="G665" s="20">
        <v>5160</v>
      </c>
      <c r="H665" s="1" t="s">
        <v>15</v>
      </c>
      <c r="I665" s="1"/>
      <c r="J665" s="32"/>
      <c r="K665" s="1"/>
      <c r="L665" s="1"/>
      <c r="M665" s="1"/>
      <c r="N665" s="1"/>
    </row>
    <row r="666" spans="1:15" ht="18" customHeight="1">
      <c r="A666" s="42" t="s">
        <v>1</v>
      </c>
      <c r="B666" s="82"/>
      <c r="C666" s="83">
        <v>0</v>
      </c>
      <c r="D666" s="84">
        <v>0.6</v>
      </c>
      <c r="E666" s="84">
        <v>0.7</v>
      </c>
      <c r="F666" s="85">
        <v>1.7</v>
      </c>
      <c r="G666" s="85">
        <v>2.7</v>
      </c>
      <c r="H666" s="84">
        <v>2.8</v>
      </c>
      <c r="I666" s="52">
        <v>3.5</v>
      </c>
      <c r="J666" s="52"/>
      <c r="K666" s="84"/>
      <c r="L666" s="86"/>
      <c r="M666" s="45"/>
      <c r="N666" s="47"/>
      <c r="O666" s="18"/>
    </row>
    <row r="667" spans="1:15" ht="18" customHeight="1">
      <c r="A667" s="42" t="s">
        <v>2</v>
      </c>
      <c r="B667" s="82"/>
      <c r="C667" s="83">
        <v>96.18</v>
      </c>
      <c r="D667" s="84">
        <v>95.5</v>
      </c>
      <c r="E667" s="84">
        <v>95.5</v>
      </c>
      <c r="F667" s="84">
        <v>95.5</v>
      </c>
      <c r="G667" s="84">
        <v>95.5</v>
      </c>
      <c r="H667" s="84">
        <v>95.5</v>
      </c>
      <c r="I667" s="84">
        <v>96.35</v>
      </c>
      <c r="J667" s="84"/>
      <c r="K667" s="84"/>
      <c r="L667" s="86"/>
      <c r="M667" s="45"/>
      <c r="N667" s="47"/>
      <c r="O667" s="18"/>
    </row>
    <row r="668" spans="1:15" ht="18" customHeight="1">
      <c r="A668" s="42" t="s">
        <v>1</v>
      </c>
      <c r="B668" s="82"/>
      <c r="C668" s="83">
        <v>0</v>
      </c>
      <c r="D668" s="84">
        <v>0.6</v>
      </c>
      <c r="E668" s="84">
        <v>0.7</v>
      </c>
      <c r="F668" s="85">
        <v>1.7</v>
      </c>
      <c r="G668" s="85">
        <v>2.7</v>
      </c>
      <c r="H668" s="84">
        <v>2.8</v>
      </c>
      <c r="I668" s="52">
        <v>3.5</v>
      </c>
      <c r="J668" s="52"/>
      <c r="K668" s="84"/>
      <c r="L668" s="86"/>
      <c r="M668" s="45"/>
      <c r="N668" s="47"/>
      <c r="O668" s="18"/>
    </row>
    <row r="669" spans="1:15" ht="18" customHeight="1">
      <c r="A669" s="42" t="s">
        <v>3</v>
      </c>
      <c r="B669" s="87"/>
      <c r="C669" s="83">
        <v>96.18</v>
      </c>
      <c r="D669" s="84">
        <v>95.956999999999994</v>
      </c>
      <c r="E669" s="84">
        <v>95.92</v>
      </c>
      <c r="F669" s="84">
        <v>95.92</v>
      </c>
      <c r="G669" s="84">
        <v>95.92</v>
      </c>
      <c r="H669" s="84">
        <v>95.974000000000004</v>
      </c>
      <c r="I669" s="84">
        <v>96.35</v>
      </c>
      <c r="J669" s="84"/>
      <c r="K669" s="84"/>
      <c r="L669" s="86"/>
      <c r="M669" s="45"/>
      <c r="N669" s="52"/>
      <c r="O669" s="18"/>
    </row>
    <row r="670" spans="1:15" ht="18" customHeight="1">
      <c r="A670" s="42" t="s">
        <v>18</v>
      </c>
      <c r="B670" s="87"/>
      <c r="C670" s="52">
        <f t="shared" ref="C670" si="68">C667-C669</f>
        <v>0</v>
      </c>
      <c r="D670" s="52">
        <f>D669-D667</f>
        <v>0.45699999999999363</v>
      </c>
      <c r="E670" s="52">
        <f t="shared" ref="E670:I670" si="69">E669-E667</f>
        <v>0.42000000000000171</v>
      </c>
      <c r="F670" s="52">
        <f t="shared" si="69"/>
        <v>0.42000000000000171</v>
      </c>
      <c r="G670" s="52">
        <f t="shared" si="69"/>
        <v>0.42000000000000171</v>
      </c>
      <c r="H670" s="52">
        <f t="shared" si="69"/>
        <v>0.47400000000000375</v>
      </c>
      <c r="I670" s="52">
        <f t="shared" si="69"/>
        <v>0</v>
      </c>
      <c r="J670" s="52"/>
      <c r="K670" s="52"/>
      <c r="L670" s="52"/>
      <c r="M670" s="47"/>
      <c r="N670" s="47"/>
      <c r="O670" s="18"/>
    </row>
    <row r="671" spans="1:15" ht="18" customHeight="1">
      <c r="A671" s="42" t="s">
        <v>5</v>
      </c>
      <c r="B671" s="87"/>
      <c r="C671" s="52">
        <f t="shared" ref="C671" si="70">(C670+B670)/2*(C666-B666)</f>
        <v>0</v>
      </c>
      <c r="D671" s="52">
        <f>(D670+C670)/2*(D666-C666)</f>
        <v>0.13709999999999808</v>
      </c>
      <c r="E671" s="52">
        <f t="shared" ref="E671:I671" si="71">(E670+D670)/2*(E666-D666)</f>
        <v>4.3849999999999757E-2</v>
      </c>
      <c r="F671" s="52">
        <f t="shared" si="71"/>
        <v>0.42000000000000171</v>
      </c>
      <c r="G671" s="52">
        <f t="shared" si="71"/>
        <v>0.42000000000000182</v>
      </c>
      <c r="H671" s="52">
        <f t="shared" si="71"/>
        <v>4.4700000000000115E-2</v>
      </c>
      <c r="I671" s="52">
        <f t="shared" si="71"/>
        <v>0.16590000000000135</v>
      </c>
      <c r="J671" s="52"/>
      <c r="K671" s="52"/>
      <c r="L671" s="52"/>
      <c r="M671" s="47"/>
      <c r="N671" s="77">
        <f>SUM(B671:M671)</f>
        <v>1.2315500000000028</v>
      </c>
      <c r="O671" s="18"/>
    </row>
    <row r="672" spans="1:15" ht="18" customHeight="1">
      <c r="A672" s="2"/>
      <c r="B672" s="2"/>
      <c r="C672" s="30"/>
      <c r="D672" s="30"/>
      <c r="E672" s="4"/>
      <c r="F672" s="4"/>
      <c r="G672" s="4"/>
      <c r="H672" s="4"/>
      <c r="I672" s="4"/>
      <c r="J672" s="179" t="s">
        <v>6</v>
      </c>
      <c r="K672" s="179"/>
      <c r="L672" s="179"/>
      <c r="M672" s="179"/>
      <c r="N672" s="109">
        <f>N671</f>
        <v>1.2315500000000028</v>
      </c>
      <c r="O672" s="18"/>
    </row>
    <row r="673" spans="1:15" ht="18" customHeight="1">
      <c r="A673" s="24"/>
      <c r="B673" s="78"/>
      <c r="C673" s="18"/>
      <c r="D673" s="18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</row>
    <row r="674" spans="1:15" ht="14.1" customHeight="1">
      <c r="A674" s="2"/>
      <c r="B674" s="2"/>
      <c r="C674" s="30"/>
      <c r="D674" s="30"/>
      <c r="E674" s="21"/>
      <c r="F674" s="21"/>
      <c r="G674" s="21"/>
      <c r="H674" s="21"/>
      <c r="I674" s="21"/>
      <c r="J674" s="30"/>
      <c r="K674" s="30"/>
      <c r="L674" s="30"/>
      <c r="M674" s="30"/>
      <c r="N674" s="30"/>
    </row>
    <row r="675" spans="1:15" ht="14.1" customHeight="1">
      <c r="A675" s="6"/>
      <c r="B675" s="6"/>
      <c r="C675" s="7"/>
      <c r="D675" s="7"/>
      <c r="E675" s="7"/>
      <c r="F675" s="7"/>
      <c r="G675" s="7"/>
      <c r="H675" s="7"/>
      <c r="I675" s="7"/>
      <c r="K675" s="7"/>
      <c r="L675" s="7"/>
      <c r="M675" s="7"/>
      <c r="N675" s="7"/>
    </row>
    <row r="676" spans="1:15" ht="14.1" customHeight="1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</row>
    <row r="677" spans="1:15" ht="14.1" customHeight="1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</row>
    <row r="678" spans="1:15" ht="14.1" customHeight="1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</row>
    <row r="679" spans="1:15" ht="14.1" customHeight="1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</row>
    <row r="680" spans="1:15" ht="14.1" customHeight="1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</row>
    <row r="681" spans="1:15" ht="14.1" customHeight="1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</row>
    <row r="682" spans="1:15" ht="14.1" customHeight="1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</row>
    <row r="683" spans="1:15" ht="14.1" customHeight="1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</row>
    <row r="684" spans="1:15" ht="14.1" customHeight="1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</row>
    <row r="685" spans="1:15" ht="14.1" customHeight="1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</row>
    <row r="686" spans="1:15" ht="14.1" customHeight="1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</row>
    <row r="687" spans="1:15" ht="14.1" customHeight="1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</row>
    <row r="688" spans="1:15" ht="14.1" customHeight="1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</row>
    <row r="689" spans="1:14" ht="14.1" customHeight="1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</row>
    <row r="690" spans="1:14" ht="14.1" customHeight="1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</row>
    <row r="691" spans="1:14" ht="14.1" customHeight="1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</row>
    <row r="692" spans="1:14" ht="14.1" customHeight="1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</row>
    <row r="693" spans="1:14" ht="14.1" customHeight="1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</row>
    <row r="694" spans="1:14" ht="14.1" customHeight="1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</row>
    <row r="695" spans="1:14" ht="14.1" customHeight="1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</row>
    <row r="696" spans="1:14" ht="14.1" customHeight="1">
      <c r="A696" s="6"/>
      <c r="B696" s="6"/>
      <c r="C696" s="7"/>
      <c r="D696" s="7"/>
      <c r="E696" s="7"/>
      <c r="F696" s="7"/>
      <c r="G696" s="7"/>
      <c r="H696" s="7"/>
      <c r="I696" s="7"/>
      <c r="J696" s="30"/>
      <c r="K696" s="7"/>
      <c r="L696" s="7"/>
      <c r="M696" s="7"/>
      <c r="N696" s="7"/>
    </row>
    <row r="697" spans="1:14" ht="14.1" customHeight="1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</row>
    <row r="698" spans="1:14" ht="14.1" customHeight="1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</row>
    <row r="699" spans="1:14" ht="14.1" customHeight="1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</row>
    <row r="700" spans="1:14" ht="14.1" customHeight="1">
      <c r="A700" s="24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</row>
    <row r="701" spans="1:14" ht="14.1" customHeight="1"/>
    <row r="702" spans="1:14" ht="14.1" customHeight="1"/>
    <row r="703" spans="1:14" ht="14.1" customHeight="1">
      <c r="B703" s="181"/>
      <c r="C703" s="181"/>
      <c r="D703" s="181"/>
      <c r="E703" s="25"/>
      <c r="F703" s="25"/>
      <c r="G703" s="167"/>
      <c r="H703" s="167"/>
      <c r="I703" s="167"/>
      <c r="J703" s="7"/>
      <c r="K703" s="182"/>
      <c r="L703" s="182"/>
    </row>
    <row r="704" spans="1:14" ht="14.1" customHeight="1">
      <c r="B704" s="170"/>
      <c r="C704" s="170"/>
      <c r="D704" s="170"/>
      <c r="E704" s="26"/>
      <c r="F704" s="26"/>
      <c r="G704" s="170"/>
      <c r="H704" s="170"/>
      <c r="I704" s="170"/>
      <c r="J704" s="25"/>
      <c r="K704" s="171"/>
      <c r="L704" s="171"/>
    </row>
    <row r="705" spans="1:15" ht="14.1" customHeight="1"/>
    <row r="706" spans="1:15" ht="14.1" customHeight="1"/>
    <row r="707" spans="1:15" ht="14.1" customHeight="1"/>
    <row r="708" spans="1:15" ht="18" customHeight="1">
      <c r="A708" s="184" t="s">
        <v>0</v>
      </c>
      <c r="B708" s="185"/>
      <c r="C708" s="185"/>
      <c r="D708" s="185"/>
      <c r="E708" s="185"/>
      <c r="F708" s="185"/>
      <c r="G708" s="20">
        <v>5220</v>
      </c>
      <c r="H708" s="1" t="s">
        <v>15</v>
      </c>
      <c r="I708" s="1"/>
      <c r="J708" s="32"/>
      <c r="K708" s="1"/>
      <c r="L708" s="1"/>
      <c r="M708" s="1"/>
      <c r="N708" s="1"/>
    </row>
    <row r="709" spans="1:15" ht="18" customHeight="1">
      <c r="A709" s="42" t="s">
        <v>1</v>
      </c>
      <c r="B709" s="82"/>
      <c r="C709" s="83">
        <v>0</v>
      </c>
      <c r="D709" s="84">
        <v>0.6</v>
      </c>
      <c r="E709" s="84">
        <v>0.7</v>
      </c>
      <c r="F709" s="85">
        <v>1.7</v>
      </c>
      <c r="G709" s="85">
        <v>2.7</v>
      </c>
      <c r="H709" s="84">
        <v>2.8</v>
      </c>
      <c r="I709" s="52">
        <v>3.6</v>
      </c>
      <c r="J709" s="52"/>
      <c r="K709" s="84"/>
      <c r="L709" s="86"/>
      <c r="M709" s="45"/>
      <c r="N709" s="47"/>
      <c r="O709" s="18"/>
    </row>
    <row r="710" spans="1:15" ht="18" customHeight="1">
      <c r="A710" s="42" t="s">
        <v>2</v>
      </c>
      <c r="B710" s="82"/>
      <c r="C710" s="83">
        <v>96</v>
      </c>
      <c r="D710" s="84">
        <v>95.35</v>
      </c>
      <c r="E710" s="84">
        <v>95.35</v>
      </c>
      <c r="F710" s="84">
        <v>95.35</v>
      </c>
      <c r="G710" s="84">
        <v>95.35</v>
      </c>
      <c r="H710" s="84">
        <v>95.35</v>
      </c>
      <c r="I710" s="84">
        <v>96.2</v>
      </c>
      <c r="J710" s="84"/>
      <c r="K710" s="84"/>
      <c r="L710" s="86"/>
      <c r="M710" s="45"/>
      <c r="N710" s="47"/>
      <c r="O710" s="18"/>
    </row>
    <row r="711" spans="1:15" ht="18" customHeight="1">
      <c r="A711" s="42" t="s">
        <v>1</v>
      </c>
      <c r="B711" s="82"/>
      <c r="C711" s="83">
        <v>0</v>
      </c>
      <c r="D711" s="84">
        <v>0.6</v>
      </c>
      <c r="E711" s="84">
        <v>0.7</v>
      </c>
      <c r="F711" s="85">
        <v>1.7</v>
      </c>
      <c r="G711" s="85">
        <v>2.7</v>
      </c>
      <c r="H711" s="84">
        <v>2.8</v>
      </c>
      <c r="I711" s="52">
        <v>3.6</v>
      </c>
      <c r="J711" s="52"/>
      <c r="K711" s="84"/>
      <c r="L711" s="86"/>
      <c r="M711" s="45"/>
      <c r="N711" s="47"/>
      <c r="O711" s="18"/>
    </row>
    <row r="712" spans="1:15" ht="18" customHeight="1">
      <c r="A712" s="42" t="s">
        <v>3</v>
      </c>
      <c r="B712" s="87"/>
      <c r="C712" s="83">
        <v>96</v>
      </c>
      <c r="D712" s="84">
        <v>95.82</v>
      </c>
      <c r="E712" s="84">
        <v>95.79</v>
      </c>
      <c r="F712" s="84">
        <v>95.79</v>
      </c>
      <c r="G712" s="84">
        <v>95.79</v>
      </c>
      <c r="H712" s="84">
        <v>95.835999999999999</v>
      </c>
      <c r="I712" s="84">
        <v>96.2</v>
      </c>
      <c r="J712" s="84"/>
      <c r="K712" s="84"/>
      <c r="L712" s="86"/>
      <c r="M712" s="45"/>
      <c r="N712" s="52"/>
      <c r="O712" s="18"/>
    </row>
    <row r="713" spans="1:15" ht="18" customHeight="1">
      <c r="A713" s="42" t="s">
        <v>18</v>
      </c>
      <c r="B713" s="87"/>
      <c r="C713" s="52">
        <f t="shared" ref="C713" si="72">C710-C712</f>
        <v>0</v>
      </c>
      <c r="D713" s="52">
        <f>D712-D710</f>
        <v>0.46999999999999886</v>
      </c>
      <c r="E713" s="52">
        <f t="shared" ref="E713:I713" si="73">E712-E710</f>
        <v>0.44000000000001194</v>
      </c>
      <c r="F713" s="52">
        <f t="shared" si="73"/>
        <v>0.44000000000001194</v>
      </c>
      <c r="G713" s="52">
        <f t="shared" si="73"/>
        <v>0.44000000000001194</v>
      </c>
      <c r="H713" s="52">
        <f t="shared" si="73"/>
        <v>0.48600000000000421</v>
      </c>
      <c r="I713" s="52">
        <f t="shared" si="73"/>
        <v>0</v>
      </c>
      <c r="J713" s="52"/>
      <c r="K713" s="52"/>
      <c r="L713" s="52"/>
      <c r="M713" s="47"/>
      <c r="N713" s="47"/>
      <c r="O713" s="18"/>
    </row>
    <row r="714" spans="1:15" ht="18" customHeight="1">
      <c r="A714" s="42" t="s">
        <v>5</v>
      </c>
      <c r="B714" s="87"/>
      <c r="C714" s="52">
        <f t="shared" ref="C714" si="74">(C713+B713)/2*(C709-B709)</f>
        <v>0</v>
      </c>
      <c r="D714" s="52">
        <f>(D713+C713)/2*(D709-C709)</f>
        <v>0.14099999999999965</v>
      </c>
      <c r="E714" s="52">
        <f t="shared" ref="E714:I714" si="75">(E713+D713)/2*(E709-D709)</f>
        <v>4.5500000000000533E-2</v>
      </c>
      <c r="F714" s="52">
        <f t="shared" si="75"/>
        <v>0.44000000000001194</v>
      </c>
      <c r="G714" s="52">
        <f t="shared" si="75"/>
        <v>0.44000000000001205</v>
      </c>
      <c r="H714" s="52">
        <f t="shared" si="75"/>
        <v>4.6300000000000639E-2</v>
      </c>
      <c r="I714" s="52">
        <f t="shared" si="75"/>
        <v>0.19440000000000174</v>
      </c>
      <c r="J714" s="52"/>
      <c r="K714" s="52"/>
      <c r="L714" s="52"/>
      <c r="M714" s="47"/>
      <c r="N714" s="77">
        <f>SUM(B714:M714)</f>
        <v>1.3072000000000266</v>
      </c>
      <c r="O714" s="18"/>
    </row>
    <row r="715" spans="1:15" ht="18" customHeight="1">
      <c r="A715" s="2"/>
      <c r="B715" s="2"/>
      <c r="C715" s="30"/>
      <c r="D715" s="30"/>
      <c r="E715" s="4"/>
      <c r="F715" s="4"/>
      <c r="G715" s="4"/>
      <c r="H715" s="4"/>
      <c r="I715" s="4"/>
      <c r="J715" s="179" t="s">
        <v>6</v>
      </c>
      <c r="K715" s="179"/>
      <c r="L715" s="179"/>
      <c r="M715" s="179"/>
      <c r="N715" s="109">
        <f>N714</f>
        <v>1.3072000000000266</v>
      </c>
      <c r="O715" s="18"/>
    </row>
    <row r="716" spans="1:15" ht="18" customHeight="1">
      <c r="A716" s="24"/>
      <c r="B716" s="78"/>
      <c r="C716" s="18"/>
      <c r="D716" s="18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</row>
    <row r="717" spans="1:15" ht="14.1" customHeight="1">
      <c r="A717" s="2"/>
      <c r="B717" s="2"/>
      <c r="C717" s="30"/>
      <c r="D717" s="30"/>
      <c r="E717" s="21"/>
      <c r="F717" s="21"/>
      <c r="G717" s="21"/>
      <c r="H717" s="21"/>
      <c r="I717" s="21"/>
      <c r="J717" s="30"/>
      <c r="K717" s="30"/>
      <c r="L717" s="30"/>
      <c r="M717" s="30"/>
      <c r="N717" s="30"/>
    </row>
    <row r="718" spans="1:15" ht="14.1" customHeight="1">
      <c r="A718" s="6"/>
      <c r="B718" s="6"/>
      <c r="C718" s="7"/>
      <c r="D718" s="7"/>
      <c r="E718" s="7"/>
      <c r="F718" s="7"/>
      <c r="G718" s="7"/>
      <c r="H718" s="7"/>
      <c r="I718" s="7"/>
      <c r="K718" s="7"/>
      <c r="L718" s="7"/>
      <c r="M718" s="7"/>
      <c r="N718" s="7"/>
    </row>
    <row r="719" spans="1:15" ht="14.1" customHeight="1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</row>
    <row r="720" spans="1:15" ht="14.1" customHeight="1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</row>
    <row r="721" spans="1:14" ht="14.1" customHeight="1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</row>
    <row r="722" spans="1:14" ht="14.1" customHeight="1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</row>
    <row r="723" spans="1:14" ht="14.1" customHeight="1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</row>
    <row r="724" spans="1:14" ht="14.1" customHeight="1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</row>
    <row r="725" spans="1:14" ht="14.1" customHeight="1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</row>
    <row r="726" spans="1:14" ht="14.1" customHeight="1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</row>
    <row r="727" spans="1:14" ht="14.1" customHeight="1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</row>
    <row r="728" spans="1:14" ht="14.1" customHeight="1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</row>
    <row r="729" spans="1:14" ht="14.1" customHeight="1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</row>
    <row r="730" spans="1:14" ht="14.1" customHeight="1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</row>
    <row r="731" spans="1:14" ht="14.1" customHeight="1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</row>
    <row r="732" spans="1:14" ht="14.1" customHeight="1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</row>
    <row r="733" spans="1:14" ht="14.1" customHeight="1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</row>
    <row r="734" spans="1:14" ht="14.1" customHeight="1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</row>
    <row r="735" spans="1:14" ht="14.1" customHeight="1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</row>
    <row r="736" spans="1:14" ht="14.1" customHeight="1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</row>
    <row r="737" spans="1:15" ht="14.1" customHeight="1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</row>
    <row r="738" spans="1:15" ht="14.1" customHeight="1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</row>
    <row r="739" spans="1:15" ht="14.1" customHeight="1">
      <c r="A739" s="6"/>
      <c r="B739" s="6"/>
      <c r="C739" s="7"/>
      <c r="D739" s="7"/>
      <c r="E739" s="7"/>
      <c r="F739" s="7"/>
      <c r="G739" s="7"/>
      <c r="H739" s="7"/>
      <c r="I739" s="7"/>
      <c r="J739" s="36"/>
      <c r="K739" s="7"/>
      <c r="L739" s="7"/>
      <c r="M739" s="7"/>
      <c r="N739" s="7"/>
    </row>
    <row r="740" spans="1:15" ht="14.1" customHeight="1">
      <c r="A740" s="6"/>
      <c r="B740" s="6"/>
      <c r="C740" s="7"/>
      <c r="D740" s="7"/>
      <c r="E740" s="7"/>
      <c r="F740" s="7"/>
      <c r="G740" s="7"/>
      <c r="H740" s="7"/>
      <c r="I740" s="7"/>
      <c r="J740" s="30"/>
      <c r="K740" s="7"/>
      <c r="L740" s="7"/>
      <c r="M740" s="7"/>
      <c r="N740" s="7"/>
    </row>
    <row r="741" spans="1:15" ht="14.1" customHeight="1">
      <c r="A741" s="6"/>
      <c r="B741" s="6"/>
      <c r="C741" s="7"/>
      <c r="D741" s="7"/>
      <c r="E741" s="7"/>
      <c r="F741" s="7"/>
      <c r="G741" s="7"/>
      <c r="H741" s="7"/>
      <c r="I741" s="7"/>
      <c r="J741" s="30"/>
      <c r="K741" s="7"/>
      <c r="L741" s="7"/>
      <c r="M741" s="7"/>
      <c r="N741" s="7"/>
    </row>
    <row r="742" spans="1:15" ht="14.1" customHeight="1">
      <c r="A742" s="6"/>
      <c r="B742" s="6"/>
      <c r="C742" s="7"/>
      <c r="D742" s="7"/>
      <c r="E742" s="7"/>
      <c r="F742" s="7"/>
      <c r="G742" s="7"/>
      <c r="H742" s="7"/>
      <c r="I742" s="7"/>
      <c r="J742" s="30"/>
      <c r="K742" s="7"/>
      <c r="L742" s="7"/>
      <c r="M742" s="7"/>
      <c r="N742" s="7"/>
    </row>
    <row r="743" spans="1:15" ht="14.1" customHeight="1">
      <c r="A743" s="6"/>
      <c r="B743" s="6"/>
      <c r="C743" s="7"/>
      <c r="D743" s="7"/>
      <c r="E743" s="7"/>
      <c r="F743" s="7"/>
      <c r="G743" s="7"/>
      <c r="H743" s="7"/>
      <c r="I743" s="7"/>
      <c r="J743" s="30"/>
      <c r="K743" s="7"/>
      <c r="L743" s="7"/>
      <c r="M743" s="7"/>
      <c r="N743" s="7"/>
    </row>
    <row r="744" spans="1:15" ht="14.1" customHeight="1">
      <c r="A744" s="6"/>
      <c r="B744" s="6"/>
      <c r="C744" s="7"/>
      <c r="D744" s="7"/>
      <c r="E744" s="7"/>
      <c r="F744" s="7"/>
      <c r="G744" s="7"/>
      <c r="H744" s="7"/>
      <c r="I744" s="7"/>
      <c r="J744" s="30"/>
      <c r="K744" s="7"/>
      <c r="L744" s="7"/>
      <c r="M744" s="7"/>
      <c r="N744" s="7"/>
    </row>
    <row r="745" spans="1:15" ht="14.1" customHeight="1">
      <c r="A745" s="6"/>
      <c r="B745" s="6"/>
      <c r="C745" s="7"/>
      <c r="D745" s="7"/>
      <c r="E745" s="7"/>
      <c r="F745" s="7"/>
      <c r="G745" s="7"/>
      <c r="H745" s="7"/>
      <c r="I745" s="7"/>
      <c r="J745" s="30"/>
      <c r="K745" s="7"/>
      <c r="L745" s="7"/>
      <c r="M745" s="7"/>
      <c r="N745" s="7"/>
    </row>
    <row r="746" spans="1:15" ht="14.1" customHeight="1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</row>
    <row r="747" spans="1:15" ht="14.1" customHeight="1"/>
    <row r="748" spans="1:15" ht="14.1" customHeight="1"/>
    <row r="749" spans="1:15" ht="18" customHeight="1">
      <c r="A749" s="184" t="s">
        <v>0</v>
      </c>
      <c r="B749" s="185"/>
      <c r="C749" s="185"/>
      <c r="D749" s="185"/>
      <c r="E749" s="185"/>
      <c r="F749" s="185"/>
      <c r="G749" s="20">
        <v>5280</v>
      </c>
      <c r="H749" s="1" t="s">
        <v>15</v>
      </c>
      <c r="I749" s="1"/>
      <c r="J749" s="33"/>
      <c r="K749" s="1"/>
      <c r="L749" s="1"/>
      <c r="M749" s="1"/>
      <c r="N749" s="1"/>
    </row>
    <row r="750" spans="1:15" ht="18" customHeight="1">
      <c r="A750" s="42" t="s">
        <v>1</v>
      </c>
      <c r="B750" s="82"/>
      <c r="C750" s="83">
        <v>0</v>
      </c>
      <c r="D750" s="84">
        <v>0.6</v>
      </c>
      <c r="E750" s="84">
        <v>0.7</v>
      </c>
      <c r="F750" s="85">
        <v>1.7</v>
      </c>
      <c r="G750" s="85">
        <v>2.7</v>
      </c>
      <c r="H750" s="84">
        <v>2.8</v>
      </c>
      <c r="I750" s="52">
        <v>3.5</v>
      </c>
      <c r="J750" s="52"/>
      <c r="K750" s="84"/>
      <c r="L750" s="86"/>
      <c r="M750" s="45"/>
      <c r="N750" s="47"/>
      <c r="O750" s="22"/>
    </row>
    <row r="751" spans="1:15" ht="18" customHeight="1">
      <c r="A751" s="42" t="s">
        <v>2</v>
      </c>
      <c r="B751" s="82"/>
      <c r="C751" s="83">
        <v>96.43</v>
      </c>
      <c r="D751" s="84">
        <v>95.25</v>
      </c>
      <c r="E751" s="84">
        <v>95.25</v>
      </c>
      <c r="F751" s="84">
        <v>95.25</v>
      </c>
      <c r="G751" s="84">
        <v>95.25</v>
      </c>
      <c r="H751" s="84">
        <v>95.25</v>
      </c>
      <c r="I751" s="84">
        <v>96.58</v>
      </c>
      <c r="J751" s="84"/>
      <c r="K751" s="84"/>
      <c r="L751" s="86"/>
      <c r="M751" s="45"/>
      <c r="N751" s="47"/>
      <c r="O751" s="21"/>
    </row>
    <row r="752" spans="1:15" ht="18" customHeight="1">
      <c r="A752" s="42" t="s">
        <v>1</v>
      </c>
      <c r="B752" s="82"/>
      <c r="C752" s="83">
        <v>0</v>
      </c>
      <c r="D752" s="84">
        <v>0.6</v>
      </c>
      <c r="E752" s="84">
        <v>0.7</v>
      </c>
      <c r="F752" s="85">
        <v>1.7</v>
      </c>
      <c r="G752" s="85">
        <v>2.7</v>
      </c>
      <c r="H752" s="84">
        <v>2.8</v>
      </c>
      <c r="I752" s="52">
        <v>3.5</v>
      </c>
      <c r="J752" s="52"/>
      <c r="K752" s="84"/>
      <c r="L752" s="86"/>
      <c r="M752" s="45"/>
      <c r="N752" s="47"/>
      <c r="O752" s="22"/>
    </row>
    <row r="753" spans="1:15" ht="18" customHeight="1">
      <c r="A753" s="42" t="s">
        <v>3</v>
      </c>
      <c r="B753" s="87"/>
      <c r="C753" s="83">
        <v>96.43</v>
      </c>
      <c r="D753" s="84">
        <v>95.763000000000005</v>
      </c>
      <c r="E753" s="84">
        <v>95.65</v>
      </c>
      <c r="F753" s="84">
        <v>95.65</v>
      </c>
      <c r="G753" s="84">
        <v>95.65</v>
      </c>
      <c r="H753" s="84">
        <v>95.766000000000005</v>
      </c>
      <c r="I753" s="84">
        <v>96.58</v>
      </c>
      <c r="J753" s="84"/>
      <c r="K753" s="84"/>
      <c r="L753" s="86"/>
      <c r="M753" s="45"/>
      <c r="N753" s="52"/>
      <c r="O753" s="23"/>
    </row>
    <row r="754" spans="1:15" ht="18" customHeight="1">
      <c r="A754" s="42" t="s">
        <v>18</v>
      </c>
      <c r="B754" s="87"/>
      <c r="C754" s="52">
        <f t="shared" ref="C754" si="76">C751-C753</f>
        <v>0</v>
      </c>
      <c r="D754" s="52">
        <f>D753-D751</f>
        <v>0.51300000000000523</v>
      </c>
      <c r="E754" s="52">
        <f t="shared" ref="E754:I754" si="77">E753-E751</f>
        <v>0.40000000000000568</v>
      </c>
      <c r="F754" s="52">
        <f t="shared" si="77"/>
        <v>0.40000000000000568</v>
      </c>
      <c r="G754" s="52">
        <f t="shared" si="77"/>
        <v>0.40000000000000568</v>
      </c>
      <c r="H754" s="52">
        <f t="shared" si="77"/>
        <v>0.51600000000000534</v>
      </c>
      <c r="I754" s="52">
        <f t="shared" si="77"/>
        <v>0</v>
      </c>
      <c r="J754" s="52"/>
      <c r="K754" s="52"/>
      <c r="L754" s="52"/>
      <c r="M754" s="47"/>
      <c r="N754" s="47"/>
      <c r="O754" s="21"/>
    </row>
    <row r="755" spans="1:15" ht="18" customHeight="1">
      <c r="A755" s="42" t="s">
        <v>5</v>
      </c>
      <c r="B755" s="87"/>
      <c r="C755" s="52">
        <f t="shared" ref="C755" si="78">(C754+B754)/2*(C750-B750)</f>
        <v>0</v>
      </c>
      <c r="D755" s="52">
        <f>(D754+C754)/2*(D750-C750)</f>
        <v>0.15390000000000156</v>
      </c>
      <c r="E755" s="52">
        <f t="shared" ref="E755" si="79">(E754+D754)/2*(E750-D750)</f>
        <v>4.5650000000000537E-2</v>
      </c>
      <c r="F755" s="52">
        <f t="shared" ref="F755" si="80">(F754+E754)/2*(F750-E750)</f>
        <v>0.40000000000000568</v>
      </c>
      <c r="G755" s="52">
        <f t="shared" ref="G755" si="81">(G754+F754)/2*(G750-F750)</f>
        <v>0.4000000000000058</v>
      </c>
      <c r="H755" s="52">
        <f t="shared" ref="H755" si="82">(H754+G754)/2*(H750-G750)</f>
        <v>4.5800000000000389E-2</v>
      </c>
      <c r="I755" s="52">
        <f t="shared" ref="I755" si="83">(I754+H754)/2*(I750-H750)</f>
        <v>0.18060000000000193</v>
      </c>
      <c r="J755" s="52"/>
      <c r="K755" s="52"/>
      <c r="L755" s="52"/>
      <c r="M755" s="47"/>
      <c r="N755" s="77">
        <f>SUM(B755:M755)</f>
        <v>1.2259500000000159</v>
      </c>
      <c r="O755" s="21"/>
    </row>
    <row r="756" spans="1:15" ht="18" customHeight="1">
      <c r="A756" s="2"/>
      <c r="B756" s="2"/>
      <c r="C756" s="30"/>
      <c r="D756" s="30"/>
      <c r="E756" s="4"/>
      <c r="F756" s="4"/>
      <c r="G756" s="4"/>
      <c r="H756" s="4"/>
      <c r="I756" s="4"/>
      <c r="J756" s="179" t="s">
        <v>6</v>
      </c>
      <c r="K756" s="179"/>
      <c r="L756" s="179"/>
      <c r="M756" s="179"/>
      <c r="N756" s="109">
        <f>N755</f>
        <v>1.2259500000000159</v>
      </c>
      <c r="O756" s="21"/>
    </row>
    <row r="757" spans="1:15" ht="18" customHeight="1">
      <c r="A757" s="24"/>
      <c r="B757" s="78"/>
      <c r="C757" s="18"/>
      <c r="D757" s="18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</row>
    <row r="758" spans="1:15" ht="14.1" customHeight="1">
      <c r="A758" s="2"/>
      <c r="B758" s="2"/>
      <c r="C758" s="30"/>
      <c r="D758" s="30"/>
      <c r="E758" s="21"/>
      <c r="F758" s="21"/>
      <c r="G758" s="21"/>
      <c r="H758" s="21"/>
      <c r="I758" s="21"/>
      <c r="J758" s="30"/>
      <c r="K758" s="30"/>
      <c r="L758" s="30"/>
      <c r="M758" s="30"/>
      <c r="N758" s="30"/>
    </row>
    <row r="759" spans="1:15" ht="14.1" customHeight="1">
      <c r="A759" s="6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</row>
    <row r="760" spans="1:15" ht="14.1" customHeight="1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</row>
    <row r="761" spans="1:15" ht="14.1" customHeight="1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</row>
    <row r="762" spans="1:15" ht="14.1" customHeight="1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</row>
    <row r="763" spans="1:15" ht="14.1" customHeight="1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</row>
    <row r="764" spans="1:15" ht="14.1" customHeight="1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</row>
    <row r="765" spans="1:15" ht="14.1" customHeight="1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</row>
    <row r="766" spans="1:15" ht="14.1" customHeight="1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</row>
    <row r="767" spans="1:15" ht="14.1" customHeight="1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</row>
    <row r="768" spans="1:15" ht="14.1" customHeight="1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</row>
    <row r="769" spans="1:14" ht="14.1" customHeight="1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</row>
    <row r="770" spans="1:14" ht="14.1" customHeight="1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</row>
    <row r="771" spans="1:14" ht="14.1" customHeight="1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</row>
    <row r="772" spans="1:14" ht="14.1" customHeight="1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</row>
    <row r="773" spans="1:14" ht="14.1" customHeight="1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</row>
    <row r="774" spans="1:14" ht="14.1" customHeight="1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</row>
    <row r="775" spans="1:14" ht="14.1" customHeight="1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</row>
    <row r="776" spans="1:14" ht="14.1" customHeight="1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</row>
    <row r="777" spans="1:14" ht="14.1" customHeight="1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</row>
    <row r="778" spans="1:14" ht="14.1" customHeight="1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</row>
    <row r="779" spans="1:14" ht="14.1" customHeight="1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</row>
    <row r="780" spans="1:14" ht="14.1" customHeight="1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</row>
    <row r="781" spans="1:14" ht="14.1" customHeight="1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</row>
    <row r="782" spans="1:14" ht="14.1" customHeight="1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</row>
    <row r="783" spans="1:14" ht="14.1" customHeight="1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</row>
    <row r="784" spans="1:14" ht="14.1" customHeight="1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</row>
    <row r="785" spans="1:16" ht="14.1" customHeight="1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</row>
    <row r="786" spans="1:16" ht="14.1" customHeight="1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</row>
    <row r="787" spans="1:16" ht="14.1" customHeight="1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</row>
    <row r="788" spans="1:16" ht="14.1" customHeight="1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</row>
    <row r="789" spans="1:16" ht="14.1" customHeight="1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</row>
    <row r="790" spans="1:16" ht="14.1" customHeight="1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</row>
    <row r="791" spans="1:16" ht="14.1" customHeight="1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</row>
    <row r="792" spans="1:16" ht="14.1" customHeight="1">
      <c r="A792" s="6"/>
      <c r="B792" s="181"/>
      <c r="C792" s="181"/>
      <c r="D792" s="181"/>
      <c r="E792" s="25"/>
      <c r="F792" s="25"/>
      <c r="G792" s="167"/>
      <c r="H792" s="167"/>
      <c r="I792" s="167"/>
      <c r="J792" s="7"/>
      <c r="K792" s="182"/>
      <c r="L792" s="182"/>
      <c r="M792" s="7"/>
      <c r="N792" s="7"/>
    </row>
    <row r="793" spans="1:16" ht="14.1" customHeight="1">
      <c r="A793" s="6"/>
      <c r="B793" s="170"/>
      <c r="C793" s="170"/>
      <c r="D793" s="170"/>
      <c r="E793" s="26"/>
      <c r="F793" s="26"/>
      <c r="G793" s="170"/>
      <c r="H793" s="170"/>
      <c r="I793" s="170"/>
      <c r="J793" s="25"/>
      <c r="K793" s="171"/>
      <c r="L793" s="171"/>
      <c r="M793" s="7"/>
      <c r="N793" s="7"/>
    </row>
    <row r="794" spans="1:16" ht="14.1" customHeight="1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</row>
    <row r="795" spans="1:16" ht="14.1" customHeight="1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</row>
    <row r="796" spans="1:16" ht="14.1" customHeight="1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</row>
    <row r="797" spans="1:16" ht="18.75" customHeight="1">
      <c r="A797" s="184" t="s">
        <v>0</v>
      </c>
      <c r="B797" s="185"/>
      <c r="C797" s="185"/>
      <c r="D797" s="185"/>
      <c r="E797" s="185"/>
      <c r="F797" s="185"/>
      <c r="G797" s="20">
        <v>5340</v>
      </c>
      <c r="H797" s="1" t="s">
        <v>15</v>
      </c>
      <c r="I797" s="1"/>
      <c r="J797" s="32"/>
      <c r="K797" s="1"/>
      <c r="L797" s="1"/>
      <c r="M797" s="1"/>
      <c r="N797" s="1"/>
    </row>
    <row r="798" spans="1:16" ht="18.75" customHeight="1">
      <c r="A798" s="42" t="s">
        <v>1</v>
      </c>
      <c r="B798" s="82"/>
      <c r="C798" s="83">
        <v>0</v>
      </c>
      <c r="D798" s="84">
        <v>0.6</v>
      </c>
      <c r="E798" s="84">
        <v>0.7</v>
      </c>
      <c r="F798" s="85">
        <v>1.7</v>
      </c>
      <c r="G798" s="85">
        <v>2.7</v>
      </c>
      <c r="H798" s="84">
        <v>2.8</v>
      </c>
      <c r="I798" s="52">
        <v>3.6</v>
      </c>
      <c r="J798" s="52"/>
      <c r="K798" s="84"/>
      <c r="L798" s="86"/>
      <c r="M798" s="45"/>
      <c r="N798" s="47"/>
      <c r="O798" s="22"/>
      <c r="P798" s="22"/>
    </row>
    <row r="799" spans="1:16" ht="18.75" customHeight="1">
      <c r="A799" s="42" t="s">
        <v>2</v>
      </c>
      <c r="B799" s="82"/>
      <c r="C799" s="83">
        <v>96.13</v>
      </c>
      <c r="D799" s="84">
        <v>95.15</v>
      </c>
      <c r="E799" s="84">
        <v>95.15</v>
      </c>
      <c r="F799" s="84">
        <v>95.15</v>
      </c>
      <c r="G799" s="84">
        <v>95.15</v>
      </c>
      <c r="H799" s="84">
        <v>95.15</v>
      </c>
      <c r="I799" s="84">
        <v>96.31</v>
      </c>
      <c r="J799" s="84"/>
      <c r="K799" s="84"/>
      <c r="L799" s="86"/>
      <c r="M799" s="45"/>
      <c r="N799" s="47"/>
      <c r="O799" s="21"/>
      <c r="P799" s="21"/>
    </row>
    <row r="800" spans="1:16" ht="18.75" customHeight="1">
      <c r="A800" s="42" t="s">
        <v>1</v>
      </c>
      <c r="B800" s="82"/>
      <c r="C800" s="83">
        <v>0</v>
      </c>
      <c r="D800" s="84">
        <v>0.6</v>
      </c>
      <c r="E800" s="84">
        <v>0.7</v>
      </c>
      <c r="F800" s="85">
        <v>1.7</v>
      </c>
      <c r="G800" s="85">
        <v>2.7</v>
      </c>
      <c r="H800" s="84">
        <v>2.8</v>
      </c>
      <c r="I800" s="52">
        <v>3.6</v>
      </c>
      <c r="J800" s="52"/>
      <c r="K800" s="84"/>
      <c r="L800" s="86"/>
      <c r="M800" s="45"/>
      <c r="N800" s="47"/>
      <c r="O800" s="22"/>
      <c r="P800" s="22"/>
    </row>
    <row r="801" spans="1:16" ht="18.75" customHeight="1">
      <c r="A801" s="42" t="s">
        <v>3</v>
      </c>
      <c r="B801" s="87"/>
      <c r="C801" s="83">
        <v>96.13</v>
      </c>
      <c r="D801" s="84">
        <v>95.65</v>
      </c>
      <c r="E801" s="84">
        <v>95.57</v>
      </c>
      <c r="F801" s="84">
        <v>95.57</v>
      </c>
      <c r="G801" s="84">
        <v>95.57</v>
      </c>
      <c r="H801" s="84">
        <v>95.652000000000001</v>
      </c>
      <c r="I801" s="84">
        <v>96.31</v>
      </c>
      <c r="J801" s="84"/>
      <c r="K801" s="84"/>
      <c r="L801" s="86"/>
      <c r="M801" s="45"/>
      <c r="N801" s="52"/>
      <c r="O801" s="23"/>
      <c r="P801" s="23"/>
    </row>
    <row r="802" spans="1:16" ht="18.75" customHeight="1">
      <c r="A802" s="42" t="s">
        <v>18</v>
      </c>
      <c r="B802" s="87"/>
      <c r="C802" s="52">
        <f t="shared" ref="C802" si="84">C799-C801</f>
        <v>0</v>
      </c>
      <c r="D802" s="52">
        <f>D801-D799</f>
        <v>0.5</v>
      </c>
      <c r="E802" s="52">
        <f t="shared" ref="E802:I802" si="85">E801-E799</f>
        <v>0.41999999999998749</v>
      </c>
      <c r="F802" s="52">
        <f t="shared" si="85"/>
        <v>0.41999999999998749</v>
      </c>
      <c r="G802" s="52">
        <f t="shared" si="85"/>
        <v>0.41999999999998749</v>
      </c>
      <c r="H802" s="52">
        <f t="shared" si="85"/>
        <v>0.50199999999999534</v>
      </c>
      <c r="I802" s="52">
        <f t="shared" si="85"/>
        <v>0</v>
      </c>
      <c r="J802" s="52"/>
      <c r="K802" s="52"/>
      <c r="L802" s="52"/>
      <c r="M802" s="47"/>
      <c r="N802" s="47"/>
      <c r="O802" s="21"/>
      <c r="P802" s="21"/>
    </row>
    <row r="803" spans="1:16" ht="18.75" customHeight="1">
      <c r="A803" s="42" t="s">
        <v>5</v>
      </c>
      <c r="B803" s="87"/>
      <c r="C803" s="52">
        <f t="shared" ref="C803" si="86">(C802+B802)/2*(C798-B798)</f>
        <v>0</v>
      </c>
      <c r="D803" s="52">
        <f>(D802+C802)/2*(D798-C798)</f>
        <v>0.15</v>
      </c>
      <c r="E803" s="52">
        <f t="shared" ref="E803:I803" si="87">(E802+D802)/2*(E798-D798)</f>
        <v>4.5999999999999368E-2</v>
      </c>
      <c r="F803" s="52">
        <f t="shared" si="87"/>
        <v>0.41999999999998749</v>
      </c>
      <c r="G803" s="52">
        <f t="shared" si="87"/>
        <v>0.41999999999998761</v>
      </c>
      <c r="H803" s="52">
        <f t="shared" si="87"/>
        <v>4.6099999999998975E-2</v>
      </c>
      <c r="I803" s="52">
        <f t="shared" si="87"/>
        <v>0.2007999999999982</v>
      </c>
      <c r="J803" s="52"/>
      <c r="K803" s="52"/>
      <c r="L803" s="52"/>
      <c r="M803" s="47"/>
      <c r="N803" s="77">
        <f>SUM(B803:M803)</f>
        <v>1.2828999999999717</v>
      </c>
      <c r="O803" s="21"/>
      <c r="P803" s="21"/>
    </row>
    <row r="804" spans="1:16" ht="18.75" customHeight="1">
      <c r="A804" s="2"/>
      <c r="B804" s="2"/>
      <c r="C804" s="30"/>
      <c r="D804" s="30"/>
      <c r="E804" s="4"/>
      <c r="F804" s="4"/>
      <c r="G804" s="4"/>
      <c r="H804" s="4"/>
      <c r="I804" s="4"/>
      <c r="J804" s="179" t="s">
        <v>6</v>
      </c>
      <c r="K804" s="179"/>
      <c r="L804" s="179"/>
      <c r="M804" s="179"/>
      <c r="N804" s="109">
        <f>N803</f>
        <v>1.2828999999999717</v>
      </c>
      <c r="O804" s="21"/>
      <c r="P804" s="21"/>
    </row>
    <row r="805" spans="1:16" ht="18.75" customHeight="1">
      <c r="A805" s="24"/>
      <c r="B805" s="78"/>
      <c r="C805" s="18"/>
      <c r="D805" s="18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31"/>
      <c r="P805" s="21"/>
    </row>
    <row r="806" spans="1:16" ht="18.75" customHeight="1">
      <c r="A806" s="2"/>
      <c r="B806" s="2"/>
      <c r="C806" s="30"/>
      <c r="D806" s="30"/>
      <c r="E806" s="21"/>
      <c r="F806" s="21"/>
      <c r="G806" s="21"/>
      <c r="H806" s="21"/>
      <c r="I806" s="21"/>
      <c r="J806" s="30"/>
      <c r="K806" s="30"/>
      <c r="L806" s="30"/>
      <c r="M806" s="30"/>
      <c r="N806" s="30"/>
    </row>
    <row r="807" spans="1:16" ht="14.1" customHeight="1">
      <c r="A807" s="6"/>
      <c r="B807" s="6"/>
      <c r="C807" s="7"/>
      <c r="D807" s="7"/>
      <c r="E807" s="7"/>
      <c r="F807" s="7"/>
      <c r="G807" s="7"/>
      <c r="H807" s="7"/>
      <c r="I807" s="7"/>
      <c r="K807" s="7"/>
      <c r="L807" s="7"/>
      <c r="M807" s="7"/>
      <c r="N807" s="7"/>
    </row>
    <row r="808" spans="1:16" ht="14.1" customHeight="1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</row>
    <row r="809" spans="1:16" ht="14.1" customHeight="1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</row>
    <row r="810" spans="1:16" ht="14.1" customHeight="1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</row>
    <row r="811" spans="1:16" ht="14.1" customHeight="1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</row>
    <row r="812" spans="1:16" ht="14.1" customHeight="1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</row>
    <row r="813" spans="1:16" ht="14.1" customHeight="1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</row>
    <row r="814" spans="1:16" ht="14.1" customHeight="1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</row>
    <row r="815" spans="1:16" ht="14.1" customHeight="1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</row>
    <row r="816" spans="1:16" ht="14.1" customHeight="1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</row>
    <row r="817" spans="1:14" ht="14.1" customHeight="1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</row>
    <row r="818" spans="1:14" ht="14.1" customHeight="1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</row>
    <row r="819" spans="1:14" ht="14.1" customHeight="1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</row>
    <row r="820" spans="1:14" ht="14.1" customHeight="1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</row>
    <row r="821" spans="1:14" ht="14.1" customHeight="1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</row>
    <row r="822" spans="1:14" ht="14.1" customHeight="1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</row>
    <row r="823" spans="1:14" ht="14.1" customHeight="1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</row>
    <row r="824" spans="1:14" ht="14.1" customHeight="1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</row>
    <row r="825" spans="1:14" ht="14.1" customHeight="1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</row>
    <row r="826" spans="1:14" ht="14.1" customHeight="1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</row>
    <row r="827" spans="1:14" ht="14.1" customHeight="1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</row>
    <row r="828" spans="1:14" ht="14.1" customHeight="1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</row>
    <row r="829" spans="1:14" ht="14.1" customHeight="1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</row>
    <row r="830" spans="1:14" ht="14.1" customHeight="1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</row>
    <row r="831" spans="1:14" ht="14.1" customHeight="1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</row>
    <row r="832" spans="1:14" ht="18" customHeight="1">
      <c r="A832" s="184" t="s">
        <v>0</v>
      </c>
      <c r="B832" s="185"/>
      <c r="C832" s="185"/>
      <c r="D832" s="185"/>
      <c r="E832" s="185"/>
      <c r="F832" s="185"/>
      <c r="G832" s="20">
        <v>5400</v>
      </c>
      <c r="H832" s="1" t="s">
        <v>15</v>
      </c>
      <c r="I832" s="1"/>
      <c r="J832" s="32"/>
      <c r="K832" s="1"/>
      <c r="L832" s="1"/>
      <c r="M832" s="1"/>
      <c r="N832" s="1"/>
    </row>
    <row r="833" spans="1:16" ht="18" customHeight="1">
      <c r="A833" s="42" t="s">
        <v>1</v>
      </c>
      <c r="B833" s="82"/>
      <c r="C833" s="83">
        <v>0</v>
      </c>
      <c r="D833" s="84">
        <v>0.6</v>
      </c>
      <c r="E833" s="84">
        <v>0.7</v>
      </c>
      <c r="F833" s="85">
        <v>1.7</v>
      </c>
      <c r="G833" s="85">
        <v>2.7</v>
      </c>
      <c r="H833" s="84">
        <v>2.8</v>
      </c>
      <c r="I833" s="52">
        <v>3.5</v>
      </c>
      <c r="J833" s="52"/>
      <c r="K833" s="84"/>
      <c r="L833" s="86"/>
      <c r="M833" s="45"/>
      <c r="N833" s="47"/>
      <c r="O833" s="22"/>
      <c r="P833" s="22"/>
    </row>
    <row r="834" spans="1:16" ht="18" customHeight="1">
      <c r="A834" s="42" t="s">
        <v>2</v>
      </c>
      <c r="B834" s="82"/>
      <c r="C834" s="83">
        <v>96.35</v>
      </c>
      <c r="D834" s="84">
        <v>95.15</v>
      </c>
      <c r="E834" s="84">
        <v>95.15</v>
      </c>
      <c r="F834" s="84">
        <v>95.15</v>
      </c>
      <c r="G834" s="84">
        <v>95.15</v>
      </c>
      <c r="H834" s="84">
        <v>95.15</v>
      </c>
      <c r="I834" s="84">
        <v>96.52</v>
      </c>
      <c r="J834" s="84"/>
      <c r="K834" s="84"/>
      <c r="L834" s="86"/>
      <c r="M834" s="45"/>
      <c r="N834" s="47"/>
      <c r="O834" s="21"/>
      <c r="P834" s="21"/>
    </row>
    <row r="835" spans="1:16" ht="18" customHeight="1">
      <c r="A835" s="42" t="s">
        <v>1</v>
      </c>
      <c r="B835" s="82"/>
      <c r="C835" s="83">
        <v>0</v>
      </c>
      <c r="D835" s="84">
        <v>0.6</v>
      </c>
      <c r="E835" s="84">
        <v>0.7</v>
      </c>
      <c r="F835" s="85">
        <v>1.7</v>
      </c>
      <c r="G835" s="85">
        <v>2.7</v>
      </c>
      <c r="H835" s="84">
        <v>2.8</v>
      </c>
      <c r="I835" s="52">
        <v>3.5</v>
      </c>
      <c r="J835" s="52"/>
      <c r="K835" s="84"/>
      <c r="L835" s="86"/>
      <c r="M835" s="45"/>
      <c r="N835" s="47"/>
      <c r="O835" s="22"/>
      <c r="P835" s="22"/>
    </row>
    <row r="836" spans="1:16" ht="18" customHeight="1">
      <c r="A836" s="42" t="s">
        <v>3</v>
      </c>
      <c r="B836" s="87"/>
      <c r="C836" s="83">
        <v>96.35</v>
      </c>
      <c r="D836" s="84">
        <v>95.698999999999998</v>
      </c>
      <c r="E836" s="84">
        <v>95.59</v>
      </c>
      <c r="F836" s="84">
        <v>95.59</v>
      </c>
      <c r="G836" s="84">
        <v>95.59</v>
      </c>
      <c r="H836" s="84">
        <v>95.706000000000003</v>
      </c>
      <c r="I836" s="84">
        <v>96.52</v>
      </c>
      <c r="J836" s="84"/>
      <c r="K836" s="84"/>
      <c r="L836" s="86"/>
      <c r="M836" s="45"/>
      <c r="N836" s="52"/>
      <c r="O836" s="23"/>
      <c r="P836" s="23"/>
    </row>
    <row r="837" spans="1:16" ht="18" customHeight="1">
      <c r="A837" s="42" t="s">
        <v>18</v>
      </c>
      <c r="B837" s="87"/>
      <c r="C837" s="52">
        <f t="shared" ref="C837" si="88">C834-C836</f>
        <v>0</v>
      </c>
      <c r="D837" s="52">
        <f>D836-D834</f>
        <v>0.54899999999999238</v>
      </c>
      <c r="E837" s="52">
        <f t="shared" ref="E837:I837" si="89">E836-E834</f>
        <v>0.43999999999999773</v>
      </c>
      <c r="F837" s="52">
        <f t="shared" si="89"/>
        <v>0.43999999999999773</v>
      </c>
      <c r="G837" s="52">
        <f t="shared" si="89"/>
        <v>0.43999999999999773</v>
      </c>
      <c r="H837" s="52">
        <f t="shared" si="89"/>
        <v>0.55599999999999739</v>
      </c>
      <c r="I837" s="52">
        <f t="shared" si="89"/>
        <v>0</v>
      </c>
      <c r="J837" s="52"/>
      <c r="K837" s="52"/>
      <c r="L837" s="52"/>
      <c r="M837" s="47"/>
      <c r="N837" s="47"/>
      <c r="O837" s="21"/>
      <c r="P837" s="21"/>
    </row>
    <row r="838" spans="1:16" ht="18" customHeight="1">
      <c r="A838" s="42" t="s">
        <v>5</v>
      </c>
      <c r="B838" s="87"/>
      <c r="C838" s="52">
        <f t="shared" ref="C838" si="90">(C837+B837)/2*(C833-B833)</f>
        <v>0</v>
      </c>
      <c r="D838" s="52">
        <f>(D837+C837)/2*(D833-C833)</f>
        <v>0.16469999999999771</v>
      </c>
      <c r="E838" s="52">
        <f t="shared" ref="E838:I838" si="91">(E837+D837)/2*(E833-D833)</f>
        <v>4.9449999999999494E-2</v>
      </c>
      <c r="F838" s="52">
        <f t="shared" si="91"/>
        <v>0.43999999999999773</v>
      </c>
      <c r="G838" s="52">
        <f t="shared" si="91"/>
        <v>0.43999999999999784</v>
      </c>
      <c r="H838" s="52">
        <f t="shared" si="91"/>
        <v>4.9799999999999581E-2</v>
      </c>
      <c r="I838" s="52">
        <f t="shared" si="91"/>
        <v>0.19459999999999913</v>
      </c>
      <c r="J838" s="52"/>
      <c r="K838" s="52"/>
      <c r="L838" s="52"/>
      <c r="M838" s="47"/>
      <c r="N838" s="77">
        <f>SUM(B838:M838)</f>
        <v>1.3385499999999917</v>
      </c>
      <c r="O838" s="21"/>
      <c r="P838" s="21"/>
    </row>
    <row r="839" spans="1:16" ht="18" customHeight="1">
      <c r="A839" s="2"/>
      <c r="B839" s="2"/>
      <c r="C839" s="30"/>
      <c r="D839" s="30"/>
      <c r="E839" s="4"/>
      <c r="F839" s="4"/>
      <c r="G839" s="4"/>
      <c r="H839" s="4"/>
      <c r="I839" s="4"/>
      <c r="J839" s="179" t="s">
        <v>6</v>
      </c>
      <c r="K839" s="179"/>
      <c r="L839" s="179"/>
      <c r="M839" s="179"/>
      <c r="N839" s="109">
        <f>N838</f>
        <v>1.3385499999999917</v>
      </c>
      <c r="O839" s="21"/>
      <c r="P839" s="21"/>
    </row>
    <row r="840" spans="1:16" ht="18" customHeight="1">
      <c r="A840" s="24"/>
      <c r="B840" s="78"/>
      <c r="C840" s="18"/>
      <c r="D840" s="18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31"/>
      <c r="P840" s="21"/>
    </row>
    <row r="841" spans="1:16" ht="14.1" customHeight="1">
      <c r="A841" s="2"/>
      <c r="B841" s="2"/>
      <c r="C841" s="30"/>
      <c r="D841" s="30"/>
      <c r="E841" s="21"/>
      <c r="F841" s="21"/>
      <c r="G841" s="21"/>
      <c r="H841" s="21"/>
      <c r="I841" s="21"/>
      <c r="J841" s="30"/>
      <c r="K841" s="30"/>
      <c r="L841" s="30"/>
      <c r="M841" s="30"/>
      <c r="N841" s="30"/>
    </row>
    <row r="842" spans="1:16" ht="14.1" customHeight="1">
      <c r="A842" s="2"/>
      <c r="B842" s="2"/>
      <c r="C842" s="30"/>
      <c r="D842" s="30"/>
      <c r="E842" s="4"/>
      <c r="F842" s="4"/>
      <c r="G842" s="4"/>
      <c r="H842" s="4"/>
      <c r="I842" s="4"/>
      <c r="J842" s="30"/>
      <c r="K842" s="30"/>
      <c r="L842" s="30"/>
      <c r="M842" s="30"/>
      <c r="N842" s="30"/>
    </row>
    <row r="843" spans="1:16" ht="14.1" customHeight="1">
      <c r="A843" s="2"/>
      <c r="B843" s="2"/>
      <c r="C843" s="30"/>
      <c r="D843" s="30"/>
      <c r="E843" s="4"/>
      <c r="F843" s="4"/>
      <c r="G843" s="4"/>
      <c r="H843" s="4"/>
      <c r="I843" s="4"/>
      <c r="J843" s="30"/>
      <c r="K843" s="30"/>
      <c r="L843" s="30"/>
      <c r="M843" s="30"/>
      <c r="N843" s="30"/>
    </row>
    <row r="844" spans="1:16" ht="14.1" customHeight="1">
      <c r="A844" s="6"/>
      <c r="B844" s="6"/>
      <c r="C844" s="7"/>
      <c r="D844" s="7"/>
      <c r="E844" s="7"/>
      <c r="F844" s="7"/>
      <c r="G844" s="7"/>
      <c r="H844" s="7"/>
      <c r="I844" s="7"/>
      <c r="K844" s="7"/>
      <c r="L844" s="7"/>
      <c r="M844" s="7"/>
      <c r="N844" s="7"/>
    </row>
    <row r="845" spans="1:16" ht="14.1" customHeight="1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</row>
    <row r="846" spans="1:16" ht="14.1" customHeight="1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</row>
    <row r="847" spans="1:16" ht="14.1" customHeight="1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</row>
    <row r="848" spans="1:16" ht="14.1" customHeight="1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</row>
    <row r="849" spans="1:14" ht="14.1" customHeight="1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</row>
    <row r="850" spans="1:14" ht="14.1" customHeight="1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</row>
    <row r="851" spans="1:14" ht="14.1" customHeight="1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</row>
    <row r="852" spans="1:14" ht="14.1" customHeight="1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</row>
    <row r="853" spans="1:14" ht="14.1" customHeight="1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</row>
    <row r="854" spans="1:14" ht="14.1" customHeight="1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</row>
    <row r="855" spans="1:14" ht="14.1" customHeight="1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</row>
    <row r="856" spans="1:14" ht="14.1" customHeight="1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</row>
    <row r="857" spans="1:14" ht="14.1" customHeight="1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</row>
    <row r="858" spans="1:14" ht="14.1" customHeight="1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</row>
    <row r="859" spans="1:14" ht="14.1" customHeight="1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</row>
    <row r="860" spans="1:14" ht="14.1" customHeight="1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</row>
    <row r="861" spans="1:14" ht="14.1" customHeight="1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</row>
    <row r="862" spans="1:14" ht="14.1" customHeight="1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</row>
    <row r="863" spans="1:14" ht="14.1" customHeight="1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</row>
    <row r="864" spans="1:14" ht="14.1" customHeight="1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</row>
    <row r="865" spans="1:14" ht="14.1" customHeight="1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</row>
    <row r="866" spans="1:14" ht="14.1" customHeight="1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</row>
    <row r="867" spans="1:14" ht="14.1" customHeight="1">
      <c r="A867" s="6"/>
      <c r="B867" s="181"/>
      <c r="C867" s="181"/>
      <c r="D867" s="181"/>
      <c r="E867" s="25"/>
      <c r="F867" s="25"/>
      <c r="G867" s="167"/>
      <c r="H867" s="167"/>
      <c r="I867" s="167"/>
      <c r="J867" s="7"/>
      <c r="K867" s="182"/>
      <c r="L867" s="182"/>
      <c r="M867" s="7"/>
      <c r="N867" s="7"/>
    </row>
    <row r="868" spans="1:14" ht="14.1" customHeight="1">
      <c r="A868" s="6"/>
      <c r="B868" s="170"/>
      <c r="C868" s="170"/>
      <c r="D868" s="170"/>
      <c r="E868" s="26"/>
      <c r="F868" s="26"/>
      <c r="G868" s="170"/>
      <c r="H868" s="170"/>
      <c r="I868" s="170"/>
      <c r="J868" s="25"/>
      <c r="K868" s="171"/>
      <c r="L868" s="171"/>
      <c r="M868" s="7"/>
      <c r="N868" s="7"/>
    </row>
    <row r="869" spans="1:14" ht="14.1" customHeight="1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</row>
    <row r="870" spans="1:14" ht="14.1" customHeight="1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</row>
    <row r="871" spans="1:14" ht="14.1" customHeight="1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</row>
    <row r="872" spans="1:14" ht="14.1" customHeight="1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</row>
    <row r="873" spans="1:14" ht="14.1" customHeight="1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</row>
    <row r="874" spans="1:14" ht="14.1" customHeight="1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</row>
    <row r="875" spans="1:14" ht="14.1" customHeight="1">
      <c r="A875" s="6"/>
      <c r="B875" s="181"/>
      <c r="C875" s="181"/>
      <c r="D875" s="181"/>
      <c r="E875" s="25"/>
      <c r="F875" s="25"/>
      <c r="G875" s="167"/>
      <c r="H875" s="167"/>
      <c r="I875" s="167"/>
      <c r="J875" s="7"/>
      <c r="K875" s="182"/>
      <c r="L875" s="182"/>
      <c r="M875" s="7"/>
      <c r="N875" s="7"/>
    </row>
    <row r="876" spans="1:14" ht="14.1" customHeight="1">
      <c r="A876" s="6"/>
      <c r="B876" s="170"/>
      <c r="C876" s="170"/>
      <c r="D876" s="170"/>
      <c r="E876" s="26"/>
      <c r="F876" s="26"/>
      <c r="G876" s="170"/>
      <c r="H876" s="170"/>
      <c r="I876" s="170"/>
      <c r="J876" s="25"/>
      <c r="K876" s="171"/>
      <c r="L876" s="171"/>
      <c r="M876" s="7"/>
      <c r="N876" s="7"/>
    </row>
    <row r="877" spans="1:14" ht="14.1" customHeight="1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</row>
    <row r="878" spans="1:14" ht="14.1" customHeight="1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</row>
    <row r="879" spans="1:14" ht="18" customHeight="1">
      <c r="A879" s="184" t="s">
        <v>0</v>
      </c>
      <c r="B879" s="185"/>
      <c r="C879" s="185"/>
      <c r="D879" s="185"/>
      <c r="E879" s="185"/>
      <c r="F879" s="185"/>
      <c r="G879" s="20">
        <v>5460</v>
      </c>
      <c r="H879" s="1" t="s">
        <v>15</v>
      </c>
      <c r="I879" s="1"/>
      <c r="J879" s="32"/>
      <c r="K879" s="1"/>
      <c r="L879" s="1"/>
      <c r="M879" s="1"/>
      <c r="N879" s="1"/>
    </row>
    <row r="880" spans="1:14" ht="18" customHeight="1">
      <c r="A880" s="42" t="s">
        <v>1</v>
      </c>
      <c r="B880" s="82"/>
      <c r="C880" s="83">
        <v>0</v>
      </c>
      <c r="D880" s="84">
        <v>0.6</v>
      </c>
      <c r="E880" s="84">
        <v>0.7</v>
      </c>
      <c r="F880" s="85">
        <v>1.7</v>
      </c>
      <c r="G880" s="85">
        <v>2.7</v>
      </c>
      <c r="H880" s="84">
        <v>2.8</v>
      </c>
      <c r="I880" s="52">
        <v>3.6</v>
      </c>
      <c r="J880" s="52"/>
      <c r="K880" s="84"/>
      <c r="L880" s="86"/>
      <c r="M880" s="45"/>
      <c r="N880" s="47"/>
    </row>
    <row r="881" spans="1:14" ht="18" customHeight="1">
      <c r="A881" s="42" t="s">
        <v>2</v>
      </c>
      <c r="B881" s="82"/>
      <c r="C881" s="83">
        <v>96.08</v>
      </c>
      <c r="D881" s="84">
        <v>95.11</v>
      </c>
      <c r="E881" s="84">
        <v>95.11</v>
      </c>
      <c r="F881" s="84">
        <v>95.11</v>
      </c>
      <c r="G881" s="84">
        <v>95.11</v>
      </c>
      <c r="H881" s="84">
        <v>95.11</v>
      </c>
      <c r="I881" s="84">
        <v>96.28</v>
      </c>
      <c r="J881" s="84"/>
      <c r="K881" s="84"/>
      <c r="L881" s="86"/>
      <c r="M881" s="45"/>
      <c r="N881" s="47"/>
    </row>
    <row r="882" spans="1:14" ht="18" customHeight="1">
      <c r="A882" s="42" t="s">
        <v>1</v>
      </c>
      <c r="B882" s="82"/>
      <c r="C882" s="83">
        <v>0</v>
      </c>
      <c r="D882" s="84">
        <v>0.6</v>
      </c>
      <c r="E882" s="84">
        <v>0.7</v>
      </c>
      <c r="F882" s="85">
        <v>1.7</v>
      </c>
      <c r="G882" s="85">
        <v>2.7</v>
      </c>
      <c r="H882" s="84">
        <v>2.8</v>
      </c>
      <c r="I882" s="52">
        <v>3.6</v>
      </c>
      <c r="J882" s="52"/>
      <c r="K882" s="84"/>
      <c r="L882" s="86"/>
      <c r="M882" s="45"/>
      <c r="N882" s="47"/>
    </row>
    <row r="883" spans="1:14" ht="18" customHeight="1">
      <c r="A883" s="42" t="s">
        <v>3</v>
      </c>
      <c r="B883" s="87"/>
      <c r="C883" s="83">
        <v>96.08</v>
      </c>
      <c r="D883" s="84">
        <v>95.59</v>
      </c>
      <c r="E883" s="84">
        <v>95.51</v>
      </c>
      <c r="F883" s="84">
        <v>95.51</v>
      </c>
      <c r="G883" s="84">
        <v>95.51</v>
      </c>
      <c r="H883" s="84">
        <v>95.594999999999999</v>
      </c>
      <c r="I883" s="84">
        <v>96.28</v>
      </c>
      <c r="J883" s="84"/>
      <c r="K883" s="84"/>
      <c r="L883" s="86"/>
      <c r="M883" s="45"/>
      <c r="N883" s="52"/>
    </row>
    <row r="884" spans="1:14" ht="18" customHeight="1">
      <c r="A884" s="42" t="s">
        <v>18</v>
      </c>
      <c r="B884" s="87"/>
      <c r="C884" s="52">
        <f t="shared" ref="C884" si="92">C881-C883</f>
        <v>0</v>
      </c>
      <c r="D884" s="52">
        <f>D883-D881</f>
        <v>0.48000000000000398</v>
      </c>
      <c r="E884" s="52">
        <f t="shared" ref="E884:I884" si="93">E883-E881</f>
        <v>0.40000000000000568</v>
      </c>
      <c r="F884" s="52">
        <f t="shared" si="93"/>
        <v>0.40000000000000568</v>
      </c>
      <c r="G884" s="52">
        <f t="shared" si="93"/>
        <v>0.40000000000000568</v>
      </c>
      <c r="H884" s="52">
        <f t="shared" si="93"/>
        <v>0.48499999999999943</v>
      </c>
      <c r="I884" s="52">
        <f t="shared" si="93"/>
        <v>0</v>
      </c>
      <c r="J884" s="52"/>
      <c r="K884" s="52"/>
      <c r="L884" s="52"/>
      <c r="M884" s="47"/>
      <c r="N884" s="47"/>
    </row>
    <row r="885" spans="1:14" ht="18" customHeight="1">
      <c r="A885" s="42" t="s">
        <v>5</v>
      </c>
      <c r="B885" s="87"/>
      <c r="C885" s="52">
        <f t="shared" ref="C885" si="94">(C884+B884)/2*(C880-B880)</f>
        <v>0</v>
      </c>
      <c r="D885" s="52">
        <f>(D884+C884)/2*(D880-C880)</f>
        <v>0.14400000000000118</v>
      </c>
      <c r="E885" s="52">
        <f t="shared" ref="E885:I885" si="95">(E884+D884)/2*(E880-D880)</f>
        <v>4.4000000000000476E-2</v>
      </c>
      <c r="F885" s="52">
        <f t="shared" si="95"/>
        <v>0.40000000000000568</v>
      </c>
      <c r="G885" s="52">
        <f t="shared" si="95"/>
        <v>0.4000000000000058</v>
      </c>
      <c r="H885" s="52">
        <f t="shared" si="95"/>
        <v>4.4250000000000102E-2</v>
      </c>
      <c r="I885" s="52">
        <f t="shared" si="95"/>
        <v>0.19399999999999984</v>
      </c>
      <c r="J885" s="52"/>
      <c r="K885" s="52"/>
      <c r="L885" s="52"/>
      <c r="M885" s="47"/>
      <c r="N885" s="77">
        <f>SUM(B885:M885)</f>
        <v>1.2262500000000132</v>
      </c>
    </row>
    <row r="886" spans="1:14" ht="18" customHeight="1">
      <c r="A886" s="2"/>
      <c r="B886" s="2"/>
      <c r="C886" s="30"/>
      <c r="D886" s="30"/>
      <c r="E886" s="4"/>
      <c r="F886" s="4"/>
      <c r="G886" s="4"/>
      <c r="H886" s="4"/>
      <c r="I886" s="4"/>
      <c r="J886" s="179" t="s">
        <v>6</v>
      </c>
      <c r="K886" s="179"/>
      <c r="L886" s="179"/>
      <c r="M886" s="179"/>
      <c r="N886" s="109">
        <f>N885</f>
        <v>1.2262500000000132</v>
      </c>
    </row>
    <row r="887" spans="1:14" ht="18" customHeight="1">
      <c r="A887" s="24"/>
      <c r="B887" s="78"/>
      <c r="C887" s="18"/>
      <c r="D887" s="18"/>
      <c r="E887" s="21"/>
      <c r="F887" s="21"/>
      <c r="G887" s="21"/>
      <c r="H887" s="21"/>
      <c r="I887" s="21"/>
      <c r="J887" s="21"/>
      <c r="K887" s="21"/>
      <c r="L887" s="21"/>
      <c r="M887" s="21"/>
      <c r="N887" s="21"/>
    </row>
    <row r="888" spans="1:14" ht="14.1" customHeight="1">
      <c r="A888" s="2"/>
      <c r="B888" s="2"/>
      <c r="C888" s="30"/>
      <c r="D888" s="30"/>
      <c r="E888" s="21"/>
      <c r="F888" s="21"/>
      <c r="G888" s="21"/>
      <c r="H888" s="21"/>
      <c r="I888" s="21"/>
      <c r="J888" s="30"/>
      <c r="K888" s="30"/>
      <c r="L888" s="30"/>
      <c r="M888" s="30"/>
      <c r="N888" s="30"/>
    </row>
    <row r="889" spans="1:14" ht="14.1" customHeight="1">
      <c r="A889" s="6"/>
      <c r="B889" s="6"/>
      <c r="C889" s="7"/>
      <c r="D889" s="7"/>
      <c r="E889" s="7"/>
      <c r="F889" s="7"/>
      <c r="G889" s="7"/>
      <c r="H889" s="7"/>
      <c r="I889" s="7"/>
      <c r="K889" s="7"/>
      <c r="L889" s="7"/>
      <c r="M889" s="7"/>
      <c r="N889" s="7"/>
    </row>
    <row r="890" spans="1:14" ht="14.1" customHeight="1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</row>
    <row r="891" spans="1:14" ht="14.1" customHeight="1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</row>
    <row r="892" spans="1:14" ht="14.1" customHeight="1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</row>
    <row r="893" spans="1:14" ht="14.1" customHeight="1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</row>
    <row r="894" spans="1:14" ht="14.1" customHeight="1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</row>
    <row r="895" spans="1:14" ht="14.1" customHeight="1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</row>
    <row r="896" spans="1:14" ht="14.1" customHeight="1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</row>
    <row r="897" spans="1:14" ht="14.1" customHeight="1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</row>
    <row r="898" spans="1:14" ht="14.1" customHeight="1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</row>
    <row r="899" spans="1:14" ht="14.1" customHeight="1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</row>
    <row r="900" spans="1:14" ht="14.1" customHeight="1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</row>
    <row r="901" spans="1:14" ht="14.1" customHeight="1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</row>
    <row r="902" spans="1:14" ht="14.1" customHeight="1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</row>
    <row r="903" spans="1:14" ht="14.1" customHeight="1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</row>
    <row r="904" spans="1:14" ht="14.1" customHeight="1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</row>
    <row r="905" spans="1:14" ht="14.1" customHeight="1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</row>
    <row r="906" spans="1:14" ht="14.1" customHeight="1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</row>
    <row r="907" spans="1:14" ht="14.1" customHeight="1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</row>
    <row r="908" spans="1:14" ht="14.1" customHeight="1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</row>
    <row r="909" spans="1:14" ht="14.1" customHeight="1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</row>
    <row r="910" spans="1:14" ht="14.1" customHeight="1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</row>
    <row r="911" spans="1:14" ht="14.1" customHeight="1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</row>
    <row r="912" spans="1:14" ht="14.1" customHeight="1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</row>
    <row r="913" spans="1:16" ht="14.1" customHeight="1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</row>
    <row r="914" spans="1:16" ht="14.1" customHeight="1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</row>
    <row r="915" spans="1:16" ht="14.1" customHeight="1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</row>
    <row r="916" spans="1:16" ht="18.75" customHeight="1">
      <c r="A916" s="184" t="s">
        <v>0</v>
      </c>
      <c r="B916" s="185"/>
      <c r="C916" s="185"/>
      <c r="D916" s="185"/>
      <c r="E916" s="185"/>
      <c r="F916" s="185"/>
      <c r="G916" s="20">
        <v>5520</v>
      </c>
      <c r="H916" s="1" t="s">
        <v>15</v>
      </c>
      <c r="I916" s="1"/>
      <c r="J916" s="32"/>
      <c r="K916" s="1"/>
      <c r="L916" s="1"/>
      <c r="M916" s="1"/>
      <c r="N916" s="1"/>
    </row>
    <row r="917" spans="1:16" ht="18.75" customHeight="1">
      <c r="A917" s="42" t="s">
        <v>1</v>
      </c>
      <c r="B917" s="82"/>
      <c r="C917" s="83">
        <v>0</v>
      </c>
      <c r="D917" s="84">
        <v>0.6</v>
      </c>
      <c r="E917" s="84">
        <v>0.7</v>
      </c>
      <c r="F917" s="85">
        <v>1.7</v>
      </c>
      <c r="G917" s="85">
        <v>2.7</v>
      </c>
      <c r="H917" s="84">
        <v>2.8</v>
      </c>
      <c r="I917" s="52">
        <v>3.5</v>
      </c>
      <c r="J917" s="52"/>
      <c r="K917" s="84"/>
      <c r="L917" s="86"/>
      <c r="M917" s="45"/>
      <c r="N917" s="47"/>
      <c r="O917" s="22"/>
      <c r="P917" s="22"/>
    </row>
    <row r="918" spans="1:16" ht="18.75" customHeight="1">
      <c r="A918" s="42" t="s">
        <v>2</v>
      </c>
      <c r="B918" s="82"/>
      <c r="C918" s="83">
        <v>96.17</v>
      </c>
      <c r="D918" s="84">
        <v>95.1</v>
      </c>
      <c r="E918" s="84">
        <v>95.1</v>
      </c>
      <c r="F918" s="84">
        <v>95.1</v>
      </c>
      <c r="G918" s="84">
        <v>95.1</v>
      </c>
      <c r="H918" s="84">
        <v>95.1</v>
      </c>
      <c r="I918" s="84">
        <v>96.32</v>
      </c>
      <c r="J918" s="84"/>
      <c r="K918" s="84"/>
      <c r="L918" s="86"/>
      <c r="M918" s="45"/>
      <c r="N918" s="47"/>
      <c r="O918" s="21"/>
      <c r="P918" s="21"/>
    </row>
    <row r="919" spans="1:16" ht="18.75" customHeight="1">
      <c r="A919" s="42" t="s">
        <v>1</v>
      </c>
      <c r="B919" s="82"/>
      <c r="C919" s="83">
        <v>0</v>
      </c>
      <c r="D919" s="84">
        <v>0.6</v>
      </c>
      <c r="E919" s="84">
        <v>0.7</v>
      </c>
      <c r="F919" s="85">
        <v>1.7</v>
      </c>
      <c r="G919" s="85">
        <v>2.7</v>
      </c>
      <c r="H919" s="84">
        <v>2.8</v>
      </c>
      <c r="I919" s="52">
        <v>3.5</v>
      </c>
      <c r="J919" s="52"/>
      <c r="K919" s="84"/>
      <c r="L919" s="86"/>
      <c r="M919" s="45"/>
      <c r="N919" s="47"/>
      <c r="O919" s="22"/>
      <c r="P919" s="22"/>
    </row>
    <row r="920" spans="1:16" ht="18.75" customHeight="1">
      <c r="A920" s="42" t="s">
        <v>3</v>
      </c>
      <c r="B920" s="87"/>
      <c r="C920" s="83">
        <v>96.17</v>
      </c>
      <c r="D920" s="84">
        <v>95.613</v>
      </c>
      <c r="E920" s="84">
        <v>95.52</v>
      </c>
      <c r="F920" s="84">
        <v>95.52</v>
      </c>
      <c r="G920" s="84">
        <v>95.52</v>
      </c>
      <c r="H920" s="84">
        <v>95.62</v>
      </c>
      <c r="I920" s="84">
        <v>96.32</v>
      </c>
      <c r="J920" s="84"/>
      <c r="K920" s="84"/>
      <c r="L920" s="86"/>
      <c r="M920" s="45"/>
      <c r="N920" s="52"/>
      <c r="O920" s="23"/>
      <c r="P920" s="23"/>
    </row>
    <row r="921" spans="1:16" ht="18.75" customHeight="1">
      <c r="A921" s="42" t="s">
        <v>18</v>
      </c>
      <c r="B921" s="87"/>
      <c r="C921" s="52">
        <f t="shared" ref="C921" si="96">C918-C920</f>
        <v>0</v>
      </c>
      <c r="D921" s="52">
        <f>D920-D918</f>
        <v>0.51300000000000523</v>
      </c>
      <c r="E921" s="52">
        <f t="shared" ref="E921:I921" si="97">E920-E918</f>
        <v>0.42000000000000171</v>
      </c>
      <c r="F921" s="52">
        <f t="shared" si="97"/>
        <v>0.42000000000000171</v>
      </c>
      <c r="G921" s="52">
        <f t="shared" si="97"/>
        <v>0.42000000000000171</v>
      </c>
      <c r="H921" s="52">
        <f t="shared" si="97"/>
        <v>0.52000000000001023</v>
      </c>
      <c r="I921" s="52">
        <f t="shared" si="97"/>
        <v>0</v>
      </c>
      <c r="J921" s="52"/>
      <c r="K921" s="52"/>
      <c r="L921" s="52"/>
      <c r="M921" s="47"/>
      <c r="N921" s="47"/>
      <c r="O921" s="21"/>
      <c r="P921" s="21"/>
    </row>
    <row r="922" spans="1:16" ht="18.75" customHeight="1">
      <c r="A922" s="42" t="s">
        <v>5</v>
      </c>
      <c r="B922" s="87"/>
      <c r="C922" s="52">
        <f t="shared" ref="C922" si="98">(C921+B921)/2*(C917-B917)</f>
        <v>0</v>
      </c>
      <c r="D922" s="52">
        <f>(D921+C921)/2*(D917-C917)</f>
        <v>0.15390000000000156</v>
      </c>
      <c r="E922" s="52">
        <f t="shared" ref="E922:I922" si="99">(E921+D921)/2*(E917-D917)</f>
        <v>4.6650000000000337E-2</v>
      </c>
      <c r="F922" s="52">
        <f t="shared" si="99"/>
        <v>0.42000000000000171</v>
      </c>
      <c r="G922" s="52">
        <f t="shared" si="99"/>
        <v>0.42000000000000182</v>
      </c>
      <c r="H922" s="52">
        <f t="shared" si="99"/>
        <v>4.700000000000043E-2</v>
      </c>
      <c r="I922" s="52">
        <f t="shared" si="99"/>
        <v>0.18200000000000363</v>
      </c>
      <c r="J922" s="52"/>
      <c r="K922" s="52"/>
      <c r="L922" s="52"/>
      <c r="M922" s="47"/>
      <c r="N922" s="77">
        <f>SUM(B922:M922)</f>
        <v>1.2695500000000095</v>
      </c>
      <c r="O922" s="21"/>
      <c r="P922" s="21"/>
    </row>
    <row r="923" spans="1:16" ht="18.75" customHeight="1">
      <c r="A923" s="2"/>
      <c r="B923" s="2"/>
      <c r="C923" s="30"/>
      <c r="D923" s="30"/>
      <c r="E923" s="4"/>
      <c r="F923" s="4"/>
      <c r="G923" s="4"/>
      <c r="H923" s="4"/>
      <c r="I923" s="4"/>
      <c r="J923" s="179" t="s">
        <v>6</v>
      </c>
      <c r="K923" s="179"/>
      <c r="L923" s="179"/>
      <c r="M923" s="179"/>
      <c r="N923" s="109">
        <f>N922</f>
        <v>1.2695500000000095</v>
      </c>
      <c r="O923" s="21"/>
      <c r="P923" s="21"/>
    </row>
    <row r="924" spans="1:16" ht="18.75" customHeight="1">
      <c r="A924" s="24"/>
      <c r="B924" s="78"/>
      <c r="C924" s="18"/>
      <c r="D924" s="18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31"/>
      <c r="P924" s="21"/>
    </row>
    <row r="925" spans="1:16" ht="18.75" customHeight="1">
      <c r="A925" s="2"/>
      <c r="B925" s="2"/>
      <c r="C925" s="30"/>
      <c r="D925" s="30"/>
      <c r="E925" s="21"/>
      <c r="F925" s="21"/>
      <c r="G925" s="21"/>
      <c r="H925" s="21"/>
      <c r="I925" s="21"/>
      <c r="J925" s="30"/>
      <c r="K925" s="30"/>
      <c r="L925" s="30"/>
      <c r="M925" s="30"/>
      <c r="N925" s="30"/>
    </row>
    <row r="926" spans="1:16" ht="14.1" customHeight="1">
      <c r="A926" s="6"/>
      <c r="B926" s="6"/>
      <c r="C926" s="7"/>
      <c r="D926" s="7"/>
      <c r="E926" s="7"/>
      <c r="F926" s="7"/>
      <c r="G926" s="7"/>
      <c r="H926" s="7"/>
      <c r="I926" s="7"/>
      <c r="K926" s="7"/>
      <c r="L926" s="7"/>
      <c r="M926" s="7"/>
      <c r="N926" s="7"/>
    </row>
    <row r="927" spans="1:16" ht="14.1" customHeight="1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</row>
    <row r="928" spans="1:16" ht="14.1" customHeight="1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</row>
    <row r="929" spans="1:14" ht="14.1" customHeight="1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</row>
    <row r="930" spans="1:14" ht="14.1" customHeight="1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</row>
    <row r="931" spans="1:14" ht="14.1" customHeight="1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</row>
    <row r="932" spans="1:14" ht="14.1" customHeight="1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</row>
    <row r="933" spans="1:14" ht="14.1" customHeight="1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</row>
    <row r="934" spans="1:14" ht="14.1" customHeight="1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</row>
    <row r="935" spans="1:14" ht="14.1" customHeight="1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</row>
    <row r="936" spans="1:14" ht="14.1" customHeight="1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</row>
    <row r="937" spans="1:14" ht="14.1" customHeight="1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</row>
    <row r="938" spans="1:14" ht="14.1" customHeight="1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</row>
    <row r="939" spans="1:14" ht="14.1" customHeight="1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</row>
    <row r="940" spans="1:14" ht="14.1" customHeight="1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</row>
    <row r="941" spans="1:14" ht="14.1" customHeight="1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</row>
    <row r="942" spans="1:14" ht="14.1" customHeight="1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</row>
    <row r="943" spans="1:14" ht="14.1" customHeight="1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</row>
    <row r="944" spans="1:14" ht="14.1" customHeight="1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</row>
    <row r="945" spans="1:14" ht="14.1" customHeight="1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</row>
    <row r="946" spans="1:14" ht="14.1" customHeight="1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</row>
    <row r="947" spans="1:14" ht="14.1" customHeight="1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</row>
    <row r="948" spans="1:14" ht="14.1" customHeight="1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</row>
    <row r="949" spans="1:14" ht="14.1" customHeight="1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</row>
    <row r="950" spans="1:14" ht="14.1" customHeight="1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</row>
    <row r="951" spans="1:14" ht="14.1" customHeight="1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</row>
    <row r="952" spans="1:14" ht="14.1" customHeight="1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</row>
    <row r="953" spans="1:14" ht="14.1" customHeight="1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</row>
    <row r="954" spans="1:14" ht="14.1" customHeight="1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</row>
    <row r="955" spans="1:14" ht="14.1" customHeight="1">
      <c r="B955" s="181"/>
      <c r="C955" s="181"/>
      <c r="D955" s="181"/>
      <c r="E955" s="25"/>
      <c r="F955" s="25"/>
      <c r="G955" s="167"/>
      <c r="H955" s="167"/>
      <c r="I955" s="167"/>
      <c r="J955" s="7"/>
      <c r="K955" s="182"/>
      <c r="L955" s="182"/>
    </row>
    <row r="956" spans="1:14" ht="14.1" customHeight="1">
      <c r="B956" s="170"/>
      <c r="C956" s="170"/>
      <c r="D956" s="170"/>
      <c r="E956" s="26"/>
      <c r="F956" s="26"/>
      <c r="G956" s="170"/>
      <c r="H956" s="170"/>
      <c r="I956" s="170"/>
      <c r="J956" s="25"/>
      <c r="K956" s="171"/>
      <c r="L956" s="171"/>
    </row>
    <row r="957" spans="1:14" ht="14.1" customHeight="1">
      <c r="A957" s="6"/>
      <c r="B957" s="6"/>
      <c r="C957" s="7"/>
      <c r="D957" s="7"/>
      <c r="E957" s="7"/>
      <c r="F957" s="7"/>
      <c r="G957" s="7"/>
      <c r="H957" s="7"/>
      <c r="I957" s="7"/>
      <c r="J957" s="27"/>
      <c r="K957" s="7"/>
      <c r="L957" s="7"/>
      <c r="M957" s="7"/>
      <c r="N957" s="7"/>
    </row>
    <row r="958" spans="1:14" ht="14.1" customHeight="1">
      <c r="A958" s="6"/>
      <c r="B958" s="6"/>
      <c r="C958" s="7"/>
      <c r="D958" s="7"/>
      <c r="E958" s="7"/>
      <c r="F958" s="7"/>
      <c r="G958" s="7"/>
      <c r="H958" s="7"/>
      <c r="I958" s="7"/>
      <c r="J958" s="27"/>
      <c r="K958" s="7"/>
      <c r="L958" s="7"/>
      <c r="M958" s="7"/>
      <c r="N958" s="7"/>
    </row>
    <row r="959" spans="1:14" ht="14.1" customHeight="1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</row>
    <row r="960" spans="1:14" ht="18" customHeight="1">
      <c r="A960" s="184" t="s">
        <v>0</v>
      </c>
      <c r="B960" s="185"/>
      <c r="C960" s="185"/>
      <c r="D960" s="185"/>
      <c r="E960" s="185"/>
      <c r="F960" s="185"/>
      <c r="G960" s="20">
        <v>5580</v>
      </c>
      <c r="H960" s="1" t="s">
        <v>15</v>
      </c>
      <c r="I960" s="1"/>
      <c r="J960" s="32"/>
      <c r="K960" s="1"/>
      <c r="L960" s="1"/>
      <c r="M960" s="1"/>
      <c r="N960" s="1"/>
    </row>
    <row r="961" spans="1:16" ht="18" customHeight="1">
      <c r="A961" s="42" t="s">
        <v>1</v>
      </c>
      <c r="B961" s="82"/>
      <c r="C961" s="83">
        <v>0</v>
      </c>
      <c r="D961" s="84">
        <v>0.6</v>
      </c>
      <c r="E961" s="84">
        <v>0.7</v>
      </c>
      <c r="F961" s="85">
        <v>1.7</v>
      </c>
      <c r="G961" s="85">
        <v>2.7</v>
      </c>
      <c r="H961" s="84">
        <v>2.8</v>
      </c>
      <c r="I961" s="52">
        <v>3.6</v>
      </c>
      <c r="J961" s="52"/>
      <c r="K961" s="84"/>
      <c r="L961" s="86"/>
      <c r="M961" s="45"/>
      <c r="N961" s="47"/>
      <c r="O961" s="22"/>
      <c r="P961" s="22"/>
    </row>
    <row r="962" spans="1:16" ht="18" customHeight="1">
      <c r="A962" s="42" t="s">
        <v>2</v>
      </c>
      <c r="B962" s="82"/>
      <c r="C962" s="83">
        <v>96.04</v>
      </c>
      <c r="D962" s="84">
        <v>94.92</v>
      </c>
      <c r="E962" s="84">
        <v>94.92</v>
      </c>
      <c r="F962" s="84">
        <v>94.92</v>
      </c>
      <c r="G962" s="84">
        <v>94.92</v>
      </c>
      <c r="H962" s="84">
        <v>94.92</v>
      </c>
      <c r="I962" s="84">
        <v>96.22</v>
      </c>
      <c r="J962" s="84"/>
      <c r="K962" s="84"/>
      <c r="L962" s="86"/>
      <c r="M962" s="45"/>
      <c r="N962" s="47"/>
      <c r="O962" s="21"/>
      <c r="P962" s="21"/>
    </row>
    <row r="963" spans="1:16" ht="18" customHeight="1">
      <c r="A963" s="42" t="s">
        <v>1</v>
      </c>
      <c r="B963" s="82"/>
      <c r="C963" s="83">
        <v>0</v>
      </c>
      <c r="D963" s="84">
        <v>0.6</v>
      </c>
      <c r="E963" s="84">
        <v>0.7</v>
      </c>
      <c r="F963" s="85">
        <v>1.7</v>
      </c>
      <c r="G963" s="85">
        <v>2.7</v>
      </c>
      <c r="H963" s="84">
        <v>2.8</v>
      </c>
      <c r="I963" s="52">
        <v>3.6</v>
      </c>
      <c r="J963" s="52"/>
      <c r="K963" s="84"/>
      <c r="L963" s="86"/>
      <c r="M963" s="45"/>
      <c r="N963" s="47"/>
      <c r="O963" s="22"/>
      <c r="P963" s="22"/>
    </row>
    <row r="964" spans="1:16" ht="18" customHeight="1">
      <c r="A964" s="42" t="s">
        <v>3</v>
      </c>
      <c r="B964" s="87"/>
      <c r="C964" s="83">
        <v>96.04</v>
      </c>
      <c r="D964" s="84">
        <v>95.456999999999994</v>
      </c>
      <c r="E964" s="84">
        <v>95.36</v>
      </c>
      <c r="F964" s="84">
        <v>95.36</v>
      </c>
      <c r="G964" s="84">
        <v>95.36</v>
      </c>
      <c r="H964" s="84">
        <v>95.456000000000003</v>
      </c>
      <c r="I964" s="84">
        <v>96.22</v>
      </c>
      <c r="J964" s="84"/>
      <c r="K964" s="84"/>
      <c r="L964" s="86"/>
      <c r="M964" s="45"/>
      <c r="N964" s="52"/>
      <c r="O964" s="23"/>
      <c r="P964" s="23"/>
    </row>
    <row r="965" spans="1:16" ht="18" customHeight="1">
      <c r="A965" s="42" t="s">
        <v>18</v>
      </c>
      <c r="B965" s="87"/>
      <c r="C965" s="52">
        <f t="shared" ref="C965" si="100">C962-C964</f>
        <v>0</v>
      </c>
      <c r="D965" s="52">
        <f>D964-D962</f>
        <v>0.53699999999999193</v>
      </c>
      <c r="E965" s="52">
        <f t="shared" ref="E965:I965" si="101">E964-E962</f>
        <v>0.43999999999999773</v>
      </c>
      <c r="F965" s="52">
        <f t="shared" si="101"/>
        <v>0.43999999999999773</v>
      </c>
      <c r="G965" s="52">
        <f t="shared" si="101"/>
        <v>0.43999999999999773</v>
      </c>
      <c r="H965" s="52">
        <f t="shared" si="101"/>
        <v>0.53600000000000136</v>
      </c>
      <c r="I965" s="52">
        <f t="shared" si="101"/>
        <v>0</v>
      </c>
      <c r="J965" s="52"/>
      <c r="K965" s="52"/>
      <c r="L965" s="52"/>
      <c r="M965" s="47"/>
      <c r="N965" s="47"/>
      <c r="O965" s="21"/>
      <c r="P965" s="21"/>
    </row>
    <row r="966" spans="1:16" ht="18" customHeight="1">
      <c r="A966" s="42" t="s">
        <v>5</v>
      </c>
      <c r="B966" s="87"/>
      <c r="C966" s="52">
        <f t="shared" ref="C966" si="102">(C965+B965)/2*(C961-B961)</f>
        <v>0</v>
      </c>
      <c r="D966" s="52">
        <f>(D965+C965)/2*(D961-C961)</f>
        <v>0.16109999999999758</v>
      </c>
      <c r="E966" s="52">
        <f t="shared" ref="E966" si="103">(E965+D965)/2*(E961-D961)</f>
        <v>4.884999999999947E-2</v>
      </c>
      <c r="F966" s="52">
        <f t="shared" ref="F966" si="104">(F965+E965)/2*(F961-E961)</f>
        <v>0.43999999999999773</v>
      </c>
      <c r="G966" s="52">
        <f t="shared" ref="G966" si="105">(G965+F965)/2*(G961-F961)</f>
        <v>0.43999999999999784</v>
      </c>
      <c r="H966" s="52">
        <f t="shared" ref="H966" si="106">(H965+G965)/2*(H961-G961)</f>
        <v>4.8799999999999781E-2</v>
      </c>
      <c r="I966" s="52">
        <f t="shared" ref="I966" si="107">(I965+H965)/2*(I961-H961)</f>
        <v>0.21440000000000062</v>
      </c>
      <c r="J966" s="52"/>
      <c r="K966" s="52"/>
      <c r="L966" s="52"/>
      <c r="M966" s="47"/>
      <c r="N966" s="77">
        <f>SUM(B966:M966)</f>
        <v>1.353149999999993</v>
      </c>
      <c r="O966" s="21"/>
      <c r="P966" s="21"/>
    </row>
    <row r="967" spans="1:16" ht="18" customHeight="1">
      <c r="A967" s="2"/>
      <c r="B967" s="2"/>
      <c r="C967" s="30"/>
      <c r="D967" s="30"/>
      <c r="E967" s="4"/>
      <c r="F967" s="4"/>
      <c r="G967" s="4"/>
      <c r="H967" s="4"/>
      <c r="I967" s="4"/>
      <c r="J967" s="179" t="s">
        <v>6</v>
      </c>
      <c r="K967" s="179"/>
      <c r="L967" s="179"/>
      <c r="M967" s="179"/>
      <c r="N967" s="109">
        <f>N966</f>
        <v>1.353149999999993</v>
      </c>
      <c r="O967" s="21"/>
      <c r="P967" s="21"/>
    </row>
    <row r="968" spans="1:16" ht="18" customHeight="1">
      <c r="A968" s="24"/>
      <c r="B968" s="78"/>
      <c r="C968" s="18"/>
      <c r="D968" s="18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31"/>
      <c r="P968" s="21"/>
    </row>
    <row r="969" spans="1:16" ht="14.1" customHeight="1">
      <c r="A969" s="2"/>
      <c r="B969" s="2"/>
      <c r="C969" s="30"/>
      <c r="D969" s="30"/>
      <c r="E969" s="21"/>
      <c r="F969" s="21"/>
      <c r="G969" s="21"/>
      <c r="H969" s="21"/>
      <c r="I969" s="21"/>
      <c r="J969" s="30"/>
      <c r="K969" s="30"/>
      <c r="L969" s="30"/>
      <c r="M969" s="30"/>
      <c r="N969" s="30"/>
    </row>
    <row r="970" spans="1:16" ht="14.1" customHeight="1">
      <c r="A970" s="2"/>
      <c r="B970" s="2"/>
      <c r="C970" s="30"/>
      <c r="D970" s="30"/>
      <c r="E970" s="4"/>
      <c r="F970" s="4"/>
      <c r="G970" s="4"/>
      <c r="H970" s="4"/>
      <c r="I970" s="4"/>
      <c r="J970" s="30"/>
      <c r="K970" s="30"/>
      <c r="L970" s="30"/>
      <c r="M970" s="30"/>
      <c r="N970" s="30"/>
    </row>
    <row r="971" spans="1:16" ht="14.1" customHeight="1">
      <c r="A971" s="2"/>
      <c r="B971" s="2"/>
      <c r="C971" s="30"/>
      <c r="D971" s="30"/>
      <c r="E971" s="4"/>
      <c r="F971" s="4"/>
      <c r="G971" s="4"/>
      <c r="H971" s="4"/>
      <c r="I971" s="4"/>
      <c r="J971" s="30"/>
      <c r="K971" s="30"/>
      <c r="L971" s="30"/>
      <c r="M971" s="30"/>
      <c r="N971" s="30"/>
    </row>
    <row r="972" spans="1:16" ht="14.1" customHeight="1">
      <c r="A972" s="6"/>
      <c r="B972" s="6"/>
      <c r="C972" s="7"/>
      <c r="D972" s="7"/>
      <c r="E972" s="7"/>
      <c r="F972" s="7"/>
      <c r="G972" s="7"/>
      <c r="H972" s="7"/>
      <c r="I972" s="7"/>
      <c r="K972" s="7"/>
      <c r="L972" s="7"/>
      <c r="M972" s="7"/>
      <c r="N972" s="7"/>
    </row>
    <row r="973" spans="1:16" ht="14.1" customHeight="1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</row>
    <row r="974" spans="1:16" ht="14.1" customHeight="1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</row>
    <row r="975" spans="1:16" ht="14.1" customHeight="1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</row>
    <row r="976" spans="1:16" ht="14.1" customHeight="1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</row>
    <row r="977" spans="1:14" ht="14.1" customHeight="1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</row>
    <row r="978" spans="1:14" ht="14.1" customHeight="1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</row>
    <row r="979" spans="1:14" ht="14.1" customHeight="1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</row>
    <row r="980" spans="1:14" ht="14.1" customHeight="1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</row>
    <row r="981" spans="1:14" ht="14.1" customHeight="1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</row>
    <row r="982" spans="1:14" ht="14.1" customHeight="1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</row>
    <row r="983" spans="1:14" ht="14.1" customHeight="1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</row>
    <row r="984" spans="1:14" ht="14.1" customHeight="1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</row>
    <row r="985" spans="1:14" ht="14.1" customHeight="1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</row>
    <row r="986" spans="1:14" ht="14.1" customHeight="1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</row>
    <row r="987" spans="1:14" ht="14.1" customHeight="1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</row>
    <row r="988" spans="1:14" ht="14.1" customHeight="1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</row>
    <row r="989" spans="1:14" ht="14.1" customHeight="1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</row>
    <row r="990" spans="1:14" ht="14.1" customHeight="1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</row>
    <row r="991" spans="1:14" ht="14.1" customHeight="1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</row>
    <row r="992" spans="1:14" ht="14.1" customHeight="1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</row>
    <row r="993" spans="1:14" ht="14.1" customHeight="1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</row>
    <row r="994" spans="1:14" ht="14.1" customHeight="1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</row>
    <row r="995" spans="1:14" ht="14.1" customHeight="1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</row>
    <row r="996" spans="1:14" ht="14.1" customHeight="1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</row>
    <row r="997" spans="1:14" ht="14.1" customHeight="1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</row>
    <row r="998" spans="1:14" ht="14.1" customHeight="1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</row>
    <row r="999" spans="1:14" ht="18" customHeight="1">
      <c r="A999" s="184" t="s">
        <v>0</v>
      </c>
      <c r="B999" s="185"/>
      <c r="C999" s="185"/>
      <c r="D999" s="185"/>
      <c r="E999" s="185"/>
      <c r="F999" s="185"/>
      <c r="G999" s="20">
        <v>5640</v>
      </c>
      <c r="H999" s="1" t="s">
        <v>15</v>
      </c>
      <c r="I999" s="1"/>
      <c r="J999" s="32"/>
      <c r="K999" s="1"/>
      <c r="L999" s="1"/>
      <c r="M999" s="1"/>
      <c r="N999" s="1"/>
    </row>
    <row r="1000" spans="1:14" ht="18" customHeight="1">
      <c r="A1000" s="42" t="s">
        <v>1</v>
      </c>
      <c r="B1000" s="82"/>
      <c r="C1000" s="83">
        <v>0</v>
      </c>
      <c r="D1000" s="84">
        <v>0.6</v>
      </c>
      <c r="E1000" s="84">
        <v>0.7</v>
      </c>
      <c r="F1000" s="85">
        <v>1.7</v>
      </c>
      <c r="G1000" s="85">
        <v>2.7</v>
      </c>
      <c r="H1000" s="84">
        <v>2.8</v>
      </c>
      <c r="I1000" s="52">
        <v>3.5</v>
      </c>
      <c r="J1000" s="52"/>
      <c r="K1000" s="84"/>
      <c r="L1000" s="86"/>
      <c r="M1000" s="45"/>
      <c r="N1000" s="47"/>
    </row>
    <row r="1001" spans="1:14" ht="18" customHeight="1">
      <c r="A1001" s="42" t="s">
        <v>2</v>
      </c>
      <c r="B1001" s="82"/>
      <c r="C1001" s="83">
        <v>96.16</v>
      </c>
      <c r="D1001" s="84">
        <v>94.83</v>
      </c>
      <c r="E1001" s="84">
        <v>94.83</v>
      </c>
      <c r="F1001" s="84">
        <v>94.83</v>
      </c>
      <c r="G1001" s="84">
        <v>94.83</v>
      </c>
      <c r="H1001" s="84">
        <v>94.83</v>
      </c>
      <c r="I1001" s="84">
        <v>96.3</v>
      </c>
      <c r="J1001" s="84"/>
      <c r="K1001" s="84"/>
      <c r="L1001" s="86"/>
      <c r="M1001" s="45"/>
      <c r="N1001" s="47"/>
    </row>
    <row r="1002" spans="1:14" ht="18" customHeight="1">
      <c r="A1002" s="42" t="s">
        <v>1</v>
      </c>
      <c r="B1002" s="82"/>
      <c r="C1002" s="83">
        <v>0</v>
      </c>
      <c r="D1002" s="84">
        <v>0.6</v>
      </c>
      <c r="E1002" s="84">
        <v>0.7</v>
      </c>
      <c r="F1002" s="85">
        <v>1.7</v>
      </c>
      <c r="G1002" s="85">
        <v>2.7</v>
      </c>
      <c r="H1002" s="84">
        <v>2.8</v>
      </c>
      <c r="I1002" s="52">
        <v>3.5</v>
      </c>
      <c r="J1002" s="52"/>
      <c r="K1002" s="84"/>
      <c r="L1002" s="86"/>
      <c r="M1002" s="45"/>
      <c r="N1002" s="47"/>
    </row>
    <row r="1003" spans="1:14" ht="18" customHeight="1">
      <c r="A1003" s="42" t="s">
        <v>3</v>
      </c>
      <c r="B1003" s="87"/>
      <c r="C1003" s="83">
        <v>96.16</v>
      </c>
      <c r="D1003" s="84">
        <v>95.363</v>
      </c>
      <c r="E1003" s="84">
        <v>95.23</v>
      </c>
      <c r="F1003" s="84">
        <v>95.23</v>
      </c>
      <c r="G1003" s="84">
        <v>95.23</v>
      </c>
      <c r="H1003" s="84">
        <v>95.367999999999995</v>
      </c>
      <c r="I1003" s="84">
        <v>96.3</v>
      </c>
      <c r="J1003" s="84"/>
      <c r="K1003" s="84"/>
      <c r="L1003" s="86"/>
      <c r="M1003" s="45"/>
      <c r="N1003" s="52"/>
    </row>
    <row r="1004" spans="1:14" ht="18" customHeight="1">
      <c r="A1004" s="42" t="s">
        <v>18</v>
      </c>
      <c r="B1004" s="87"/>
      <c r="C1004" s="52">
        <f t="shared" ref="C1004" si="108">C1001-C1003</f>
        <v>0</v>
      </c>
      <c r="D1004" s="52">
        <f>D1003-D1001</f>
        <v>0.53300000000000125</v>
      </c>
      <c r="E1004" s="52">
        <f t="shared" ref="E1004:I1004" si="109">E1003-E1001</f>
        <v>0.40000000000000568</v>
      </c>
      <c r="F1004" s="52">
        <f t="shared" si="109"/>
        <v>0.40000000000000568</v>
      </c>
      <c r="G1004" s="52">
        <f t="shared" si="109"/>
        <v>0.40000000000000568</v>
      </c>
      <c r="H1004" s="52">
        <f t="shared" si="109"/>
        <v>0.5379999999999967</v>
      </c>
      <c r="I1004" s="52">
        <f t="shared" si="109"/>
        <v>0</v>
      </c>
      <c r="J1004" s="52"/>
      <c r="K1004" s="52"/>
      <c r="L1004" s="52"/>
      <c r="M1004" s="47"/>
      <c r="N1004" s="47"/>
    </row>
    <row r="1005" spans="1:14" ht="18" customHeight="1">
      <c r="A1005" s="42" t="s">
        <v>5</v>
      </c>
      <c r="B1005" s="87"/>
      <c r="C1005" s="52">
        <f t="shared" ref="C1005" si="110">(C1004+B1004)/2*(C1000-B1000)</f>
        <v>0</v>
      </c>
      <c r="D1005" s="52">
        <f>(D1004+C1004)/2*(D1000-C1000)</f>
        <v>0.15990000000000038</v>
      </c>
      <c r="E1005" s="52">
        <f t="shared" ref="E1005:I1005" si="111">(E1004+D1004)/2*(E1000-D1000)</f>
        <v>4.6650000000000337E-2</v>
      </c>
      <c r="F1005" s="52">
        <f t="shared" si="111"/>
        <v>0.40000000000000568</v>
      </c>
      <c r="G1005" s="52">
        <f t="shared" si="111"/>
        <v>0.4000000000000058</v>
      </c>
      <c r="H1005" s="52">
        <f t="shared" si="111"/>
        <v>4.6899999999999956E-2</v>
      </c>
      <c r="I1005" s="52">
        <f t="shared" si="111"/>
        <v>0.18829999999999888</v>
      </c>
      <c r="J1005" s="52"/>
      <c r="K1005" s="52"/>
      <c r="L1005" s="52"/>
      <c r="M1005" s="47"/>
      <c r="N1005" s="77">
        <f>SUM(B1005:M1005)</f>
        <v>1.241750000000011</v>
      </c>
    </row>
    <row r="1006" spans="1:14" ht="18" customHeight="1">
      <c r="A1006" s="2"/>
      <c r="B1006" s="2"/>
      <c r="C1006" s="30"/>
      <c r="D1006" s="30"/>
      <c r="E1006" s="4"/>
      <c r="F1006" s="4"/>
      <c r="G1006" s="4"/>
      <c r="H1006" s="4"/>
      <c r="I1006" s="4"/>
      <c r="J1006" s="179" t="s">
        <v>6</v>
      </c>
      <c r="K1006" s="179"/>
      <c r="L1006" s="179"/>
      <c r="M1006" s="179"/>
      <c r="N1006" s="109">
        <f>N1005</f>
        <v>1.241750000000011</v>
      </c>
    </row>
    <row r="1007" spans="1:14" ht="18" customHeight="1">
      <c r="A1007" s="24"/>
      <c r="B1007" s="78"/>
      <c r="C1007" s="18"/>
      <c r="D1007" s="18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</row>
    <row r="1008" spans="1:14" ht="14.1" customHeight="1">
      <c r="A1008" s="2"/>
      <c r="B1008" s="2"/>
      <c r="C1008" s="30"/>
      <c r="D1008" s="30"/>
      <c r="E1008" s="21"/>
      <c r="F1008" s="21"/>
      <c r="G1008" s="21"/>
      <c r="H1008" s="21"/>
      <c r="I1008" s="21"/>
      <c r="J1008" s="30"/>
      <c r="K1008" s="30"/>
      <c r="L1008" s="30"/>
      <c r="M1008" s="30"/>
      <c r="N1008" s="30"/>
    </row>
    <row r="1009" spans="1:14" ht="14.1" customHeight="1">
      <c r="A1009" s="6"/>
      <c r="B1009" s="6"/>
      <c r="C1009" s="7"/>
      <c r="D1009" s="7"/>
      <c r="E1009" s="7"/>
      <c r="F1009" s="7"/>
      <c r="G1009" s="7"/>
      <c r="H1009" s="7"/>
      <c r="I1009" s="7"/>
      <c r="K1009" s="7"/>
      <c r="L1009" s="7"/>
      <c r="M1009" s="7"/>
      <c r="N1009" s="7"/>
    </row>
    <row r="1010" spans="1:14" ht="14.1" customHeight="1">
      <c r="A1010" s="6"/>
      <c r="B1010" s="6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</row>
    <row r="1011" spans="1:14" ht="14.1" customHeight="1">
      <c r="A1011" s="6"/>
      <c r="B1011" s="6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</row>
    <row r="1012" spans="1:14" ht="14.1" customHeight="1">
      <c r="A1012" s="6"/>
      <c r="B1012" s="6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</row>
    <row r="1013" spans="1:14" ht="14.1" customHeight="1">
      <c r="A1013" s="6"/>
      <c r="B1013" s="6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</row>
    <row r="1014" spans="1:14" ht="14.1" customHeight="1">
      <c r="A1014" s="6"/>
      <c r="B1014" s="6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</row>
    <row r="1015" spans="1:14" ht="14.1" customHeight="1">
      <c r="A1015" s="6"/>
      <c r="B1015" s="6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</row>
    <row r="1016" spans="1:14" ht="14.1" customHeight="1">
      <c r="A1016" s="6"/>
      <c r="B1016" s="6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</row>
    <row r="1017" spans="1:14" ht="14.1" customHeight="1">
      <c r="A1017" s="6"/>
      <c r="B1017" s="6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</row>
    <row r="1018" spans="1:14" ht="14.1" customHeight="1">
      <c r="A1018" s="6"/>
      <c r="B1018" s="6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</row>
    <row r="1019" spans="1:14" ht="14.1" customHeight="1">
      <c r="A1019" s="6"/>
      <c r="B1019" s="6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</row>
    <row r="1020" spans="1:14" ht="14.1" customHeight="1">
      <c r="A1020" s="6"/>
      <c r="B1020" s="6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</row>
    <row r="1021" spans="1:14" ht="14.1" customHeight="1">
      <c r="A1021" s="6"/>
      <c r="B1021" s="6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</row>
    <row r="1022" spans="1:14" ht="14.1" customHeight="1">
      <c r="A1022" s="6"/>
      <c r="B1022" s="6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</row>
    <row r="1023" spans="1:14" ht="14.1" customHeight="1">
      <c r="A1023" s="6"/>
      <c r="B1023" s="6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</row>
    <row r="1024" spans="1:14" ht="14.1" customHeight="1">
      <c r="A1024" s="6"/>
      <c r="B1024" s="6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</row>
    <row r="1025" spans="1:14" ht="14.1" customHeight="1">
      <c r="A1025" s="6"/>
      <c r="B1025" s="6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</row>
    <row r="1026" spans="1:14" ht="14.1" customHeight="1">
      <c r="A1026" s="6"/>
      <c r="B1026" s="6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</row>
    <row r="1027" spans="1:14" ht="14.1" customHeight="1">
      <c r="A1027" s="6"/>
      <c r="B1027" s="6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</row>
    <row r="1028" spans="1:14" ht="14.1" customHeight="1">
      <c r="A1028" s="6"/>
      <c r="B1028" s="6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</row>
    <row r="1029" spans="1:14" ht="14.1" customHeight="1">
      <c r="A1029" s="6"/>
      <c r="B1029" s="6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</row>
    <row r="1030" spans="1:14" ht="14.1" customHeight="1">
      <c r="A1030" s="6"/>
      <c r="B1030" s="6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</row>
    <row r="1031" spans="1:14" ht="14.1" customHeight="1">
      <c r="A1031" s="6"/>
      <c r="B1031" s="6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</row>
    <row r="1032" spans="1:14" ht="14.1" customHeight="1">
      <c r="A1032" s="6"/>
      <c r="B1032" s="6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</row>
    <row r="1033" spans="1:14" ht="14.1" customHeight="1">
      <c r="A1033" s="6"/>
      <c r="B1033" s="6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</row>
    <row r="1034" spans="1:14" ht="14.1" customHeight="1">
      <c r="A1034" s="6"/>
      <c r="B1034" s="6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</row>
    <row r="1035" spans="1:14" ht="14.1" customHeight="1">
      <c r="A1035" s="6"/>
      <c r="B1035" s="6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</row>
    <row r="1036" spans="1:14" ht="14.1" customHeight="1">
      <c r="B1036" s="181"/>
      <c r="C1036" s="181"/>
      <c r="D1036" s="181"/>
      <c r="E1036" s="25"/>
      <c r="F1036" s="25"/>
      <c r="G1036" s="167"/>
      <c r="H1036" s="167"/>
      <c r="I1036" s="167"/>
      <c r="J1036" s="7"/>
      <c r="K1036" s="182"/>
      <c r="L1036" s="182"/>
    </row>
    <row r="1037" spans="1:14" ht="14.1" customHeight="1">
      <c r="B1037" s="170"/>
      <c r="C1037" s="170"/>
      <c r="D1037" s="170"/>
      <c r="E1037" s="26"/>
      <c r="F1037" s="26"/>
      <c r="G1037" s="170"/>
      <c r="H1037" s="170"/>
      <c r="I1037" s="170"/>
      <c r="J1037" s="25"/>
      <c r="K1037" s="171"/>
      <c r="L1037" s="171"/>
    </row>
    <row r="1038" spans="1:14" ht="14.1" customHeight="1">
      <c r="A1038" s="6"/>
      <c r="B1038" s="6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</row>
    <row r="1039" spans="1:14" ht="14.1" customHeight="1">
      <c r="A1039" s="6"/>
      <c r="B1039" s="6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</row>
    <row r="1040" spans="1:14" ht="14.1" customHeight="1">
      <c r="A1040" s="6"/>
      <c r="B1040" s="6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</row>
    <row r="1041" spans="1:15" ht="14.1" customHeight="1">
      <c r="A1041" s="6"/>
      <c r="B1041" s="6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</row>
    <row r="1042" spans="1:15" ht="14.1" customHeight="1">
      <c r="A1042" s="6"/>
      <c r="B1042" s="6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</row>
    <row r="1043" spans="1:15" ht="14.1" customHeight="1">
      <c r="A1043" s="6"/>
      <c r="B1043" s="6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</row>
    <row r="1044" spans="1:15" ht="18" customHeight="1">
      <c r="A1044" s="184" t="s">
        <v>0</v>
      </c>
      <c r="B1044" s="185"/>
      <c r="C1044" s="185"/>
      <c r="D1044" s="185"/>
      <c r="E1044" s="185"/>
      <c r="F1044" s="185"/>
      <c r="G1044" s="20">
        <v>5700</v>
      </c>
      <c r="H1044" s="1" t="s">
        <v>15</v>
      </c>
      <c r="I1044" s="1"/>
      <c r="J1044" s="32"/>
      <c r="K1044" s="1"/>
      <c r="L1044" s="1"/>
      <c r="M1044" s="1"/>
      <c r="N1044" s="1"/>
    </row>
    <row r="1045" spans="1:15" ht="18" customHeight="1">
      <c r="A1045" s="42" t="s">
        <v>1</v>
      </c>
      <c r="B1045" s="82"/>
      <c r="C1045" s="83">
        <v>0</v>
      </c>
      <c r="D1045" s="84">
        <v>0.6</v>
      </c>
      <c r="E1045" s="84">
        <v>0.7</v>
      </c>
      <c r="F1045" s="85">
        <v>1.7</v>
      </c>
      <c r="G1045" s="85">
        <v>2.7</v>
      </c>
      <c r="H1045" s="84">
        <v>2.8</v>
      </c>
      <c r="I1045" s="52">
        <v>3.6</v>
      </c>
      <c r="J1045" s="52"/>
      <c r="K1045" s="84"/>
      <c r="L1045" s="86"/>
      <c r="M1045" s="45"/>
      <c r="N1045" s="47"/>
      <c r="O1045" s="18"/>
    </row>
    <row r="1046" spans="1:15" ht="18" customHeight="1">
      <c r="A1046" s="42" t="s">
        <v>2</v>
      </c>
      <c r="B1046" s="82"/>
      <c r="C1046" s="83">
        <v>95.97</v>
      </c>
      <c r="D1046" s="84">
        <v>94.74</v>
      </c>
      <c r="E1046" s="84">
        <v>94.74</v>
      </c>
      <c r="F1046" s="84">
        <v>94.74</v>
      </c>
      <c r="G1046" s="84">
        <v>94.74</v>
      </c>
      <c r="H1046" s="84">
        <v>94.74</v>
      </c>
      <c r="I1046" s="84">
        <v>96.17</v>
      </c>
      <c r="J1046" s="84"/>
      <c r="K1046" s="84"/>
      <c r="L1046" s="86"/>
      <c r="M1046" s="45"/>
      <c r="N1046" s="47"/>
      <c r="O1046" s="18"/>
    </row>
    <row r="1047" spans="1:15" ht="18" customHeight="1">
      <c r="A1047" s="42" t="s">
        <v>1</v>
      </c>
      <c r="B1047" s="82"/>
      <c r="C1047" s="83">
        <v>0</v>
      </c>
      <c r="D1047" s="84">
        <v>0.6</v>
      </c>
      <c r="E1047" s="84">
        <v>0.7</v>
      </c>
      <c r="F1047" s="85">
        <v>1.7</v>
      </c>
      <c r="G1047" s="85">
        <v>2.7</v>
      </c>
      <c r="H1047" s="84">
        <v>2.8</v>
      </c>
      <c r="I1047" s="52">
        <v>3.6</v>
      </c>
      <c r="J1047" s="52"/>
      <c r="K1047" s="84"/>
      <c r="L1047" s="86"/>
      <c r="M1047" s="45"/>
      <c r="N1047" s="47"/>
      <c r="O1047" s="18"/>
    </row>
    <row r="1048" spans="1:15" ht="18" customHeight="1">
      <c r="A1048" s="42" t="s">
        <v>3</v>
      </c>
      <c r="B1048" s="87"/>
      <c r="C1048" s="83">
        <v>95.97</v>
      </c>
      <c r="D1048" s="84">
        <v>95.325000000000003</v>
      </c>
      <c r="E1048" s="84">
        <v>95.22</v>
      </c>
      <c r="F1048" s="84">
        <v>95.22</v>
      </c>
      <c r="G1048" s="84">
        <v>95.22</v>
      </c>
      <c r="H1048" s="84">
        <v>95.325999999999993</v>
      </c>
      <c r="I1048" s="84">
        <v>96.17</v>
      </c>
      <c r="J1048" s="84"/>
      <c r="K1048" s="84"/>
      <c r="L1048" s="86"/>
      <c r="M1048" s="45"/>
      <c r="N1048" s="52"/>
      <c r="O1048" s="18"/>
    </row>
    <row r="1049" spans="1:15" ht="18" customHeight="1">
      <c r="A1049" s="42" t="s">
        <v>18</v>
      </c>
      <c r="B1049" s="87"/>
      <c r="C1049" s="52">
        <f t="shared" ref="C1049" si="112">C1046-C1048</f>
        <v>0</v>
      </c>
      <c r="D1049" s="52">
        <f>D1048-D1046</f>
        <v>0.58500000000000796</v>
      </c>
      <c r="E1049" s="52">
        <f t="shared" ref="E1049:I1049" si="113">E1048-E1046</f>
        <v>0.48000000000000398</v>
      </c>
      <c r="F1049" s="52">
        <f t="shared" si="113"/>
        <v>0.48000000000000398</v>
      </c>
      <c r="G1049" s="52">
        <f t="shared" si="113"/>
        <v>0.48000000000000398</v>
      </c>
      <c r="H1049" s="52">
        <f t="shared" si="113"/>
        <v>0.58599999999999852</v>
      </c>
      <c r="I1049" s="52">
        <f t="shared" si="113"/>
        <v>0</v>
      </c>
      <c r="J1049" s="52"/>
      <c r="K1049" s="52"/>
      <c r="L1049" s="52"/>
      <c r="M1049" s="47"/>
      <c r="N1049" s="47"/>
      <c r="O1049" s="18"/>
    </row>
    <row r="1050" spans="1:15" ht="18" customHeight="1">
      <c r="A1050" s="42" t="s">
        <v>5</v>
      </c>
      <c r="B1050" s="87"/>
      <c r="C1050" s="52">
        <f t="shared" ref="C1050" si="114">(C1049+B1049)/2*(C1045-B1045)</f>
        <v>0</v>
      </c>
      <c r="D1050" s="52">
        <f>(D1049+C1049)/2*(D1045-C1045)</f>
        <v>0.17550000000000238</v>
      </c>
      <c r="E1050" s="52">
        <f t="shared" ref="E1050:I1050" si="115">(E1049+D1049)/2*(E1045-D1045)</f>
        <v>5.3250000000000582E-2</v>
      </c>
      <c r="F1050" s="52">
        <f t="shared" si="115"/>
        <v>0.48000000000000398</v>
      </c>
      <c r="G1050" s="52">
        <f t="shared" si="115"/>
        <v>0.48000000000000409</v>
      </c>
      <c r="H1050" s="52">
        <f t="shared" si="115"/>
        <v>5.3299999999999938E-2</v>
      </c>
      <c r="I1050" s="52">
        <f t="shared" si="115"/>
        <v>0.2343999999999995</v>
      </c>
      <c r="J1050" s="52"/>
      <c r="K1050" s="52"/>
      <c r="L1050" s="52"/>
      <c r="M1050" s="47"/>
      <c r="N1050" s="77">
        <f>SUM(B1050:M1050)</f>
        <v>1.4764500000000103</v>
      </c>
      <c r="O1050" s="18"/>
    </row>
    <row r="1051" spans="1:15" ht="18" customHeight="1">
      <c r="A1051" s="2"/>
      <c r="B1051" s="2"/>
      <c r="C1051" s="30"/>
      <c r="D1051" s="30"/>
      <c r="E1051" s="4"/>
      <c r="F1051" s="4"/>
      <c r="G1051" s="4"/>
      <c r="H1051" s="4"/>
      <c r="I1051" s="4"/>
      <c r="J1051" s="179" t="s">
        <v>6</v>
      </c>
      <c r="K1051" s="179"/>
      <c r="L1051" s="179"/>
      <c r="M1051" s="179"/>
      <c r="N1051" s="109">
        <f>N1050</f>
        <v>1.4764500000000103</v>
      </c>
      <c r="O1051" s="18"/>
    </row>
    <row r="1052" spans="1:15" ht="18" customHeight="1">
      <c r="A1052" s="24"/>
      <c r="B1052" s="78"/>
      <c r="C1052" s="18"/>
      <c r="D1052" s="18"/>
      <c r="E1052" s="21"/>
      <c r="F1052" s="21"/>
      <c r="G1052" s="21"/>
      <c r="H1052" s="21"/>
      <c r="I1052" s="21"/>
      <c r="J1052" s="21"/>
      <c r="K1052" s="21"/>
      <c r="L1052" s="21"/>
      <c r="M1052" s="21"/>
      <c r="N1052" s="21"/>
      <c r="O1052" s="21"/>
    </row>
    <row r="1053" spans="1:15" ht="14.1" customHeight="1">
      <c r="A1053" s="2"/>
      <c r="B1053" s="2"/>
      <c r="C1053" s="30"/>
      <c r="D1053" s="30"/>
      <c r="E1053" s="21"/>
      <c r="F1053" s="21"/>
      <c r="G1053" s="21"/>
      <c r="H1053" s="21"/>
      <c r="I1053" s="21"/>
      <c r="J1053" s="30"/>
      <c r="K1053" s="30"/>
      <c r="L1053" s="30"/>
      <c r="M1053" s="30"/>
      <c r="N1053" s="30"/>
    </row>
    <row r="1054" spans="1:15" ht="14.1" customHeight="1">
      <c r="A1054" s="6"/>
      <c r="B1054" s="6"/>
      <c r="C1054" s="7"/>
      <c r="D1054" s="7"/>
      <c r="E1054" s="7"/>
      <c r="F1054" s="7"/>
      <c r="G1054" s="7"/>
      <c r="H1054" s="7"/>
      <c r="I1054" s="7"/>
      <c r="K1054" s="7"/>
      <c r="L1054" s="7"/>
      <c r="M1054" s="7"/>
      <c r="N1054" s="7"/>
    </row>
    <row r="1055" spans="1:15" ht="14.1" customHeight="1">
      <c r="A1055" s="6"/>
      <c r="B1055" s="6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</row>
    <row r="1056" spans="1:15" ht="14.1" customHeight="1">
      <c r="A1056" s="6"/>
      <c r="B1056" s="6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</row>
    <row r="1057" spans="1:14" ht="14.1" customHeight="1">
      <c r="A1057" s="6"/>
      <c r="B1057" s="6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</row>
    <row r="1058" spans="1:14" ht="14.1" customHeight="1">
      <c r="A1058" s="6"/>
      <c r="B1058" s="6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</row>
    <row r="1059" spans="1:14" ht="14.1" customHeight="1">
      <c r="A1059" s="6"/>
      <c r="B1059" s="6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</row>
    <row r="1060" spans="1:14" ht="14.1" customHeight="1">
      <c r="A1060" s="6"/>
      <c r="B1060" s="6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</row>
    <row r="1061" spans="1:14" ht="14.1" customHeight="1">
      <c r="A1061" s="6"/>
      <c r="B1061" s="6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</row>
    <row r="1062" spans="1:14" ht="14.1" customHeight="1">
      <c r="A1062" s="6"/>
      <c r="B1062" s="6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</row>
    <row r="1063" spans="1:14" ht="14.1" customHeight="1">
      <c r="A1063" s="6"/>
      <c r="B1063" s="6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</row>
    <row r="1064" spans="1:14" ht="14.1" customHeight="1">
      <c r="A1064" s="6"/>
      <c r="B1064" s="6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</row>
    <row r="1065" spans="1:14" ht="14.1" customHeight="1">
      <c r="A1065" s="6"/>
      <c r="B1065" s="6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</row>
    <row r="1066" spans="1:14" ht="14.1" customHeight="1">
      <c r="A1066" s="6"/>
      <c r="B1066" s="6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</row>
    <row r="1067" spans="1:14" ht="14.1" customHeight="1">
      <c r="A1067" s="6"/>
      <c r="B1067" s="6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</row>
    <row r="1068" spans="1:14" ht="14.1" customHeight="1">
      <c r="A1068" s="6"/>
      <c r="B1068" s="6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</row>
    <row r="1069" spans="1:14" ht="14.1" customHeight="1">
      <c r="A1069" s="6"/>
      <c r="B1069" s="6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</row>
    <row r="1070" spans="1:14" ht="14.1" customHeight="1">
      <c r="A1070" s="6"/>
      <c r="B1070" s="6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</row>
    <row r="1071" spans="1:14" ht="14.1" customHeight="1">
      <c r="A1071" s="6"/>
      <c r="B1071" s="6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</row>
    <row r="1072" spans="1:14" ht="14.1" customHeight="1">
      <c r="A1072" s="6"/>
      <c r="B1072" s="6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</row>
    <row r="1073" spans="1:15" ht="14.1" customHeight="1">
      <c r="A1073" s="6"/>
      <c r="B1073" s="6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</row>
    <row r="1074" spans="1:15" ht="14.1" customHeight="1">
      <c r="A1074" s="6"/>
      <c r="B1074" s="6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</row>
    <row r="1075" spans="1:15" ht="14.1" customHeight="1">
      <c r="A1075" s="6"/>
      <c r="B1075" s="6"/>
      <c r="C1075" s="7"/>
      <c r="D1075" s="7"/>
      <c r="E1075" s="7"/>
      <c r="F1075" s="7"/>
      <c r="G1075" s="7"/>
      <c r="H1075" s="7"/>
      <c r="I1075" s="7"/>
      <c r="J1075" s="36"/>
      <c r="K1075" s="7"/>
      <c r="L1075" s="7"/>
      <c r="M1075" s="7"/>
      <c r="N1075" s="7"/>
    </row>
    <row r="1076" spans="1:15" ht="14.1" customHeight="1">
      <c r="A1076" s="6"/>
      <c r="B1076" s="6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</row>
    <row r="1077" spans="1:15" ht="14.1" customHeight="1">
      <c r="A1077" s="6"/>
      <c r="B1077" s="6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</row>
    <row r="1078" spans="1:15" ht="14.1" customHeight="1">
      <c r="A1078" s="6"/>
      <c r="B1078" s="6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</row>
    <row r="1079" spans="1:15" ht="14.1" customHeight="1">
      <c r="A1079" s="24"/>
      <c r="B1079" s="21"/>
      <c r="C1079" s="21"/>
      <c r="D1079" s="21"/>
      <c r="E1079" s="21"/>
      <c r="F1079" s="21"/>
      <c r="G1079" s="21"/>
      <c r="H1079" s="21"/>
      <c r="I1079" s="21"/>
      <c r="J1079" s="21"/>
      <c r="K1079" s="21"/>
      <c r="L1079" s="21"/>
      <c r="M1079" s="21"/>
      <c r="N1079" s="21"/>
    </row>
    <row r="1080" spans="1:15" ht="14.1" customHeight="1"/>
    <row r="1081" spans="1:15" ht="14.1" customHeight="1"/>
    <row r="1082" spans="1:15" ht="14.1" customHeight="1"/>
    <row r="1083" spans="1:15" ht="18" customHeight="1">
      <c r="A1083" s="184" t="s">
        <v>0</v>
      </c>
      <c r="B1083" s="185"/>
      <c r="C1083" s="185"/>
      <c r="D1083" s="185"/>
      <c r="E1083" s="185"/>
      <c r="F1083" s="185"/>
      <c r="G1083" s="20">
        <v>5760</v>
      </c>
      <c r="H1083" s="1" t="s">
        <v>15</v>
      </c>
      <c r="I1083" s="1"/>
      <c r="J1083" s="32"/>
      <c r="K1083" s="1"/>
      <c r="L1083" s="1"/>
      <c r="M1083" s="1"/>
      <c r="N1083" s="1"/>
    </row>
    <row r="1084" spans="1:15" ht="18" customHeight="1">
      <c r="A1084" s="42" t="s">
        <v>1</v>
      </c>
      <c r="B1084" s="82"/>
      <c r="C1084" s="83">
        <v>0</v>
      </c>
      <c r="D1084" s="84">
        <v>0.6</v>
      </c>
      <c r="E1084" s="84">
        <v>0.7</v>
      </c>
      <c r="F1084" s="85">
        <v>1.7</v>
      </c>
      <c r="G1084" s="85">
        <v>2.7</v>
      </c>
      <c r="H1084" s="84">
        <v>2.8</v>
      </c>
      <c r="I1084" s="52">
        <v>3.5</v>
      </c>
      <c r="J1084" s="52"/>
      <c r="K1084" s="84"/>
      <c r="L1084" s="86"/>
      <c r="M1084" s="45"/>
      <c r="N1084" s="47"/>
      <c r="O1084" s="18"/>
    </row>
    <row r="1085" spans="1:15" ht="18" customHeight="1">
      <c r="A1085" s="42" t="s">
        <v>2</v>
      </c>
      <c r="B1085" s="82"/>
      <c r="C1085" s="83">
        <v>95.92</v>
      </c>
      <c r="D1085" s="84">
        <v>94.56</v>
      </c>
      <c r="E1085" s="84">
        <v>94.56</v>
      </c>
      <c r="F1085" s="84">
        <v>94.56</v>
      </c>
      <c r="G1085" s="84">
        <v>94.56</v>
      </c>
      <c r="H1085" s="84">
        <v>94.56</v>
      </c>
      <c r="I1085" s="84">
        <v>96.07</v>
      </c>
      <c r="J1085" s="84"/>
      <c r="K1085" s="84"/>
      <c r="L1085" s="86"/>
      <c r="M1085" s="45"/>
      <c r="N1085" s="47"/>
      <c r="O1085" s="18"/>
    </row>
    <row r="1086" spans="1:15" ht="18" customHeight="1">
      <c r="A1086" s="42" t="s">
        <v>1</v>
      </c>
      <c r="B1086" s="82"/>
      <c r="C1086" s="83">
        <v>0</v>
      </c>
      <c r="D1086" s="84">
        <v>0.6</v>
      </c>
      <c r="E1086" s="84">
        <v>0.7</v>
      </c>
      <c r="F1086" s="85">
        <v>1.7</v>
      </c>
      <c r="G1086" s="85">
        <v>2.7</v>
      </c>
      <c r="H1086" s="84">
        <v>2.8</v>
      </c>
      <c r="I1086" s="52">
        <v>3.5</v>
      </c>
      <c r="J1086" s="52"/>
      <c r="K1086" s="84"/>
      <c r="L1086" s="86"/>
      <c r="M1086" s="45"/>
      <c r="N1086" s="47"/>
      <c r="O1086" s="18"/>
    </row>
    <row r="1087" spans="1:15" ht="18" customHeight="1">
      <c r="A1087" s="42" t="s">
        <v>3</v>
      </c>
      <c r="B1087" s="87"/>
      <c r="C1087" s="83">
        <v>95.92</v>
      </c>
      <c r="D1087" s="84">
        <v>95.131</v>
      </c>
      <c r="E1087" s="84">
        <v>95</v>
      </c>
      <c r="F1087" s="84">
        <v>95</v>
      </c>
      <c r="G1087" s="84">
        <v>95</v>
      </c>
      <c r="H1087" s="84">
        <v>95.135000000000005</v>
      </c>
      <c r="I1087" s="84">
        <v>96.07</v>
      </c>
      <c r="J1087" s="84"/>
      <c r="K1087" s="84"/>
      <c r="L1087" s="86"/>
      <c r="M1087" s="45"/>
      <c r="N1087" s="52"/>
      <c r="O1087" s="18"/>
    </row>
    <row r="1088" spans="1:15" ht="18" customHeight="1">
      <c r="A1088" s="42" t="s">
        <v>18</v>
      </c>
      <c r="B1088" s="87"/>
      <c r="C1088" s="52">
        <f t="shared" ref="C1088" si="116">C1085-C1087</f>
        <v>0</v>
      </c>
      <c r="D1088" s="52">
        <f>D1087-D1085</f>
        <v>0.57099999999999795</v>
      </c>
      <c r="E1088" s="52">
        <f t="shared" ref="E1088:I1088" si="117">E1087-E1085</f>
        <v>0.43999999999999773</v>
      </c>
      <c r="F1088" s="52">
        <f t="shared" si="117"/>
        <v>0.43999999999999773</v>
      </c>
      <c r="G1088" s="52">
        <f t="shared" si="117"/>
        <v>0.43999999999999773</v>
      </c>
      <c r="H1088" s="52">
        <f t="shared" si="117"/>
        <v>0.57500000000000284</v>
      </c>
      <c r="I1088" s="52">
        <f t="shared" si="117"/>
        <v>0</v>
      </c>
      <c r="J1088" s="52"/>
      <c r="K1088" s="52"/>
      <c r="L1088" s="52"/>
      <c r="M1088" s="47"/>
      <c r="N1088" s="47"/>
      <c r="O1088" s="18"/>
    </row>
    <row r="1089" spans="1:15" ht="18" customHeight="1">
      <c r="A1089" s="42" t="s">
        <v>5</v>
      </c>
      <c r="B1089" s="87"/>
      <c r="C1089" s="52">
        <f t="shared" ref="C1089" si="118">(C1088+B1088)/2*(C1084-B1084)</f>
        <v>0</v>
      </c>
      <c r="D1089" s="52">
        <f>(D1088+C1088)/2*(D1084-C1084)</f>
        <v>0.17129999999999937</v>
      </c>
      <c r="E1089" s="52">
        <f t="shared" ref="E1089:I1089" si="119">(E1088+D1088)/2*(E1084-D1084)</f>
        <v>5.0549999999999776E-2</v>
      </c>
      <c r="F1089" s="52">
        <f t="shared" si="119"/>
        <v>0.43999999999999773</v>
      </c>
      <c r="G1089" s="52">
        <f t="shared" si="119"/>
        <v>0.43999999999999784</v>
      </c>
      <c r="H1089" s="52">
        <f t="shared" si="119"/>
        <v>5.0749999999999851E-2</v>
      </c>
      <c r="I1089" s="52">
        <f t="shared" si="119"/>
        <v>0.20125000000000104</v>
      </c>
      <c r="J1089" s="52"/>
      <c r="K1089" s="52"/>
      <c r="L1089" s="52"/>
      <c r="M1089" s="47"/>
      <c r="N1089" s="77">
        <f>SUM(B1089:M1089)</f>
        <v>1.3538499999999958</v>
      </c>
      <c r="O1089" s="18"/>
    </row>
    <row r="1090" spans="1:15" ht="18" customHeight="1">
      <c r="A1090" s="2"/>
      <c r="B1090" s="2"/>
      <c r="C1090" s="30"/>
      <c r="D1090" s="30"/>
      <c r="E1090" s="4"/>
      <c r="F1090" s="4"/>
      <c r="G1090" s="4"/>
      <c r="H1090" s="4"/>
      <c r="I1090" s="4"/>
      <c r="J1090" s="179" t="s">
        <v>6</v>
      </c>
      <c r="K1090" s="179"/>
      <c r="L1090" s="179"/>
      <c r="M1090" s="179"/>
      <c r="N1090" s="109">
        <f>N1089</f>
        <v>1.3538499999999958</v>
      </c>
      <c r="O1090" s="18"/>
    </row>
    <row r="1091" spans="1:15" ht="18" customHeight="1">
      <c r="A1091" s="24"/>
      <c r="B1091" s="78"/>
      <c r="C1091" s="18"/>
      <c r="D1091" s="18"/>
      <c r="E1091" s="21"/>
      <c r="F1091" s="21"/>
      <c r="G1091" s="21"/>
      <c r="H1091" s="21"/>
      <c r="I1091" s="21"/>
      <c r="J1091" s="21"/>
      <c r="K1091" s="21"/>
      <c r="L1091" s="21"/>
      <c r="M1091" s="21"/>
      <c r="N1091" s="21"/>
      <c r="O1091" s="21"/>
    </row>
    <row r="1092" spans="1:15" ht="14.1" customHeight="1">
      <c r="A1092" s="2"/>
      <c r="B1092" s="2"/>
      <c r="C1092" s="30"/>
      <c r="D1092" s="30"/>
      <c r="E1092" s="21"/>
      <c r="F1092" s="21"/>
      <c r="G1092" s="21"/>
      <c r="H1092" s="21"/>
      <c r="I1092" s="21"/>
      <c r="J1092" s="30"/>
      <c r="K1092" s="30"/>
      <c r="L1092" s="30"/>
      <c r="M1092" s="30"/>
      <c r="N1092" s="30"/>
    </row>
    <row r="1093" spans="1:15" ht="14.1" customHeight="1">
      <c r="A1093" s="6"/>
      <c r="B1093" s="6"/>
      <c r="C1093" s="7"/>
      <c r="D1093" s="7"/>
      <c r="E1093" s="7"/>
      <c r="F1093" s="7"/>
      <c r="G1093" s="7"/>
      <c r="H1093" s="7"/>
      <c r="I1093" s="7"/>
      <c r="K1093" s="7"/>
      <c r="L1093" s="7"/>
      <c r="M1093" s="7"/>
      <c r="N1093" s="7"/>
    </row>
    <row r="1094" spans="1:15" ht="14.1" customHeight="1">
      <c r="A1094" s="6"/>
      <c r="B1094" s="6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</row>
    <row r="1095" spans="1:15" ht="14.1" customHeight="1">
      <c r="A1095" s="6"/>
      <c r="B1095" s="6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</row>
    <row r="1096" spans="1:15" ht="14.1" customHeight="1">
      <c r="A1096" s="6"/>
      <c r="B1096" s="6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</row>
    <row r="1097" spans="1:15" ht="14.1" customHeight="1">
      <c r="A1097" s="6"/>
      <c r="B1097" s="6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</row>
    <row r="1098" spans="1:15" ht="14.1" customHeight="1">
      <c r="A1098" s="6"/>
      <c r="B1098" s="6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</row>
    <row r="1099" spans="1:15" ht="14.1" customHeight="1">
      <c r="A1099" s="6"/>
      <c r="B1099" s="6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</row>
    <row r="1100" spans="1:15" ht="14.1" customHeight="1">
      <c r="A1100" s="6"/>
      <c r="B1100" s="6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</row>
    <row r="1101" spans="1:15" ht="14.1" customHeight="1">
      <c r="A1101" s="6"/>
      <c r="B1101" s="6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</row>
    <row r="1102" spans="1:15" ht="14.1" customHeight="1">
      <c r="A1102" s="6"/>
      <c r="B1102" s="6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</row>
    <row r="1103" spans="1:15" ht="14.1" customHeight="1">
      <c r="A1103" s="6"/>
      <c r="B1103" s="6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</row>
    <row r="1104" spans="1:15" ht="14.1" customHeight="1">
      <c r="A1104" s="6"/>
      <c r="B1104" s="6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</row>
    <row r="1105" spans="1:14" ht="14.1" customHeight="1">
      <c r="A1105" s="6"/>
      <c r="B1105" s="6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</row>
    <row r="1106" spans="1:14" ht="14.1" customHeight="1">
      <c r="A1106" s="6"/>
      <c r="B1106" s="6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</row>
    <row r="1107" spans="1:14" ht="14.1" customHeight="1">
      <c r="A1107" s="6"/>
      <c r="B1107" s="6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</row>
    <row r="1108" spans="1:14" ht="14.1" customHeight="1">
      <c r="A1108" s="6"/>
      <c r="B1108" s="6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</row>
    <row r="1109" spans="1:14" ht="14.1" customHeight="1">
      <c r="A1109" s="6"/>
      <c r="B1109" s="6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</row>
    <row r="1110" spans="1:14" ht="14.1" customHeight="1">
      <c r="A1110" s="6"/>
      <c r="B1110" s="6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</row>
    <row r="1111" spans="1:14" ht="14.1" customHeight="1">
      <c r="A1111" s="6"/>
      <c r="B1111" s="6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</row>
    <row r="1112" spans="1:14" ht="14.1" customHeight="1">
      <c r="A1112" s="6"/>
      <c r="B1112" s="6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</row>
    <row r="1113" spans="1:14" ht="14.1" customHeight="1">
      <c r="A1113" s="6"/>
      <c r="B1113" s="6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</row>
    <row r="1114" spans="1:14" ht="14.1" customHeight="1">
      <c r="A1114" s="6"/>
      <c r="B1114" s="6"/>
      <c r="C1114" s="7"/>
      <c r="D1114" s="7"/>
      <c r="E1114" s="7"/>
      <c r="F1114" s="7"/>
      <c r="G1114" s="7"/>
      <c r="H1114" s="7"/>
      <c r="I1114" s="7"/>
      <c r="J1114" s="30"/>
      <c r="K1114" s="7"/>
      <c r="L1114" s="7"/>
      <c r="M1114" s="7"/>
      <c r="N1114" s="7"/>
    </row>
    <row r="1115" spans="1:14" ht="14.1" customHeight="1">
      <c r="A1115" s="6"/>
      <c r="B1115" s="6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</row>
    <row r="1116" spans="1:14" ht="14.1" customHeight="1">
      <c r="A1116" s="6"/>
      <c r="B1116" s="6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</row>
    <row r="1117" spans="1:14" ht="14.1" customHeight="1">
      <c r="A1117" s="6"/>
      <c r="B1117" s="6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</row>
    <row r="1118" spans="1:14" ht="14.1" customHeight="1">
      <c r="A1118" s="24"/>
      <c r="B1118" s="21"/>
      <c r="C1118" s="21"/>
      <c r="D1118" s="21"/>
      <c r="E1118" s="21"/>
      <c r="F1118" s="21"/>
      <c r="G1118" s="21"/>
      <c r="H1118" s="21"/>
      <c r="I1118" s="21"/>
      <c r="J1118" s="21"/>
      <c r="K1118" s="21"/>
      <c r="L1118" s="21"/>
      <c r="M1118" s="21"/>
      <c r="N1118" s="21"/>
    </row>
    <row r="1119" spans="1:14" ht="14.1" customHeight="1"/>
    <row r="1120" spans="1:14" ht="14.1" customHeight="1"/>
    <row r="1121" spans="1:15" ht="14.1" customHeight="1">
      <c r="B1121" s="181"/>
      <c r="C1121" s="181"/>
      <c r="D1121" s="181"/>
      <c r="E1121" s="25"/>
      <c r="F1121" s="25"/>
      <c r="G1121" s="167"/>
      <c r="H1121" s="167"/>
      <c r="I1121" s="167"/>
      <c r="J1121" s="7"/>
      <c r="K1121" s="182"/>
      <c r="L1121" s="182"/>
    </row>
    <row r="1122" spans="1:15" ht="14.1" customHeight="1">
      <c r="B1122" s="170"/>
      <c r="C1122" s="170"/>
      <c r="D1122" s="170"/>
      <c r="E1122" s="26"/>
      <c r="F1122" s="26"/>
      <c r="G1122" s="170"/>
      <c r="H1122" s="170"/>
      <c r="I1122" s="170"/>
      <c r="J1122" s="25"/>
      <c r="K1122" s="171"/>
      <c r="L1122" s="171"/>
    </row>
    <row r="1123" spans="1:15" ht="14.1" customHeight="1"/>
    <row r="1124" spans="1:15" ht="14.1" customHeight="1"/>
    <row r="1125" spans="1:15" ht="14.1" customHeight="1"/>
    <row r="1126" spans="1:15" ht="18" customHeight="1">
      <c r="A1126" s="184" t="s">
        <v>0</v>
      </c>
      <c r="B1126" s="185"/>
      <c r="C1126" s="185"/>
      <c r="D1126" s="185"/>
      <c r="E1126" s="185"/>
      <c r="F1126" s="185"/>
      <c r="G1126" s="20">
        <v>5820</v>
      </c>
      <c r="H1126" s="1" t="s">
        <v>15</v>
      </c>
      <c r="I1126" s="1"/>
      <c r="J1126" s="32"/>
      <c r="K1126" s="1"/>
      <c r="L1126" s="1"/>
      <c r="M1126" s="1"/>
      <c r="N1126" s="1"/>
    </row>
    <row r="1127" spans="1:15" ht="18" customHeight="1">
      <c r="A1127" s="42" t="s">
        <v>1</v>
      </c>
      <c r="B1127" s="82"/>
      <c r="C1127" s="83">
        <v>0</v>
      </c>
      <c r="D1127" s="84">
        <v>0.6</v>
      </c>
      <c r="E1127" s="84">
        <v>0.7</v>
      </c>
      <c r="F1127" s="85">
        <v>1.7</v>
      </c>
      <c r="G1127" s="85">
        <v>2.7</v>
      </c>
      <c r="H1127" s="84">
        <v>2.8</v>
      </c>
      <c r="I1127" s="52">
        <v>3.6</v>
      </c>
      <c r="J1127" s="52"/>
      <c r="K1127" s="84"/>
      <c r="L1127" s="86"/>
      <c r="M1127" s="45"/>
      <c r="N1127" s="47"/>
      <c r="O1127" s="18"/>
    </row>
    <row r="1128" spans="1:15" ht="18" customHeight="1">
      <c r="A1128" s="42" t="s">
        <v>2</v>
      </c>
      <c r="B1128" s="82"/>
      <c r="C1128" s="83">
        <v>95.89</v>
      </c>
      <c r="D1128" s="84">
        <v>94.57</v>
      </c>
      <c r="E1128" s="84">
        <v>94.57</v>
      </c>
      <c r="F1128" s="84">
        <v>94.57</v>
      </c>
      <c r="G1128" s="84">
        <v>94.57</v>
      </c>
      <c r="H1128" s="84">
        <v>94.57</v>
      </c>
      <c r="I1128" s="84">
        <v>96.07</v>
      </c>
      <c r="J1128" s="84"/>
      <c r="K1128" s="84"/>
      <c r="L1128" s="86"/>
      <c r="M1128" s="45"/>
      <c r="N1128" s="47"/>
      <c r="O1128" s="18"/>
    </row>
    <row r="1129" spans="1:15" ht="18" customHeight="1">
      <c r="A1129" s="42" t="s">
        <v>1</v>
      </c>
      <c r="B1129" s="82"/>
      <c r="C1129" s="83">
        <v>0</v>
      </c>
      <c r="D1129" s="84">
        <v>0.6</v>
      </c>
      <c r="E1129" s="84">
        <v>0.7</v>
      </c>
      <c r="F1129" s="85">
        <v>1.7</v>
      </c>
      <c r="G1129" s="85">
        <v>2.7</v>
      </c>
      <c r="H1129" s="84">
        <v>2.8</v>
      </c>
      <c r="I1129" s="52">
        <v>3.6</v>
      </c>
      <c r="J1129" s="52"/>
      <c r="K1129" s="84"/>
      <c r="L1129" s="86"/>
      <c r="M1129" s="45"/>
      <c r="N1129" s="47"/>
      <c r="O1129" s="18"/>
    </row>
    <row r="1130" spans="1:15" ht="18" customHeight="1">
      <c r="A1130" s="42" t="s">
        <v>3</v>
      </c>
      <c r="B1130" s="87"/>
      <c r="C1130" s="83">
        <v>95.89</v>
      </c>
      <c r="D1130" s="84">
        <v>95.100999999999999</v>
      </c>
      <c r="E1130" s="84">
        <v>94.97</v>
      </c>
      <c r="F1130" s="84">
        <v>94.97</v>
      </c>
      <c r="G1130" s="84">
        <v>94.97</v>
      </c>
      <c r="H1130" s="84">
        <v>95.091999999999999</v>
      </c>
      <c r="I1130" s="84">
        <v>96.07</v>
      </c>
      <c r="J1130" s="84"/>
      <c r="K1130" s="84"/>
      <c r="L1130" s="86"/>
      <c r="M1130" s="45"/>
      <c r="N1130" s="52"/>
      <c r="O1130" s="18"/>
    </row>
    <row r="1131" spans="1:15" ht="18" customHeight="1">
      <c r="A1131" s="42" t="s">
        <v>18</v>
      </c>
      <c r="B1131" s="87"/>
      <c r="C1131" s="52">
        <f t="shared" ref="C1131" si="120">C1128-C1130</f>
        <v>0</v>
      </c>
      <c r="D1131" s="52">
        <f>D1130-D1128</f>
        <v>0.53100000000000591</v>
      </c>
      <c r="E1131" s="52">
        <f t="shared" ref="E1131:I1131" si="121">E1130-E1128</f>
        <v>0.40000000000000568</v>
      </c>
      <c r="F1131" s="52">
        <f t="shared" si="121"/>
        <v>0.40000000000000568</v>
      </c>
      <c r="G1131" s="52">
        <f t="shared" si="121"/>
        <v>0.40000000000000568</v>
      </c>
      <c r="H1131" s="52">
        <f t="shared" si="121"/>
        <v>0.52200000000000557</v>
      </c>
      <c r="I1131" s="52">
        <f t="shared" si="121"/>
        <v>0</v>
      </c>
      <c r="J1131" s="52"/>
      <c r="K1131" s="52"/>
      <c r="L1131" s="52"/>
      <c r="M1131" s="47"/>
      <c r="N1131" s="47"/>
      <c r="O1131" s="18"/>
    </row>
    <row r="1132" spans="1:15" ht="18" customHeight="1">
      <c r="A1132" s="42" t="s">
        <v>5</v>
      </c>
      <c r="B1132" s="87"/>
      <c r="C1132" s="52">
        <f t="shared" ref="C1132" si="122">(C1131+B1131)/2*(C1127-B1127)</f>
        <v>0</v>
      </c>
      <c r="D1132" s="52">
        <f>(D1131+C1131)/2*(D1127-C1127)</f>
        <v>0.15930000000000177</v>
      </c>
      <c r="E1132" s="52">
        <f t="shared" ref="E1132:I1132" si="123">(E1131+D1131)/2*(E1127-D1127)</f>
        <v>4.655000000000057E-2</v>
      </c>
      <c r="F1132" s="52">
        <f t="shared" si="123"/>
        <v>0.40000000000000568</v>
      </c>
      <c r="G1132" s="52">
        <f t="shared" si="123"/>
        <v>0.4000000000000058</v>
      </c>
      <c r="H1132" s="52">
        <f t="shared" si="123"/>
        <v>4.6100000000000398E-2</v>
      </c>
      <c r="I1132" s="52">
        <f t="shared" si="123"/>
        <v>0.20880000000000229</v>
      </c>
      <c r="J1132" s="52"/>
      <c r="K1132" s="52"/>
      <c r="L1132" s="52"/>
      <c r="M1132" s="47"/>
      <c r="N1132" s="77">
        <f>SUM(B1132:M1132)</f>
        <v>1.2607500000000167</v>
      </c>
      <c r="O1132" s="18"/>
    </row>
    <row r="1133" spans="1:15" ht="18" customHeight="1">
      <c r="A1133" s="2"/>
      <c r="B1133" s="2"/>
      <c r="C1133" s="30"/>
      <c r="D1133" s="30"/>
      <c r="E1133" s="4"/>
      <c r="F1133" s="4"/>
      <c r="G1133" s="4"/>
      <c r="H1133" s="4"/>
      <c r="I1133" s="4"/>
      <c r="J1133" s="179" t="s">
        <v>6</v>
      </c>
      <c r="K1133" s="179"/>
      <c r="L1133" s="179"/>
      <c r="M1133" s="179"/>
      <c r="N1133" s="109">
        <f>N1132</f>
        <v>1.2607500000000167</v>
      </c>
      <c r="O1133" s="18"/>
    </row>
    <row r="1134" spans="1:15" ht="18" customHeight="1">
      <c r="A1134" s="24"/>
      <c r="B1134" s="78"/>
      <c r="C1134" s="18"/>
      <c r="D1134" s="18"/>
      <c r="E1134" s="21"/>
      <c r="F1134" s="21"/>
      <c r="G1134" s="21"/>
      <c r="H1134" s="21"/>
      <c r="I1134" s="21"/>
      <c r="J1134" s="21"/>
      <c r="K1134" s="21"/>
      <c r="L1134" s="21"/>
      <c r="M1134" s="21"/>
      <c r="N1134" s="21"/>
      <c r="O1134" s="21"/>
    </row>
    <row r="1135" spans="1:15" ht="14.1" customHeight="1">
      <c r="A1135" s="2"/>
      <c r="B1135" s="2"/>
      <c r="C1135" s="30"/>
      <c r="D1135" s="30"/>
      <c r="E1135" s="21"/>
      <c r="F1135" s="21"/>
      <c r="G1135" s="21"/>
      <c r="H1135" s="21"/>
      <c r="I1135" s="21"/>
      <c r="J1135" s="30"/>
      <c r="K1135" s="30"/>
      <c r="L1135" s="30"/>
      <c r="M1135" s="30"/>
      <c r="N1135" s="30"/>
    </row>
    <row r="1136" spans="1:15" ht="14.1" customHeight="1">
      <c r="A1136" s="6"/>
      <c r="B1136" s="6"/>
      <c r="C1136" s="7"/>
      <c r="D1136" s="7"/>
      <c r="E1136" s="7"/>
      <c r="F1136" s="7"/>
      <c r="G1136" s="7"/>
      <c r="H1136" s="7"/>
      <c r="I1136" s="7"/>
      <c r="K1136" s="7"/>
      <c r="L1136" s="7"/>
      <c r="M1136" s="7"/>
      <c r="N1136" s="7"/>
    </row>
    <row r="1137" spans="1:14" ht="14.1" customHeight="1">
      <c r="A1137" s="6"/>
      <c r="B1137" s="6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</row>
    <row r="1138" spans="1:14" ht="14.1" customHeight="1">
      <c r="A1138" s="6"/>
      <c r="B1138" s="6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</row>
    <row r="1139" spans="1:14" ht="14.1" customHeight="1">
      <c r="A1139" s="6"/>
      <c r="B1139" s="6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</row>
    <row r="1140" spans="1:14" ht="14.1" customHeight="1">
      <c r="A1140" s="6"/>
      <c r="B1140" s="6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</row>
    <row r="1141" spans="1:14" ht="14.1" customHeight="1">
      <c r="A1141" s="6"/>
      <c r="B1141" s="6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</row>
    <row r="1142" spans="1:14" ht="14.1" customHeight="1">
      <c r="A1142" s="6"/>
      <c r="B1142" s="6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</row>
    <row r="1143" spans="1:14" ht="14.1" customHeight="1">
      <c r="A1143" s="6"/>
      <c r="B1143" s="6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</row>
    <row r="1144" spans="1:14" ht="14.1" customHeight="1">
      <c r="A1144" s="6"/>
      <c r="B1144" s="6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</row>
    <row r="1145" spans="1:14" ht="14.1" customHeight="1">
      <c r="A1145" s="6"/>
      <c r="B1145" s="6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</row>
    <row r="1146" spans="1:14" ht="14.1" customHeight="1">
      <c r="A1146" s="6"/>
      <c r="B1146" s="6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</row>
    <row r="1147" spans="1:14" ht="14.1" customHeight="1">
      <c r="A1147" s="6"/>
      <c r="B1147" s="6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</row>
    <row r="1148" spans="1:14" ht="14.1" customHeight="1">
      <c r="A1148" s="6"/>
      <c r="B1148" s="6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</row>
    <row r="1149" spans="1:14" ht="14.1" customHeight="1">
      <c r="A1149" s="6"/>
      <c r="B1149" s="6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</row>
    <row r="1150" spans="1:14" ht="14.1" customHeight="1">
      <c r="A1150" s="6"/>
      <c r="B1150" s="6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</row>
    <row r="1151" spans="1:14" ht="14.1" customHeight="1">
      <c r="A1151" s="6"/>
      <c r="B1151" s="6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</row>
    <row r="1152" spans="1:14" ht="14.1" customHeight="1">
      <c r="A1152" s="6"/>
      <c r="B1152" s="6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</row>
    <row r="1153" spans="1:15" ht="14.1" customHeight="1">
      <c r="A1153" s="6"/>
      <c r="B1153" s="6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</row>
    <row r="1154" spans="1:15" ht="14.1" customHeight="1">
      <c r="A1154" s="6"/>
      <c r="B1154" s="6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</row>
    <row r="1155" spans="1:15" ht="14.1" customHeight="1">
      <c r="A1155" s="6"/>
      <c r="B1155" s="6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</row>
    <row r="1156" spans="1:15" ht="14.1" customHeight="1">
      <c r="A1156" s="6"/>
      <c r="B1156" s="6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</row>
    <row r="1157" spans="1:15" ht="14.1" customHeight="1">
      <c r="A1157" s="6"/>
      <c r="B1157" s="6"/>
      <c r="C1157" s="7"/>
      <c r="D1157" s="7"/>
      <c r="E1157" s="7"/>
      <c r="F1157" s="7"/>
      <c r="G1157" s="7"/>
      <c r="H1157" s="7"/>
      <c r="I1157" s="7"/>
      <c r="J1157" s="36"/>
      <c r="K1157" s="7"/>
      <c r="L1157" s="7"/>
      <c r="M1157" s="7"/>
      <c r="N1157" s="7"/>
    </row>
    <row r="1158" spans="1:15" ht="14.1" customHeight="1">
      <c r="A1158" s="6"/>
      <c r="B1158" s="6"/>
      <c r="C1158" s="7"/>
      <c r="D1158" s="7"/>
      <c r="E1158" s="7"/>
      <c r="F1158" s="7"/>
      <c r="G1158" s="7"/>
      <c r="H1158" s="7"/>
      <c r="I1158" s="7"/>
      <c r="J1158" s="30"/>
      <c r="K1158" s="7"/>
      <c r="L1158" s="7"/>
      <c r="M1158" s="7"/>
      <c r="N1158" s="7"/>
    </row>
    <row r="1159" spans="1:15" ht="14.1" customHeight="1">
      <c r="A1159" s="6"/>
      <c r="B1159" s="6"/>
      <c r="C1159" s="7"/>
      <c r="D1159" s="7"/>
      <c r="E1159" s="7"/>
      <c r="F1159" s="7"/>
      <c r="G1159" s="7"/>
      <c r="H1159" s="7"/>
      <c r="I1159" s="7"/>
      <c r="J1159" s="30"/>
      <c r="K1159" s="7"/>
      <c r="L1159" s="7"/>
      <c r="M1159" s="7"/>
      <c r="N1159" s="7"/>
    </row>
    <row r="1160" spans="1:15" ht="14.1" customHeight="1">
      <c r="A1160" s="6"/>
      <c r="B1160" s="6"/>
      <c r="C1160" s="7"/>
      <c r="D1160" s="7"/>
      <c r="E1160" s="7"/>
      <c r="F1160" s="7"/>
      <c r="G1160" s="7"/>
      <c r="H1160" s="7"/>
      <c r="I1160" s="7"/>
      <c r="J1160" s="30"/>
      <c r="K1160" s="7"/>
      <c r="L1160" s="7"/>
      <c r="M1160" s="7"/>
      <c r="N1160" s="7"/>
    </row>
    <row r="1161" spans="1:15" ht="14.1" customHeight="1">
      <c r="A1161" s="6"/>
      <c r="B1161" s="6"/>
      <c r="C1161" s="7"/>
      <c r="D1161" s="7"/>
      <c r="E1161" s="7"/>
      <c r="F1161" s="7"/>
      <c r="G1161" s="7"/>
      <c r="H1161" s="7"/>
      <c r="I1161" s="7"/>
      <c r="J1161" s="30"/>
      <c r="K1161" s="7"/>
      <c r="L1161" s="7"/>
      <c r="M1161" s="7"/>
      <c r="N1161" s="7"/>
    </row>
    <row r="1162" spans="1:15" ht="14.1" customHeight="1">
      <c r="A1162" s="6"/>
      <c r="B1162" s="6"/>
      <c r="C1162" s="7"/>
      <c r="D1162" s="7"/>
      <c r="E1162" s="7"/>
      <c r="F1162" s="7"/>
      <c r="G1162" s="7"/>
      <c r="H1162" s="7"/>
      <c r="I1162" s="7"/>
      <c r="J1162" s="30"/>
      <c r="K1162" s="7"/>
      <c r="L1162" s="7"/>
      <c r="M1162" s="7"/>
      <c r="N1162" s="7"/>
    </row>
    <row r="1163" spans="1:15" ht="14.1" customHeight="1">
      <c r="A1163" s="6"/>
      <c r="B1163" s="6"/>
      <c r="C1163" s="7"/>
      <c r="D1163" s="7"/>
      <c r="E1163" s="7"/>
      <c r="F1163" s="7"/>
      <c r="G1163" s="7"/>
      <c r="H1163" s="7"/>
      <c r="I1163" s="7"/>
      <c r="J1163" s="30"/>
      <c r="K1163" s="7"/>
      <c r="L1163" s="7"/>
      <c r="M1163" s="7"/>
      <c r="N1163" s="7"/>
    </row>
    <row r="1164" spans="1:15" ht="14.1" customHeight="1">
      <c r="A1164" s="6"/>
      <c r="B1164" s="6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</row>
    <row r="1165" spans="1:15" ht="14.1" customHeight="1"/>
    <row r="1166" spans="1:15" ht="14.1" customHeight="1"/>
    <row r="1167" spans="1:15" ht="18" customHeight="1">
      <c r="A1167" s="184" t="s">
        <v>0</v>
      </c>
      <c r="B1167" s="185"/>
      <c r="C1167" s="185"/>
      <c r="D1167" s="185"/>
      <c r="E1167" s="185"/>
      <c r="F1167" s="185"/>
      <c r="G1167" s="20">
        <v>5880</v>
      </c>
      <c r="H1167" s="1" t="s">
        <v>15</v>
      </c>
      <c r="I1167" s="1"/>
      <c r="J1167" s="33"/>
      <c r="K1167" s="1"/>
      <c r="L1167" s="1"/>
      <c r="M1167" s="1"/>
      <c r="N1167" s="1"/>
    </row>
    <row r="1168" spans="1:15" ht="18" customHeight="1">
      <c r="A1168" s="42" t="s">
        <v>1</v>
      </c>
      <c r="B1168" s="82"/>
      <c r="C1168" s="83">
        <v>0</v>
      </c>
      <c r="D1168" s="84">
        <v>0.6</v>
      </c>
      <c r="E1168" s="84">
        <v>0.7</v>
      </c>
      <c r="F1168" s="85">
        <v>1.7</v>
      </c>
      <c r="G1168" s="85">
        <v>2.7</v>
      </c>
      <c r="H1168" s="84">
        <v>2.8</v>
      </c>
      <c r="I1168" s="52">
        <v>3.5</v>
      </c>
      <c r="J1168" s="52"/>
      <c r="K1168" s="84"/>
      <c r="L1168" s="86"/>
      <c r="M1168" s="45"/>
      <c r="N1168" s="47"/>
      <c r="O1168" s="22"/>
    </row>
    <row r="1169" spans="1:15" ht="18" customHeight="1">
      <c r="A1169" s="42" t="s">
        <v>2</v>
      </c>
      <c r="B1169" s="82"/>
      <c r="C1169" s="83">
        <v>95.69</v>
      </c>
      <c r="D1169" s="84">
        <v>94.55</v>
      </c>
      <c r="E1169" s="84">
        <v>94.55</v>
      </c>
      <c r="F1169" s="84">
        <v>94.55</v>
      </c>
      <c r="G1169" s="84">
        <v>94.55</v>
      </c>
      <c r="H1169" s="84">
        <v>94.55</v>
      </c>
      <c r="I1169" s="84">
        <v>95.86</v>
      </c>
      <c r="J1169" s="84"/>
      <c r="K1169" s="84"/>
      <c r="L1169" s="86"/>
      <c r="M1169" s="45"/>
      <c r="N1169" s="47"/>
      <c r="O1169" s="21"/>
    </row>
    <row r="1170" spans="1:15" ht="18" customHeight="1">
      <c r="A1170" s="42" t="s">
        <v>1</v>
      </c>
      <c r="B1170" s="82"/>
      <c r="C1170" s="83">
        <v>0</v>
      </c>
      <c r="D1170" s="84">
        <v>0.6</v>
      </c>
      <c r="E1170" s="84">
        <v>0.7</v>
      </c>
      <c r="F1170" s="85">
        <v>1.7</v>
      </c>
      <c r="G1170" s="85">
        <v>2.7</v>
      </c>
      <c r="H1170" s="84">
        <v>2.8</v>
      </c>
      <c r="I1170" s="52">
        <v>3.5</v>
      </c>
      <c r="J1170" s="52"/>
      <c r="K1170" s="84"/>
      <c r="L1170" s="86"/>
      <c r="M1170" s="45"/>
      <c r="N1170" s="47"/>
      <c r="O1170" s="22"/>
    </row>
    <row r="1171" spans="1:15" ht="18" customHeight="1">
      <c r="A1171" s="42" t="s">
        <v>3</v>
      </c>
      <c r="B1171" s="87"/>
      <c r="C1171" s="83">
        <v>95.69</v>
      </c>
      <c r="D1171" s="84">
        <v>95.075000000000003</v>
      </c>
      <c r="E1171" s="84">
        <v>94.97</v>
      </c>
      <c r="F1171" s="84">
        <v>94.97</v>
      </c>
      <c r="G1171" s="84">
        <v>94.97</v>
      </c>
      <c r="H1171" s="84">
        <v>95.081000000000003</v>
      </c>
      <c r="I1171" s="84">
        <v>95.86</v>
      </c>
      <c r="J1171" s="84"/>
      <c r="K1171" s="84"/>
      <c r="L1171" s="86"/>
      <c r="M1171" s="45"/>
      <c r="N1171" s="52"/>
      <c r="O1171" s="23"/>
    </row>
    <row r="1172" spans="1:15" ht="18" customHeight="1">
      <c r="A1172" s="42" t="s">
        <v>18</v>
      </c>
      <c r="B1172" s="87"/>
      <c r="C1172" s="52">
        <f t="shared" ref="C1172" si="124">C1169-C1171</f>
        <v>0</v>
      </c>
      <c r="D1172" s="52">
        <f>D1171-D1169</f>
        <v>0.52500000000000568</v>
      </c>
      <c r="E1172" s="52">
        <f t="shared" ref="E1172:I1172" si="125">E1171-E1169</f>
        <v>0.42000000000000171</v>
      </c>
      <c r="F1172" s="52">
        <f t="shared" si="125"/>
        <v>0.42000000000000171</v>
      </c>
      <c r="G1172" s="52">
        <f t="shared" si="125"/>
        <v>0.42000000000000171</v>
      </c>
      <c r="H1172" s="52">
        <f t="shared" si="125"/>
        <v>0.53100000000000591</v>
      </c>
      <c r="I1172" s="52">
        <f t="shared" si="125"/>
        <v>0</v>
      </c>
      <c r="J1172" s="52"/>
      <c r="K1172" s="52"/>
      <c r="L1172" s="52"/>
      <c r="M1172" s="47"/>
      <c r="N1172" s="47"/>
      <c r="O1172" s="21"/>
    </row>
    <row r="1173" spans="1:15" ht="18" customHeight="1">
      <c r="A1173" s="42" t="s">
        <v>5</v>
      </c>
      <c r="B1173" s="87"/>
      <c r="C1173" s="52">
        <f t="shared" ref="C1173" si="126">(C1172+B1172)/2*(C1168-B1168)</f>
        <v>0</v>
      </c>
      <c r="D1173" s="52">
        <f>(D1172+C1172)/2*(D1168-C1168)</f>
        <v>0.15750000000000169</v>
      </c>
      <c r="E1173" s="52">
        <f t="shared" ref="E1173:I1173" si="127">(E1172+D1172)/2*(E1168-D1168)</f>
        <v>4.7250000000000361E-2</v>
      </c>
      <c r="F1173" s="52">
        <f t="shared" si="127"/>
        <v>0.42000000000000171</v>
      </c>
      <c r="G1173" s="52">
        <f t="shared" si="127"/>
        <v>0.42000000000000182</v>
      </c>
      <c r="H1173" s="52">
        <f t="shared" si="127"/>
        <v>4.755000000000021E-2</v>
      </c>
      <c r="I1173" s="52">
        <f t="shared" si="127"/>
        <v>0.18585000000000212</v>
      </c>
      <c r="J1173" s="52"/>
      <c r="K1173" s="52"/>
      <c r="L1173" s="52"/>
      <c r="M1173" s="47"/>
      <c r="N1173" s="77">
        <f>SUM(B1173:M1173)</f>
        <v>1.2781500000000077</v>
      </c>
      <c r="O1173" s="21"/>
    </row>
    <row r="1174" spans="1:15" ht="18" customHeight="1">
      <c r="A1174" s="2"/>
      <c r="B1174" s="2"/>
      <c r="C1174" s="30"/>
      <c r="D1174" s="30"/>
      <c r="E1174" s="4"/>
      <c r="F1174" s="4"/>
      <c r="G1174" s="4"/>
      <c r="H1174" s="4"/>
      <c r="I1174" s="4"/>
      <c r="J1174" s="179" t="s">
        <v>6</v>
      </c>
      <c r="K1174" s="179"/>
      <c r="L1174" s="179"/>
      <c r="M1174" s="179"/>
      <c r="N1174" s="109">
        <f>N1173</f>
        <v>1.2781500000000077</v>
      </c>
      <c r="O1174" s="21"/>
    </row>
    <row r="1175" spans="1:15" ht="18" customHeight="1">
      <c r="A1175" s="24"/>
      <c r="B1175" s="78"/>
      <c r="C1175" s="18"/>
      <c r="D1175" s="18"/>
      <c r="E1175" s="21"/>
      <c r="F1175" s="21"/>
      <c r="G1175" s="21"/>
      <c r="H1175" s="21"/>
      <c r="I1175" s="21"/>
      <c r="J1175" s="21"/>
      <c r="K1175" s="21"/>
      <c r="L1175" s="21"/>
      <c r="M1175" s="21"/>
      <c r="N1175" s="21"/>
      <c r="O1175" s="21"/>
    </row>
    <row r="1176" spans="1:15" ht="14.1" customHeight="1">
      <c r="A1176" s="2"/>
      <c r="B1176" s="2"/>
      <c r="C1176" s="30"/>
      <c r="D1176" s="30"/>
      <c r="E1176" s="21"/>
      <c r="F1176" s="21"/>
      <c r="G1176" s="21"/>
      <c r="H1176" s="21"/>
      <c r="I1176" s="21"/>
      <c r="J1176" s="30"/>
      <c r="K1176" s="30"/>
      <c r="L1176" s="30"/>
      <c r="M1176" s="30"/>
      <c r="N1176" s="30"/>
    </row>
    <row r="1177" spans="1:15" ht="14.1" customHeight="1">
      <c r="A1177" s="6"/>
      <c r="B1177" s="6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</row>
    <row r="1178" spans="1:15" ht="14.1" customHeight="1">
      <c r="A1178" s="6"/>
      <c r="B1178" s="6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</row>
    <row r="1179" spans="1:15" ht="14.1" customHeight="1">
      <c r="A1179" s="6"/>
      <c r="B1179" s="6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</row>
    <row r="1180" spans="1:15" ht="14.1" customHeight="1">
      <c r="A1180" s="6"/>
      <c r="B1180" s="6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</row>
    <row r="1181" spans="1:15" ht="14.1" customHeight="1">
      <c r="A1181" s="6"/>
      <c r="B1181" s="6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</row>
    <row r="1182" spans="1:15" ht="14.1" customHeight="1">
      <c r="A1182" s="6"/>
      <c r="B1182" s="6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</row>
    <row r="1183" spans="1:15" ht="14.1" customHeight="1">
      <c r="A1183" s="6"/>
      <c r="B1183" s="6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</row>
    <row r="1184" spans="1:15" ht="14.1" customHeight="1">
      <c r="A1184" s="6"/>
      <c r="B1184" s="6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</row>
    <row r="1185" spans="1:14" ht="14.1" customHeight="1">
      <c r="A1185" s="6"/>
      <c r="B1185" s="6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</row>
    <row r="1186" spans="1:14" ht="14.1" customHeight="1">
      <c r="A1186" s="6"/>
      <c r="B1186" s="6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</row>
    <row r="1187" spans="1:14" ht="14.1" customHeight="1">
      <c r="A1187" s="6"/>
      <c r="B1187" s="6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</row>
    <row r="1188" spans="1:14" ht="14.1" customHeight="1">
      <c r="A1188" s="6"/>
      <c r="B1188" s="6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</row>
    <row r="1189" spans="1:14" ht="14.1" customHeight="1">
      <c r="A1189" s="6"/>
      <c r="B1189" s="6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</row>
    <row r="1190" spans="1:14" ht="14.1" customHeight="1">
      <c r="A1190" s="6"/>
      <c r="B1190" s="6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</row>
    <row r="1191" spans="1:14" ht="14.1" customHeight="1">
      <c r="A1191" s="6"/>
      <c r="B1191" s="6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</row>
    <row r="1192" spans="1:14" ht="14.1" customHeight="1">
      <c r="A1192" s="6"/>
      <c r="B1192" s="6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</row>
    <row r="1193" spans="1:14" ht="14.1" customHeight="1">
      <c r="A1193" s="6"/>
      <c r="B1193" s="6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</row>
    <row r="1194" spans="1:14" ht="14.1" customHeight="1">
      <c r="A1194" s="6"/>
      <c r="B1194" s="6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</row>
    <row r="1195" spans="1:14" ht="14.1" customHeight="1">
      <c r="A1195" s="6"/>
      <c r="B1195" s="6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</row>
    <row r="1196" spans="1:14" ht="14.1" customHeight="1">
      <c r="A1196" s="6"/>
      <c r="B1196" s="6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</row>
    <row r="1197" spans="1:14" ht="14.1" customHeight="1">
      <c r="A1197" s="6"/>
      <c r="B1197" s="6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</row>
    <row r="1198" spans="1:14" ht="14.1" customHeight="1">
      <c r="A1198" s="6"/>
      <c r="B1198" s="6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</row>
    <row r="1199" spans="1:14" ht="14.1" customHeight="1">
      <c r="A1199" s="6"/>
      <c r="B1199" s="6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</row>
    <row r="1200" spans="1:14" ht="14.1" customHeight="1">
      <c r="A1200" s="6"/>
      <c r="B1200" s="6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</row>
    <row r="1201" spans="1:16" ht="14.1" customHeight="1">
      <c r="A1201" s="6"/>
      <c r="B1201" s="6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</row>
    <row r="1202" spans="1:16" ht="14.1" customHeight="1">
      <c r="A1202" s="6"/>
      <c r="B1202" s="6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</row>
    <row r="1203" spans="1:16" ht="14.1" customHeight="1">
      <c r="A1203" s="6"/>
      <c r="B1203" s="6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</row>
    <row r="1204" spans="1:16" ht="14.1" customHeight="1">
      <c r="A1204" s="6"/>
      <c r="B1204" s="6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</row>
    <row r="1205" spans="1:16" ht="14.1" customHeight="1">
      <c r="A1205" s="6"/>
      <c r="B1205" s="6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</row>
    <row r="1206" spans="1:16" ht="14.1" customHeight="1">
      <c r="A1206" s="6"/>
      <c r="B1206" s="6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</row>
    <row r="1207" spans="1:16" ht="14.1" customHeight="1">
      <c r="A1207" s="6"/>
      <c r="B1207" s="6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</row>
    <row r="1208" spans="1:16" ht="14.1" customHeight="1">
      <c r="A1208" s="6"/>
      <c r="B1208" s="6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</row>
    <row r="1209" spans="1:16" ht="14.1" customHeight="1">
      <c r="A1209" s="6"/>
      <c r="B1209" s="6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</row>
    <row r="1210" spans="1:16" ht="14.1" customHeight="1">
      <c r="A1210" s="6"/>
      <c r="B1210" s="181"/>
      <c r="C1210" s="181"/>
      <c r="D1210" s="181"/>
      <c r="E1210" s="25"/>
      <c r="F1210" s="25"/>
      <c r="G1210" s="167"/>
      <c r="H1210" s="167"/>
      <c r="I1210" s="167"/>
      <c r="J1210" s="7"/>
      <c r="K1210" s="182"/>
      <c r="L1210" s="182"/>
      <c r="M1210" s="7"/>
      <c r="N1210" s="7"/>
    </row>
    <row r="1211" spans="1:16" ht="14.1" customHeight="1">
      <c r="A1211" s="6"/>
      <c r="B1211" s="170"/>
      <c r="C1211" s="170"/>
      <c r="D1211" s="170"/>
      <c r="E1211" s="26"/>
      <c r="F1211" s="26"/>
      <c r="G1211" s="170"/>
      <c r="H1211" s="170"/>
      <c r="I1211" s="170"/>
      <c r="J1211" s="25"/>
      <c r="K1211" s="171"/>
      <c r="L1211" s="171"/>
      <c r="M1211" s="7"/>
      <c r="N1211" s="7"/>
    </row>
    <row r="1212" spans="1:16" ht="14.1" customHeight="1">
      <c r="A1212" s="6"/>
      <c r="B1212" s="6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</row>
    <row r="1213" spans="1:16" ht="14.1" customHeight="1">
      <c r="A1213" s="6"/>
      <c r="B1213" s="6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</row>
    <row r="1214" spans="1:16" ht="14.1" customHeight="1">
      <c r="A1214" s="6"/>
      <c r="B1214" s="6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</row>
    <row r="1215" spans="1:16" ht="18.75" customHeight="1">
      <c r="A1215" s="184" t="s">
        <v>0</v>
      </c>
      <c r="B1215" s="185"/>
      <c r="C1215" s="185"/>
      <c r="D1215" s="185"/>
      <c r="E1215" s="185"/>
      <c r="F1215" s="185"/>
      <c r="G1215" s="20">
        <v>5940</v>
      </c>
      <c r="H1215" s="1" t="s">
        <v>15</v>
      </c>
      <c r="I1215" s="1"/>
      <c r="J1215" s="32"/>
      <c r="K1215" s="1"/>
      <c r="L1215" s="1"/>
      <c r="M1215" s="1"/>
      <c r="N1215" s="1"/>
    </row>
    <row r="1216" spans="1:16" ht="18.75" customHeight="1">
      <c r="A1216" s="42" t="s">
        <v>1</v>
      </c>
      <c r="B1216" s="82"/>
      <c r="C1216" s="83">
        <v>0</v>
      </c>
      <c r="D1216" s="84">
        <v>0.6</v>
      </c>
      <c r="E1216" s="84">
        <v>0.7</v>
      </c>
      <c r="F1216" s="85">
        <v>1.7</v>
      </c>
      <c r="G1216" s="85">
        <v>2.7</v>
      </c>
      <c r="H1216" s="84">
        <v>2.8</v>
      </c>
      <c r="I1216" s="52">
        <v>3.6</v>
      </c>
      <c r="J1216" s="52"/>
      <c r="K1216" s="84"/>
      <c r="L1216" s="86"/>
      <c r="M1216" s="45"/>
      <c r="N1216" s="47"/>
      <c r="O1216" s="22"/>
      <c r="P1216" s="22"/>
    </row>
    <row r="1217" spans="1:16" ht="18.75" customHeight="1">
      <c r="A1217" s="42" t="s">
        <v>2</v>
      </c>
      <c r="B1217" s="82"/>
      <c r="C1217" s="83">
        <v>95.4</v>
      </c>
      <c r="D1217" s="84">
        <v>94.5</v>
      </c>
      <c r="E1217" s="84">
        <v>94.5</v>
      </c>
      <c r="F1217" s="84">
        <v>94.5</v>
      </c>
      <c r="G1217" s="84">
        <v>94.5</v>
      </c>
      <c r="H1217" s="84">
        <v>94.5</v>
      </c>
      <c r="I1217" s="84">
        <v>95.6</v>
      </c>
      <c r="J1217" s="84"/>
      <c r="K1217" s="84"/>
      <c r="L1217" s="86"/>
      <c r="M1217" s="45"/>
      <c r="N1217" s="47"/>
      <c r="O1217" s="21"/>
      <c r="P1217" s="21"/>
    </row>
    <row r="1218" spans="1:16" ht="18.75" customHeight="1">
      <c r="A1218" s="42" t="s">
        <v>1</v>
      </c>
      <c r="B1218" s="82"/>
      <c r="C1218" s="83">
        <v>0</v>
      </c>
      <c r="D1218" s="84">
        <v>0.6</v>
      </c>
      <c r="E1218" s="84">
        <v>0.7</v>
      </c>
      <c r="F1218" s="85">
        <v>1.7</v>
      </c>
      <c r="G1218" s="85">
        <v>2.7</v>
      </c>
      <c r="H1218" s="84">
        <v>2.8</v>
      </c>
      <c r="I1218" s="52">
        <v>3.6</v>
      </c>
      <c r="J1218" s="52"/>
      <c r="K1218" s="84"/>
      <c r="L1218" s="86"/>
      <c r="M1218" s="45"/>
      <c r="N1218" s="47"/>
      <c r="O1218" s="22"/>
      <c r="P1218" s="22"/>
    </row>
    <row r="1219" spans="1:16" ht="18.75" customHeight="1">
      <c r="A1219" s="42" t="s">
        <v>3</v>
      </c>
      <c r="B1219" s="87"/>
      <c r="C1219" s="83">
        <v>95.4</v>
      </c>
      <c r="D1219" s="84">
        <v>95.006</v>
      </c>
      <c r="E1219" s="84">
        <v>94.94</v>
      </c>
      <c r="F1219" s="84">
        <v>94.94</v>
      </c>
      <c r="G1219" s="84">
        <v>94.94</v>
      </c>
      <c r="H1219" s="84">
        <v>95.013000000000005</v>
      </c>
      <c r="I1219" s="84">
        <v>95.6</v>
      </c>
      <c r="J1219" s="84"/>
      <c r="K1219" s="84"/>
      <c r="L1219" s="86"/>
      <c r="M1219" s="45"/>
      <c r="N1219" s="52"/>
      <c r="O1219" s="23"/>
      <c r="P1219" s="23"/>
    </row>
    <row r="1220" spans="1:16" ht="18.75" customHeight="1">
      <c r="A1220" s="42" t="s">
        <v>18</v>
      </c>
      <c r="B1220" s="87"/>
      <c r="C1220" s="52">
        <f t="shared" ref="C1220" si="128">C1217-C1219</f>
        <v>0</v>
      </c>
      <c r="D1220" s="52">
        <f>D1219-D1217</f>
        <v>0.50600000000000023</v>
      </c>
      <c r="E1220" s="52">
        <f t="shared" ref="E1220:I1220" si="129">E1219-E1217</f>
        <v>0.43999999999999773</v>
      </c>
      <c r="F1220" s="52">
        <f t="shared" si="129"/>
        <v>0.43999999999999773</v>
      </c>
      <c r="G1220" s="52">
        <f t="shared" si="129"/>
        <v>0.43999999999999773</v>
      </c>
      <c r="H1220" s="52">
        <f t="shared" si="129"/>
        <v>0.51300000000000523</v>
      </c>
      <c r="I1220" s="52">
        <f t="shared" si="129"/>
        <v>0</v>
      </c>
      <c r="J1220" s="52"/>
      <c r="K1220" s="52"/>
      <c r="L1220" s="52"/>
      <c r="M1220" s="47"/>
      <c r="N1220" s="47"/>
      <c r="O1220" s="21"/>
      <c r="P1220" s="21"/>
    </row>
    <row r="1221" spans="1:16" ht="18.75" customHeight="1">
      <c r="A1221" s="42" t="s">
        <v>5</v>
      </c>
      <c r="B1221" s="87"/>
      <c r="C1221" s="52">
        <f t="shared" ref="C1221" si="130">(C1220+B1220)/2*(C1216-B1216)</f>
        <v>0</v>
      </c>
      <c r="D1221" s="52">
        <f>(D1220+C1220)/2*(D1216-C1216)</f>
        <v>0.15180000000000007</v>
      </c>
      <c r="E1221" s="52">
        <f t="shared" ref="E1221:I1221" si="131">(E1220+D1220)/2*(E1216-D1216)</f>
        <v>4.7299999999999884E-2</v>
      </c>
      <c r="F1221" s="52">
        <f t="shared" si="131"/>
        <v>0.43999999999999773</v>
      </c>
      <c r="G1221" s="52">
        <f t="shared" si="131"/>
        <v>0.43999999999999784</v>
      </c>
      <c r="H1221" s="52">
        <f t="shared" si="131"/>
        <v>4.7649999999999977E-2</v>
      </c>
      <c r="I1221" s="52">
        <f t="shared" si="131"/>
        <v>0.20520000000000216</v>
      </c>
      <c r="J1221" s="52"/>
      <c r="K1221" s="52"/>
      <c r="L1221" s="52"/>
      <c r="M1221" s="47"/>
      <c r="N1221" s="77">
        <f>SUM(B1221:M1221)</f>
        <v>1.3319499999999977</v>
      </c>
      <c r="O1221" s="21"/>
      <c r="P1221" s="21"/>
    </row>
    <row r="1222" spans="1:16" ht="18.75" customHeight="1">
      <c r="A1222" s="2"/>
      <c r="B1222" s="2"/>
      <c r="C1222" s="30"/>
      <c r="D1222" s="30"/>
      <c r="E1222" s="4"/>
      <c r="F1222" s="4"/>
      <c r="G1222" s="4"/>
      <c r="H1222" s="4"/>
      <c r="I1222" s="4"/>
      <c r="J1222" s="179" t="s">
        <v>6</v>
      </c>
      <c r="K1222" s="179"/>
      <c r="L1222" s="179"/>
      <c r="M1222" s="179"/>
      <c r="N1222" s="109">
        <f>N1221</f>
        <v>1.3319499999999977</v>
      </c>
      <c r="O1222" s="21"/>
      <c r="P1222" s="21"/>
    </row>
    <row r="1223" spans="1:16" ht="18.75" customHeight="1">
      <c r="A1223" s="24"/>
      <c r="B1223" s="78"/>
      <c r="C1223" s="18"/>
      <c r="D1223" s="18"/>
      <c r="E1223" s="21"/>
      <c r="F1223" s="21"/>
      <c r="G1223" s="21"/>
      <c r="H1223" s="21"/>
      <c r="I1223" s="21"/>
      <c r="J1223" s="21"/>
      <c r="K1223" s="21"/>
      <c r="L1223" s="21"/>
      <c r="M1223" s="21"/>
      <c r="N1223" s="21"/>
      <c r="O1223" s="31"/>
      <c r="P1223" s="21"/>
    </row>
    <row r="1224" spans="1:16" ht="18.75" customHeight="1">
      <c r="A1224" s="2"/>
      <c r="B1224" s="2"/>
      <c r="C1224" s="30"/>
      <c r="D1224" s="30"/>
      <c r="E1224" s="21"/>
      <c r="F1224" s="21"/>
      <c r="G1224" s="21"/>
      <c r="H1224" s="21"/>
      <c r="I1224" s="21"/>
      <c r="J1224" s="30"/>
      <c r="K1224" s="30"/>
      <c r="L1224" s="30"/>
      <c r="M1224" s="30"/>
      <c r="N1224" s="30"/>
    </row>
    <row r="1225" spans="1:16" ht="14.1" customHeight="1">
      <c r="A1225" s="6"/>
      <c r="B1225" s="6"/>
      <c r="C1225" s="7"/>
      <c r="D1225" s="7"/>
      <c r="E1225" s="7"/>
      <c r="F1225" s="7"/>
      <c r="G1225" s="7"/>
      <c r="H1225" s="7"/>
      <c r="I1225" s="7"/>
      <c r="K1225" s="7"/>
      <c r="L1225" s="7"/>
      <c r="M1225" s="7"/>
      <c r="N1225" s="7"/>
    </row>
    <row r="1226" spans="1:16" ht="14.1" customHeight="1">
      <c r="A1226" s="6"/>
      <c r="B1226" s="6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</row>
    <row r="1227" spans="1:16" ht="14.1" customHeight="1">
      <c r="A1227" s="6"/>
      <c r="B1227" s="6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</row>
    <row r="1228" spans="1:16" ht="14.1" customHeight="1">
      <c r="A1228" s="6"/>
      <c r="B1228" s="6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</row>
    <row r="1229" spans="1:16" ht="14.1" customHeight="1">
      <c r="A1229" s="6"/>
      <c r="B1229" s="6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</row>
    <row r="1230" spans="1:16" ht="14.1" customHeight="1">
      <c r="A1230" s="6"/>
      <c r="B1230" s="6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</row>
    <row r="1231" spans="1:16" ht="14.1" customHeight="1">
      <c r="A1231" s="6"/>
      <c r="B1231" s="6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</row>
    <row r="1232" spans="1:16" ht="14.1" customHeight="1">
      <c r="A1232" s="6"/>
      <c r="B1232" s="6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</row>
    <row r="1233" spans="1:14" ht="14.1" customHeight="1">
      <c r="A1233" s="6"/>
      <c r="B1233" s="6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</row>
    <row r="1234" spans="1:14" ht="14.1" customHeight="1">
      <c r="A1234" s="6"/>
      <c r="B1234" s="6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</row>
    <row r="1235" spans="1:14" ht="14.1" customHeight="1">
      <c r="A1235" s="6"/>
      <c r="B1235" s="6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</row>
    <row r="1236" spans="1:14" ht="14.1" customHeight="1">
      <c r="A1236" s="6"/>
      <c r="B1236" s="6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</row>
    <row r="1237" spans="1:14" ht="14.1" customHeight="1">
      <c r="A1237" s="6"/>
      <c r="B1237" s="6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</row>
    <row r="1238" spans="1:14" ht="14.1" customHeight="1">
      <c r="A1238" s="6"/>
      <c r="B1238" s="6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</row>
    <row r="1239" spans="1:14" ht="14.1" customHeight="1">
      <c r="A1239" s="6"/>
      <c r="B1239" s="6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</row>
    <row r="1240" spans="1:14" ht="14.1" customHeight="1">
      <c r="A1240" s="6"/>
      <c r="B1240" s="6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</row>
    <row r="1241" spans="1:14" ht="14.1" customHeight="1">
      <c r="A1241" s="6"/>
      <c r="B1241" s="6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</row>
    <row r="1242" spans="1:14" ht="14.1" customHeight="1">
      <c r="A1242" s="6"/>
      <c r="B1242" s="6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</row>
    <row r="1243" spans="1:14" ht="14.1" customHeight="1">
      <c r="A1243" s="6"/>
      <c r="B1243" s="6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</row>
    <row r="1244" spans="1:14" ht="14.1" customHeight="1">
      <c r="A1244" s="6"/>
      <c r="B1244" s="6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</row>
    <row r="1245" spans="1:14" ht="14.1" customHeight="1">
      <c r="A1245" s="6"/>
      <c r="B1245" s="6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</row>
    <row r="1246" spans="1:14" ht="14.1" customHeight="1">
      <c r="A1246" s="6"/>
      <c r="B1246" s="6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</row>
    <row r="1247" spans="1:14" ht="14.1" customHeight="1">
      <c r="A1247" s="6"/>
      <c r="B1247" s="6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</row>
    <row r="1248" spans="1:14" ht="14.1" customHeight="1">
      <c r="A1248" s="6"/>
      <c r="B1248" s="6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</row>
    <row r="1249" spans="1:16" ht="14.1" customHeight="1">
      <c r="A1249" s="6"/>
      <c r="B1249" s="6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</row>
    <row r="1250" spans="1:16" ht="18" customHeight="1">
      <c r="A1250" s="184" t="s">
        <v>0</v>
      </c>
      <c r="B1250" s="185"/>
      <c r="C1250" s="185"/>
      <c r="D1250" s="185"/>
      <c r="E1250" s="185"/>
      <c r="F1250" s="185"/>
      <c r="G1250" s="20">
        <v>6000</v>
      </c>
      <c r="H1250" s="1" t="s">
        <v>15</v>
      </c>
      <c r="I1250" s="1"/>
      <c r="J1250" s="32"/>
      <c r="K1250" s="1"/>
      <c r="L1250" s="1"/>
      <c r="M1250" s="1"/>
      <c r="N1250" s="1"/>
    </row>
    <row r="1251" spans="1:16" ht="18" customHeight="1">
      <c r="A1251" s="42" t="s">
        <v>1</v>
      </c>
      <c r="B1251" s="82"/>
      <c r="C1251" s="83">
        <v>0</v>
      </c>
      <c r="D1251" s="84">
        <v>0.6</v>
      </c>
      <c r="E1251" s="84">
        <v>0.7</v>
      </c>
      <c r="F1251" s="85">
        <v>1.7</v>
      </c>
      <c r="G1251" s="85">
        <v>2.7</v>
      </c>
      <c r="H1251" s="84">
        <v>2.8</v>
      </c>
      <c r="I1251" s="52">
        <v>3.6</v>
      </c>
      <c r="J1251" s="52"/>
      <c r="K1251" s="84"/>
      <c r="L1251" s="86"/>
      <c r="M1251" s="84"/>
      <c r="N1251" s="52"/>
      <c r="O1251" s="22"/>
      <c r="P1251" s="22"/>
    </row>
    <row r="1252" spans="1:16" ht="18" customHeight="1">
      <c r="A1252" s="42" t="s">
        <v>2</v>
      </c>
      <c r="B1252" s="82"/>
      <c r="C1252" s="83">
        <v>95.4</v>
      </c>
      <c r="D1252" s="84">
        <v>94.42</v>
      </c>
      <c r="E1252" s="84">
        <v>94.42</v>
      </c>
      <c r="F1252" s="84">
        <v>94.42</v>
      </c>
      <c r="G1252" s="84">
        <v>94.42</v>
      </c>
      <c r="H1252" s="84">
        <v>94.42</v>
      </c>
      <c r="I1252" s="84">
        <v>95.6</v>
      </c>
      <c r="J1252" s="84"/>
      <c r="K1252" s="84"/>
      <c r="L1252" s="86"/>
      <c r="M1252" s="84"/>
      <c r="N1252" s="52"/>
      <c r="O1252" s="21"/>
      <c r="P1252" s="21"/>
    </row>
    <row r="1253" spans="1:16" ht="18" customHeight="1">
      <c r="A1253" s="42" t="s">
        <v>1</v>
      </c>
      <c r="B1253" s="82"/>
      <c r="C1253" s="83">
        <v>0</v>
      </c>
      <c r="D1253" s="84">
        <v>0.6</v>
      </c>
      <c r="E1253" s="84">
        <v>0.7</v>
      </c>
      <c r="F1253" s="85">
        <v>1.7</v>
      </c>
      <c r="G1253" s="85">
        <v>2.7</v>
      </c>
      <c r="H1253" s="84">
        <v>2.8</v>
      </c>
      <c r="I1253" s="52">
        <v>3.6</v>
      </c>
      <c r="J1253" s="52"/>
      <c r="K1253" s="84"/>
      <c r="L1253" s="86"/>
      <c r="M1253" s="84"/>
      <c r="N1253" s="52"/>
      <c r="O1253" s="22"/>
      <c r="P1253" s="22"/>
    </row>
    <row r="1254" spans="1:16" ht="18" customHeight="1">
      <c r="A1254" s="42" t="s">
        <v>3</v>
      </c>
      <c r="B1254" s="87"/>
      <c r="C1254" s="83">
        <v>95.4</v>
      </c>
      <c r="D1254" s="84">
        <v>94.965000000000003</v>
      </c>
      <c r="E1254" s="84">
        <v>94.924999999999997</v>
      </c>
      <c r="F1254" s="84">
        <v>94.924999999999997</v>
      </c>
      <c r="G1254" s="84">
        <v>94.924999999999997</v>
      </c>
      <c r="H1254" s="84">
        <v>95.013000000000005</v>
      </c>
      <c r="I1254" s="84">
        <v>95.6</v>
      </c>
      <c r="J1254" s="84"/>
      <c r="K1254" s="84"/>
      <c r="L1254" s="86"/>
      <c r="M1254" s="84"/>
      <c r="N1254" s="52"/>
      <c r="O1254" s="23"/>
      <c r="P1254" s="23"/>
    </row>
    <row r="1255" spans="1:16" ht="18" customHeight="1">
      <c r="A1255" s="42" t="s">
        <v>18</v>
      </c>
      <c r="B1255" s="87"/>
      <c r="C1255" s="52">
        <f t="shared" ref="C1255" si="132">C1252-C1254</f>
        <v>0</v>
      </c>
      <c r="D1255" s="52">
        <f>D1254-D1252</f>
        <v>0.54500000000000171</v>
      </c>
      <c r="E1255" s="52">
        <f t="shared" ref="E1255:I1255" si="133">E1254-E1252</f>
        <v>0.50499999999999545</v>
      </c>
      <c r="F1255" s="52">
        <f t="shared" si="133"/>
        <v>0.50499999999999545</v>
      </c>
      <c r="G1255" s="52">
        <f t="shared" si="133"/>
        <v>0.50499999999999545</v>
      </c>
      <c r="H1255" s="52">
        <f t="shared" si="133"/>
        <v>0.59300000000000352</v>
      </c>
      <c r="I1255" s="52">
        <f t="shared" si="133"/>
        <v>0</v>
      </c>
      <c r="J1255" s="52"/>
      <c r="K1255" s="52"/>
      <c r="L1255" s="52"/>
      <c r="M1255" s="52"/>
      <c r="N1255" s="52"/>
      <c r="O1255" s="21"/>
      <c r="P1255" s="21"/>
    </row>
    <row r="1256" spans="1:16" ht="18" customHeight="1">
      <c r="A1256" s="42" t="s">
        <v>5</v>
      </c>
      <c r="B1256" s="87"/>
      <c r="C1256" s="52">
        <f t="shared" ref="C1256" si="134">(C1255+B1255)/2*(C1251-B1251)</f>
        <v>0</v>
      </c>
      <c r="D1256" s="52">
        <f>(D1255+C1255)/2*(D1251-C1251)</f>
        <v>0.16350000000000051</v>
      </c>
      <c r="E1256" s="52">
        <f t="shared" ref="E1256" si="135">(E1255+D1255)/2*(E1251-D1251)</f>
        <v>5.2499999999999845E-2</v>
      </c>
      <c r="F1256" s="52">
        <f t="shared" ref="F1256" si="136">(F1255+E1255)/2*(F1251-E1251)</f>
        <v>0.50499999999999545</v>
      </c>
      <c r="G1256" s="52">
        <f t="shared" ref="G1256" si="137">(G1255+F1255)/2*(G1251-F1251)</f>
        <v>0.50499999999999556</v>
      </c>
      <c r="H1256" s="52">
        <f t="shared" ref="H1256" si="138">(H1255+G1255)/2*(H1251-G1251)</f>
        <v>5.4899999999999755E-2</v>
      </c>
      <c r="I1256" s="52">
        <f t="shared" ref="I1256" si="139">(I1255+H1255)/2*(I1251-H1251)</f>
        <v>0.23720000000000149</v>
      </c>
      <c r="J1256" s="52"/>
      <c r="K1256" s="52"/>
      <c r="L1256" s="52"/>
      <c r="M1256" s="52"/>
      <c r="N1256" s="88">
        <v>1.5169999999999999</v>
      </c>
      <c r="O1256" s="21"/>
      <c r="P1256" s="21"/>
    </row>
    <row r="1257" spans="1:16" ht="18" customHeight="1">
      <c r="A1257" s="2"/>
      <c r="B1257" s="2"/>
      <c r="C1257" s="30"/>
      <c r="D1257" s="30"/>
      <c r="E1257" s="4"/>
      <c r="F1257" s="4"/>
      <c r="G1257" s="4"/>
      <c r="H1257" s="4"/>
      <c r="I1257" s="4"/>
      <c r="J1257" s="179" t="s">
        <v>6</v>
      </c>
      <c r="K1257" s="179"/>
      <c r="L1257" s="179"/>
      <c r="M1257" s="179"/>
      <c r="N1257" s="109">
        <f>N1256</f>
        <v>1.5169999999999999</v>
      </c>
      <c r="O1257" s="21"/>
      <c r="P1257" s="21"/>
    </row>
    <row r="1258" spans="1:16" ht="18" customHeight="1">
      <c r="A1258" s="24"/>
      <c r="B1258" s="78"/>
      <c r="C1258" s="18"/>
      <c r="D1258" s="18"/>
      <c r="E1258" s="21"/>
      <c r="F1258" s="21"/>
      <c r="G1258" s="21"/>
      <c r="H1258" s="21"/>
      <c r="I1258" s="21"/>
      <c r="J1258" s="21"/>
      <c r="K1258" s="21"/>
      <c r="L1258" s="21"/>
      <c r="M1258" s="21"/>
      <c r="N1258" s="21"/>
      <c r="O1258" s="31"/>
      <c r="P1258" s="21"/>
    </row>
    <row r="1259" spans="1:16" ht="14.1" customHeight="1">
      <c r="A1259" s="2"/>
      <c r="B1259" s="2"/>
      <c r="C1259" s="30"/>
      <c r="D1259" s="30"/>
      <c r="E1259" s="21"/>
      <c r="F1259" s="21"/>
      <c r="G1259" s="21"/>
      <c r="H1259" s="21"/>
      <c r="I1259" s="21"/>
      <c r="J1259" s="30"/>
      <c r="K1259" s="30"/>
      <c r="L1259" s="30"/>
      <c r="M1259" s="30"/>
      <c r="N1259" s="30"/>
    </row>
    <row r="1260" spans="1:16" ht="14.1" customHeight="1">
      <c r="A1260" s="2"/>
      <c r="B1260" s="2"/>
      <c r="C1260" s="30"/>
      <c r="D1260" s="30"/>
      <c r="E1260" s="4"/>
      <c r="F1260" s="4"/>
      <c r="G1260" s="4"/>
      <c r="H1260" s="4"/>
      <c r="I1260" s="4"/>
      <c r="J1260" s="30"/>
      <c r="K1260" s="30"/>
      <c r="L1260" s="30"/>
      <c r="M1260" s="30"/>
      <c r="N1260" s="30"/>
    </row>
    <row r="1261" spans="1:16" ht="14.1" customHeight="1">
      <c r="A1261" s="2"/>
      <c r="B1261" s="2"/>
      <c r="C1261" s="30"/>
      <c r="D1261" s="30"/>
      <c r="E1261" s="4"/>
      <c r="F1261" s="4"/>
      <c r="G1261" s="4"/>
      <c r="H1261" s="4"/>
      <c r="I1261" s="4"/>
      <c r="J1261" s="30"/>
      <c r="K1261" s="30"/>
      <c r="L1261" s="30"/>
      <c r="M1261" s="30"/>
      <c r="N1261" s="30"/>
    </row>
    <row r="1262" spans="1:16" ht="14.1" customHeight="1">
      <c r="A1262" s="6"/>
      <c r="B1262" s="6"/>
      <c r="C1262" s="7"/>
      <c r="D1262" s="7"/>
      <c r="E1262" s="7"/>
      <c r="F1262" s="7"/>
      <c r="G1262" s="7"/>
      <c r="H1262" s="7"/>
      <c r="I1262" s="7"/>
      <c r="K1262" s="7"/>
      <c r="L1262" s="7"/>
      <c r="M1262" s="7"/>
      <c r="N1262" s="7"/>
    </row>
    <row r="1263" spans="1:16" ht="14.1" customHeight="1">
      <c r="A1263" s="6"/>
      <c r="B1263" s="6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</row>
    <row r="1264" spans="1:16" ht="14.1" customHeight="1">
      <c r="A1264" s="6"/>
      <c r="B1264" s="6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</row>
    <row r="1265" spans="1:14" ht="14.1" customHeight="1">
      <c r="A1265" s="6"/>
      <c r="B1265" s="6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</row>
    <row r="1266" spans="1:14" ht="14.1" customHeight="1">
      <c r="A1266" s="6"/>
      <c r="B1266" s="6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</row>
    <row r="1267" spans="1:14" ht="14.1" customHeight="1">
      <c r="A1267" s="6"/>
      <c r="B1267" s="6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</row>
    <row r="1268" spans="1:14" ht="14.1" customHeight="1">
      <c r="A1268" s="6"/>
      <c r="B1268" s="6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</row>
    <row r="1269" spans="1:14" ht="14.1" customHeight="1">
      <c r="A1269" s="6"/>
      <c r="B1269" s="6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</row>
    <row r="1270" spans="1:14" ht="14.1" customHeight="1">
      <c r="A1270" s="6"/>
      <c r="B1270" s="6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</row>
    <row r="1271" spans="1:14" ht="14.1" customHeight="1">
      <c r="A1271" s="6"/>
      <c r="B1271" s="6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</row>
    <row r="1272" spans="1:14" ht="14.1" customHeight="1">
      <c r="A1272" s="6"/>
      <c r="B1272" s="6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</row>
    <row r="1273" spans="1:14" ht="14.1" customHeight="1">
      <c r="A1273" s="6"/>
      <c r="B1273" s="6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</row>
    <row r="1274" spans="1:14" ht="14.1" customHeight="1">
      <c r="A1274" s="6"/>
      <c r="B1274" s="6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</row>
    <row r="1275" spans="1:14" ht="14.1" customHeight="1">
      <c r="A1275" s="6"/>
      <c r="B1275" s="6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</row>
    <row r="1276" spans="1:14" ht="14.1" customHeight="1">
      <c r="A1276" s="6"/>
      <c r="B1276" s="6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</row>
    <row r="1277" spans="1:14" ht="14.1" customHeight="1">
      <c r="A1277" s="6"/>
      <c r="B1277" s="6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</row>
    <row r="1278" spans="1:14" ht="14.1" customHeight="1">
      <c r="A1278" s="6"/>
      <c r="B1278" s="6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</row>
    <row r="1279" spans="1:14" ht="14.1" customHeight="1">
      <c r="A1279" s="6"/>
      <c r="B1279" s="6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</row>
    <row r="1280" spans="1:14" ht="14.1" customHeight="1">
      <c r="A1280" s="6"/>
      <c r="B1280" s="6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</row>
    <row r="1281" spans="1:14" ht="14.1" customHeight="1">
      <c r="A1281" s="6"/>
      <c r="B1281" s="6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</row>
    <row r="1282" spans="1:14" ht="14.1" customHeight="1">
      <c r="A1282" s="6"/>
      <c r="B1282" s="6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</row>
    <row r="1283" spans="1:14" ht="14.1" customHeight="1">
      <c r="A1283" s="6"/>
      <c r="B1283" s="6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</row>
    <row r="1284" spans="1:14" ht="14.1" customHeight="1">
      <c r="A1284" s="6"/>
      <c r="B1284" s="6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</row>
    <row r="1285" spans="1:14" ht="14.1" customHeight="1">
      <c r="A1285" s="6"/>
      <c r="B1285" s="181"/>
      <c r="C1285" s="181"/>
      <c r="D1285" s="181"/>
      <c r="E1285" s="25"/>
      <c r="F1285" s="25"/>
      <c r="G1285" s="167"/>
      <c r="H1285" s="167"/>
      <c r="I1285" s="167"/>
      <c r="J1285" s="7"/>
      <c r="K1285" s="182"/>
      <c r="L1285" s="182"/>
      <c r="M1285" s="7"/>
      <c r="N1285" s="7"/>
    </row>
    <row r="1286" spans="1:14" ht="14.1" customHeight="1">
      <c r="A1286" s="6"/>
      <c r="B1286" s="170"/>
      <c r="C1286" s="170"/>
      <c r="D1286" s="170"/>
      <c r="E1286" s="26"/>
      <c r="F1286" s="26"/>
      <c r="G1286" s="170"/>
      <c r="H1286" s="170"/>
      <c r="I1286" s="170"/>
      <c r="J1286" s="25"/>
      <c r="K1286" s="171"/>
      <c r="L1286" s="171"/>
      <c r="M1286" s="7"/>
      <c r="N1286" s="7"/>
    </row>
    <row r="1287" spans="1:14" ht="14.1" customHeight="1">
      <c r="A1287" s="6"/>
      <c r="B1287" s="6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</row>
    <row r="1288" spans="1:14" ht="14.1" customHeight="1">
      <c r="A1288" s="6"/>
      <c r="B1288" s="6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</row>
    <row r="1289" spans="1:14" ht="14.1" customHeight="1">
      <c r="A1289" s="6"/>
      <c r="B1289" s="6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</row>
    <row r="1290" spans="1:14" ht="14.1" customHeight="1">
      <c r="A1290" s="6"/>
      <c r="B1290" s="6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</row>
    <row r="1291" spans="1:14" ht="14.1" customHeight="1">
      <c r="A1291" s="6"/>
      <c r="B1291" s="6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</row>
    <row r="1292" spans="1:14" ht="14.1" customHeight="1">
      <c r="A1292" s="6"/>
      <c r="B1292" s="6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</row>
    <row r="1293" spans="1:14" ht="14.1" customHeight="1">
      <c r="A1293" s="6"/>
      <c r="B1293" s="181"/>
      <c r="C1293" s="181"/>
      <c r="D1293" s="181"/>
      <c r="E1293" s="25"/>
      <c r="F1293" s="25"/>
      <c r="G1293" s="167"/>
      <c r="H1293" s="167"/>
      <c r="I1293" s="167"/>
      <c r="J1293" s="7"/>
      <c r="K1293" s="182"/>
      <c r="L1293" s="182"/>
      <c r="M1293" s="7"/>
      <c r="N1293" s="7"/>
    </row>
    <row r="1294" spans="1:14" ht="14.1" customHeight="1">
      <c r="A1294" s="6"/>
      <c r="B1294" s="170"/>
      <c r="C1294" s="170"/>
      <c r="D1294" s="170"/>
      <c r="E1294" s="26"/>
      <c r="F1294" s="26"/>
      <c r="G1294" s="170"/>
      <c r="H1294" s="170"/>
      <c r="I1294" s="170"/>
      <c r="J1294" s="25"/>
      <c r="K1294" s="171"/>
      <c r="L1294" s="171"/>
      <c r="M1294" s="7"/>
      <c r="N1294" s="7"/>
    </row>
    <row r="1295" spans="1:14" ht="14.1" customHeight="1">
      <c r="A1295" s="6"/>
      <c r="B1295" s="6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</row>
    <row r="1296" spans="1:14" ht="14.1" customHeight="1">
      <c r="A1296" s="6"/>
      <c r="B1296" s="6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</row>
    <row r="1297" spans="1:14" ht="18" customHeight="1">
      <c r="A1297" s="184" t="s">
        <v>0</v>
      </c>
      <c r="B1297" s="185"/>
      <c r="C1297" s="185"/>
      <c r="D1297" s="185"/>
      <c r="E1297" s="185"/>
      <c r="F1297" s="185"/>
      <c r="G1297" s="20">
        <v>6060</v>
      </c>
      <c r="H1297" s="1" t="s">
        <v>15</v>
      </c>
      <c r="I1297" s="1"/>
      <c r="J1297" s="32"/>
      <c r="K1297" s="1"/>
      <c r="L1297" s="1"/>
      <c r="M1297" s="1"/>
      <c r="N1297" s="1"/>
    </row>
    <row r="1298" spans="1:14" ht="18" customHeight="1">
      <c r="A1298" s="42" t="s">
        <v>1</v>
      </c>
      <c r="B1298" s="82"/>
      <c r="C1298" s="83">
        <v>0</v>
      </c>
      <c r="D1298" s="84">
        <v>0.6</v>
      </c>
      <c r="E1298" s="84">
        <v>0.7</v>
      </c>
      <c r="F1298" s="85">
        <v>1.7</v>
      </c>
      <c r="G1298" s="85">
        <v>2.7</v>
      </c>
      <c r="H1298" s="84">
        <v>2.8</v>
      </c>
      <c r="I1298" s="52">
        <v>3.6</v>
      </c>
      <c r="J1298" s="52"/>
      <c r="K1298" s="84"/>
      <c r="L1298" s="86"/>
      <c r="M1298" s="45"/>
      <c r="N1298" s="47"/>
    </row>
    <row r="1299" spans="1:14" ht="18" customHeight="1">
      <c r="A1299" s="42" t="s">
        <v>2</v>
      </c>
      <c r="B1299" s="82"/>
      <c r="C1299" s="83">
        <v>95.64</v>
      </c>
      <c r="D1299" s="84">
        <v>94.34</v>
      </c>
      <c r="E1299" s="84">
        <v>94.34</v>
      </c>
      <c r="F1299" s="84">
        <v>94.34</v>
      </c>
      <c r="G1299" s="84">
        <v>94.34</v>
      </c>
      <c r="H1299" s="84">
        <v>94.34</v>
      </c>
      <c r="I1299" s="84">
        <v>95.82</v>
      </c>
      <c r="J1299" s="84"/>
      <c r="K1299" s="84"/>
      <c r="L1299" s="86"/>
      <c r="M1299" s="45"/>
      <c r="N1299" s="47"/>
    </row>
    <row r="1300" spans="1:14" ht="18" customHeight="1">
      <c r="A1300" s="42" t="s">
        <v>1</v>
      </c>
      <c r="B1300" s="82"/>
      <c r="C1300" s="83">
        <v>0</v>
      </c>
      <c r="D1300" s="84">
        <v>0.6</v>
      </c>
      <c r="E1300" s="84">
        <v>0.7</v>
      </c>
      <c r="F1300" s="85">
        <v>1.7</v>
      </c>
      <c r="G1300" s="85">
        <v>2.7</v>
      </c>
      <c r="H1300" s="84">
        <v>2.8</v>
      </c>
      <c r="I1300" s="52">
        <v>3.6</v>
      </c>
      <c r="J1300" s="52"/>
      <c r="K1300" s="84"/>
      <c r="L1300" s="86"/>
      <c r="M1300" s="45"/>
      <c r="N1300" s="47"/>
    </row>
    <row r="1301" spans="1:14" ht="18" customHeight="1">
      <c r="A1301" s="42" t="s">
        <v>3</v>
      </c>
      <c r="B1301" s="87"/>
      <c r="C1301" s="83">
        <v>95.64</v>
      </c>
      <c r="D1301" s="84">
        <v>94.903000000000006</v>
      </c>
      <c r="E1301" s="84">
        <v>94.78</v>
      </c>
      <c r="F1301" s="84">
        <v>94.78</v>
      </c>
      <c r="G1301" s="84">
        <v>94.78</v>
      </c>
      <c r="H1301" s="84">
        <v>94.896000000000001</v>
      </c>
      <c r="I1301" s="84">
        <v>95.82</v>
      </c>
      <c r="J1301" s="84"/>
      <c r="K1301" s="84"/>
      <c r="L1301" s="86"/>
      <c r="M1301" s="45"/>
      <c r="N1301" s="52"/>
    </row>
    <row r="1302" spans="1:14" ht="18" customHeight="1">
      <c r="A1302" s="42" t="s">
        <v>18</v>
      </c>
      <c r="B1302" s="87"/>
      <c r="C1302" s="52">
        <f t="shared" ref="C1302" si="140">C1299-C1301</f>
        <v>0</v>
      </c>
      <c r="D1302" s="52">
        <f>D1301-D1299</f>
        <v>0.56300000000000239</v>
      </c>
      <c r="E1302" s="52">
        <f t="shared" ref="E1302:I1302" si="141">E1301-E1299</f>
        <v>0.43999999999999773</v>
      </c>
      <c r="F1302" s="52">
        <f t="shared" si="141"/>
        <v>0.43999999999999773</v>
      </c>
      <c r="G1302" s="52">
        <f t="shared" si="141"/>
        <v>0.43999999999999773</v>
      </c>
      <c r="H1302" s="52">
        <f t="shared" si="141"/>
        <v>0.55599999999999739</v>
      </c>
      <c r="I1302" s="52">
        <f t="shared" si="141"/>
        <v>0</v>
      </c>
      <c r="J1302" s="52"/>
      <c r="K1302" s="52"/>
      <c r="L1302" s="52"/>
      <c r="M1302" s="47"/>
      <c r="N1302" s="47"/>
    </row>
    <row r="1303" spans="1:14" ht="18" customHeight="1">
      <c r="A1303" s="42" t="s">
        <v>5</v>
      </c>
      <c r="B1303" s="87"/>
      <c r="C1303" s="52">
        <f t="shared" ref="C1303" si="142">(C1302+B1302)/2*(C1298-B1298)</f>
        <v>0</v>
      </c>
      <c r="D1303" s="52">
        <f>(D1302+C1302)/2*(D1298-C1298)</f>
        <v>0.16890000000000072</v>
      </c>
      <c r="E1303" s="52">
        <f t="shared" ref="E1303:I1303" si="143">(E1302+D1302)/2*(E1298-D1298)</f>
        <v>5.0149999999999993E-2</v>
      </c>
      <c r="F1303" s="52">
        <f t="shared" si="143"/>
        <v>0.43999999999999773</v>
      </c>
      <c r="G1303" s="52">
        <f t="shared" si="143"/>
        <v>0.43999999999999784</v>
      </c>
      <c r="H1303" s="52">
        <f t="shared" si="143"/>
        <v>4.9799999999999581E-2</v>
      </c>
      <c r="I1303" s="52">
        <f t="shared" si="143"/>
        <v>0.22239999999999902</v>
      </c>
      <c r="J1303" s="52"/>
      <c r="K1303" s="52"/>
      <c r="L1303" s="52"/>
      <c r="M1303" s="47"/>
      <c r="N1303" s="77">
        <f>SUM(B1303:M1303)</f>
        <v>1.371249999999995</v>
      </c>
    </row>
    <row r="1304" spans="1:14" ht="18" customHeight="1">
      <c r="A1304" s="2"/>
      <c r="B1304" s="2"/>
      <c r="C1304" s="30"/>
      <c r="D1304" s="30"/>
      <c r="E1304" s="4"/>
      <c r="F1304" s="4"/>
      <c r="G1304" s="4"/>
      <c r="H1304" s="4"/>
      <c r="I1304" s="4"/>
      <c r="J1304" s="179" t="s">
        <v>6</v>
      </c>
      <c r="K1304" s="179"/>
      <c r="L1304" s="179"/>
      <c r="M1304" s="179"/>
      <c r="N1304" s="109">
        <f>N1303</f>
        <v>1.371249999999995</v>
      </c>
    </row>
    <row r="1305" spans="1:14" ht="18" customHeight="1">
      <c r="A1305" s="24"/>
      <c r="B1305" s="78"/>
      <c r="C1305" s="18"/>
      <c r="D1305" s="18"/>
      <c r="E1305" s="21"/>
      <c r="F1305" s="21"/>
      <c r="G1305" s="21"/>
      <c r="H1305" s="21"/>
      <c r="I1305" s="21"/>
      <c r="J1305" s="21"/>
      <c r="K1305" s="21"/>
      <c r="L1305" s="21"/>
      <c r="M1305" s="21"/>
      <c r="N1305" s="21"/>
    </row>
    <row r="1306" spans="1:14" ht="14.1" customHeight="1">
      <c r="A1306" s="2"/>
      <c r="B1306" s="2"/>
      <c r="C1306" s="30"/>
      <c r="D1306" s="30"/>
      <c r="E1306" s="21"/>
      <c r="F1306" s="21"/>
      <c r="G1306" s="21"/>
      <c r="H1306" s="21"/>
      <c r="I1306" s="21"/>
      <c r="J1306" s="30"/>
      <c r="K1306" s="30"/>
      <c r="L1306" s="30"/>
      <c r="M1306" s="30"/>
      <c r="N1306" s="30"/>
    </row>
    <row r="1307" spans="1:14" ht="14.1" customHeight="1">
      <c r="A1307" s="6"/>
      <c r="B1307" s="6"/>
      <c r="C1307" s="7"/>
      <c r="D1307" s="7"/>
      <c r="E1307" s="7"/>
      <c r="F1307" s="7"/>
      <c r="G1307" s="7"/>
      <c r="H1307" s="7"/>
      <c r="I1307" s="7"/>
      <c r="K1307" s="7"/>
      <c r="L1307" s="7"/>
      <c r="M1307" s="7"/>
      <c r="N1307" s="7"/>
    </row>
    <row r="1308" spans="1:14" ht="14.1" customHeight="1">
      <c r="A1308" s="6"/>
      <c r="B1308" s="6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</row>
    <row r="1309" spans="1:14" ht="14.1" customHeight="1">
      <c r="A1309" s="6"/>
      <c r="B1309" s="6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</row>
    <row r="1310" spans="1:14" ht="14.1" customHeight="1">
      <c r="A1310" s="6"/>
      <c r="B1310" s="6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</row>
    <row r="1311" spans="1:14" ht="14.1" customHeight="1">
      <c r="A1311" s="6"/>
      <c r="B1311" s="6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</row>
    <row r="1312" spans="1:14" ht="14.1" customHeight="1">
      <c r="A1312" s="6"/>
      <c r="B1312" s="6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</row>
    <row r="1313" spans="1:14" ht="14.1" customHeight="1">
      <c r="A1313" s="6"/>
      <c r="B1313" s="6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</row>
    <row r="1314" spans="1:14" ht="14.1" customHeight="1">
      <c r="A1314" s="6"/>
      <c r="B1314" s="6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</row>
    <row r="1315" spans="1:14" ht="14.1" customHeight="1">
      <c r="A1315" s="6"/>
      <c r="B1315" s="6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</row>
    <row r="1316" spans="1:14" ht="14.1" customHeight="1">
      <c r="A1316" s="6"/>
      <c r="B1316" s="6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</row>
    <row r="1317" spans="1:14" ht="14.1" customHeight="1">
      <c r="A1317" s="6"/>
      <c r="B1317" s="6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</row>
    <row r="1318" spans="1:14" ht="14.1" customHeight="1">
      <c r="A1318" s="6"/>
      <c r="B1318" s="6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</row>
    <row r="1319" spans="1:14" ht="14.1" customHeight="1">
      <c r="A1319" s="6"/>
      <c r="B1319" s="6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</row>
    <row r="1320" spans="1:14" ht="14.1" customHeight="1">
      <c r="A1320" s="6"/>
      <c r="B1320" s="6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</row>
    <row r="1321" spans="1:14" ht="14.1" customHeight="1">
      <c r="A1321" s="6"/>
      <c r="B1321" s="6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</row>
    <row r="1322" spans="1:14" ht="14.1" customHeight="1">
      <c r="A1322" s="6"/>
      <c r="B1322" s="6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</row>
    <row r="1323" spans="1:14" ht="14.1" customHeight="1">
      <c r="A1323" s="6"/>
      <c r="B1323" s="6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</row>
    <row r="1324" spans="1:14" ht="14.1" customHeight="1">
      <c r="A1324" s="6"/>
      <c r="B1324" s="6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</row>
    <row r="1325" spans="1:14" ht="14.1" customHeight="1">
      <c r="A1325" s="6"/>
      <c r="B1325" s="6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</row>
    <row r="1326" spans="1:14" ht="14.1" customHeight="1">
      <c r="A1326" s="6"/>
      <c r="B1326" s="6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</row>
    <row r="1327" spans="1:14" ht="14.1" customHeight="1">
      <c r="A1327" s="6"/>
      <c r="B1327" s="6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</row>
    <row r="1328" spans="1:14" ht="14.1" customHeight="1">
      <c r="A1328" s="6"/>
      <c r="B1328" s="6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</row>
    <row r="1329" spans="1:15" ht="14.1" customHeight="1">
      <c r="A1329" s="6"/>
      <c r="B1329" s="6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</row>
    <row r="1330" spans="1:15" ht="14.1" customHeight="1">
      <c r="A1330" s="6"/>
      <c r="B1330" s="6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</row>
    <row r="1331" spans="1:15" ht="14.1" customHeight="1">
      <c r="A1331" s="6"/>
      <c r="B1331" s="6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</row>
    <row r="1332" spans="1:15" ht="14.1" customHeight="1">
      <c r="A1332" s="6"/>
      <c r="B1332" s="6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</row>
    <row r="1333" spans="1:15" ht="14.1" customHeight="1">
      <c r="A1333" s="6"/>
      <c r="B1333" s="6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</row>
    <row r="1334" spans="1:15" ht="18" customHeight="1">
      <c r="A1334" s="184" t="s">
        <v>0</v>
      </c>
      <c r="B1334" s="185"/>
      <c r="C1334" s="185"/>
      <c r="D1334" s="185"/>
      <c r="E1334" s="185"/>
      <c r="F1334" s="185"/>
      <c r="G1334" s="20">
        <v>6120</v>
      </c>
      <c r="H1334" s="1" t="s">
        <v>15</v>
      </c>
      <c r="I1334" s="1"/>
      <c r="J1334" s="32"/>
      <c r="K1334" s="1"/>
      <c r="L1334" s="1"/>
      <c r="M1334" s="1"/>
      <c r="N1334" s="1"/>
    </row>
    <row r="1335" spans="1:15" ht="18" customHeight="1">
      <c r="A1335" s="42" t="s">
        <v>1</v>
      </c>
      <c r="B1335" s="82"/>
      <c r="C1335" s="83">
        <v>0</v>
      </c>
      <c r="D1335" s="84">
        <v>0.6</v>
      </c>
      <c r="E1335" s="84">
        <v>0.7</v>
      </c>
      <c r="F1335" s="85">
        <v>1.7</v>
      </c>
      <c r="G1335" s="85">
        <v>2.7</v>
      </c>
      <c r="H1335" s="84">
        <v>2.8</v>
      </c>
      <c r="I1335" s="52">
        <v>3.5</v>
      </c>
      <c r="J1335" s="52"/>
      <c r="K1335" s="84"/>
      <c r="L1335" s="86"/>
      <c r="M1335" s="45"/>
      <c r="N1335" s="47"/>
      <c r="O1335" s="18"/>
    </row>
    <row r="1336" spans="1:15" ht="18" customHeight="1">
      <c r="A1336" s="42" t="s">
        <v>2</v>
      </c>
      <c r="B1336" s="82"/>
      <c r="C1336" s="83">
        <v>95.61</v>
      </c>
      <c r="D1336" s="84">
        <v>94.18</v>
      </c>
      <c r="E1336" s="84">
        <v>94.18</v>
      </c>
      <c r="F1336" s="84">
        <v>94.18</v>
      </c>
      <c r="G1336" s="84">
        <v>94.18</v>
      </c>
      <c r="H1336" s="84">
        <v>94.18</v>
      </c>
      <c r="I1336" s="84">
        <v>95.78</v>
      </c>
      <c r="J1336" s="84"/>
      <c r="K1336" s="84"/>
      <c r="L1336" s="86"/>
      <c r="M1336" s="45"/>
      <c r="N1336" s="47"/>
      <c r="O1336" s="18"/>
    </row>
    <row r="1337" spans="1:15" ht="18" customHeight="1">
      <c r="A1337" s="42" t="s">
        <v>1</v>
      </c>
      <c r="B1337" s="82"/>
      <c r="C1337" s="83">
        <v>0</v>
      </c>
      <c r="D1337" s="84">
        <v>0.6</v>
      </c>
      <c r="E1337" s="84">
        <v>0.7</v>
      </c>
      <c r="F1337" s="85">
        <v>1.7</v>
      </c>
      <c r="G1337" s="85">
        <v>2.7</v>
      </c>
      <c r="H1337" s="84">
        <v>2.8</v>
      </c>
      <c r="I1337" s="52">
        <v>3.5</v>
      </c>
      <c r="J1337" s="52"/>
      <c r="K1337" s="84"/>
      <c r="L1337" s="86"/>
      <c r="M1337" s="45"/>
      <c r="N1337" s="47"/>
      <c r="O1337" s="18"/>
    </row>
    <row r="1338" spans="1:15" ht="18" customHeight="1">
      <c r="A1338" s="42" t="s">
        <v>3</v>
      </c>
      <c r="B1338" s="87"/>
      <c r="C1338" s="83">
        <v>95.61</v>
      </c>
      <c r="D1338" s="84">
        <v>94.820999999999998</v>
      </c>
      <c r="E1338" s="84">
        <v>94.69</v>
      </c>
      <c r="F1338" s="84">
        <v>94.69</v>
      </c>
      <c r="G1338" s="84">
        <v>94.69</v>
      </c>
      <c r="H1338" s="84">
        <v>94.825999999999993</v>
      </c>
      <c r="I1338" s="84">
        <v>95.78</v>
      </c>
      <c r="J1338" s="84"/>
      <c r="K1338" s="84"/>
      <c r="L1338" s="86"/>
      <c r="M1338" s="45"/>
      <c r="N1338" s="52"/>
      <c r="O1338" s="18"/>
    </row>
    <row r="1339" spans="1:15" ht="18" customHeight="1">
      <c r="A1339" s="42" t="s">
        <v>18</v>
      </c>
      <c r="B1339" s="87"/>
      <c r="C1339" s="52">
        <f t="shared" ref="C1339" si="144">C1336-C1338</f>
        <v>0</v>
      </c>
      <c r="D1339" s="52">
        <f>D1338-D1336</f>
        <v>0.64099999999999113</v>
      </c>
      <c r="E1339" s="52">
        <f t="shared" ref="E1339:I1339" si="145">E1338-E1336</f>
        <v>0.50999999999999091</v>
      </c>
      <c r="F1339" s="52">
        <f t="shared" si="145"/>
        <v>0.50999999999999091</v>
      </c>
      <c r="G1339" s="52">
        <f t="shared" si="145"/>
        <v>0.50999999999999091</v>
      </c>
      <c r="H1339" s="52">
        <f t="shared" si="145"/>
        <v>0.64599999999998658</v>
      </c>
      <c r="I1339" s="52">
        <f t="shared" si="145"/>
        <v>0</v>
      </c>
      <c r="J1339" s="52"/>
      <c r="K1339" s="52"/>
      <c r="L1339" s="52"/>
      <c r="M1339" s="47"/>
      <c r="N1339" s="47"/>
      <c r="O1339" s="18"/>
    </row>
    <row r="1340" spans="1:15" ht="18" customHeight="1">
      <c r="A1340" s="42" t="s">
        <v>5</v>
      </c>
      <c r="B1340" s="87"/>
      <c r="C1340" s="52">
        <f t="shared" ref="C1340" si="146">(C1339+B1339)/2*(C1335-B1335)</f>
        <v>0</v>
      </c>
      <c r="D1340" s="52">
        <f>(D1339+C1339)/2*(D1335-C1335)</f>
        <v>0.19229999999999733</v>
      </c>
      <c r="E1340" s="52">
        <f t="shared" ref="E1340" si="147">(E1339+D1339)/2*(E1335-D1335)</f>
        <v>5.7549999999999088E-2</v>
      </c>
      <c r="F1340" s="52">
        <f t="shared" ref="F1340" si="148">(F1339+E1339)/2*(F1335-E1335)</f>
        <v>0.50999999999999091</v>
      </c>
      <c r="G1340" s="52">
        <f t="shared" ref="G1340" si="149">(G1339+F1339)/2*(G1335-F1335)</f>
        <v>0.50999999999999102</v>
      </c>
      <c r="H1340" s="52">
        <f t="shared" ref="H1340" si="150">(H1339+G1339)/2*(H1335-G1335)</f>
        <v>5.7799999999998672E-2</v>
      </c>
      <c r="I1340" s="52">
        <f t="shared" ref="I1340" si="151">(I1339+H1339)/2*(I1335-H1335)</f>
        <v>0.22609999999999536</v>
      </c>
      <c r="J1340" s="52"/>
      <c r="K1340" s="52"/>
      <c r="L1340" s="52"/>
      <c r="M1340" s="47"/>
      <c r="N1340" s="77">
        <f>SUM(B1340:M1340)</f>
        <v>1.5537499999999722</v>
      </c>
      <c r="O1340" s="18"/>
    </row>
    <row r="1341" spans="1:15" ht="18" customHeight="1">
      <c r="A1341" s="2"/>
      <c r="B1341" s="2"/>
      <c r="C1341" s="30"/>
      <c r="D1341" s="30"/>
      <c r="E1341" s="4"/>
      <c r="F1341" s="4"/>
      <c r="G1341" s="4"/>
      <c r="H1341" s="4"/>
      <c r="I1341" s="4"/>
      <c r="J1341" s="179" t="s">
        <v>6</v>
      </c>
      <c r="K1341" s="179"/>
      <c r="L1341" s="179"/>
      <c r="M1341" s="179"/>
      <c r="N1341" s="109">
        <f>N1340</f>
        <v>1.5537499999999722</v>
      </c>
      <c r="O1341" s="18"/>
    </row>
    <row r="1342" spans="1:15" ht="18" customHeight="1">
      <c r="A1342" s="24"/>
      <c r="B1342" s="78"/>
      <c r="C1342" s="18"/>
      <c r="D1342" s="18"/>
      <c r="E1342" s="21"/>
      <c r="F1342" s="21"/>
      <c r="G1342" s="21"/>
      <c r="H1342" s="21"/>
      <c r="I1342" s="21"/>
      <c r="J1342" s="21"/>
      <c r="K1342" s="21"/>
      <c r="L1342" s="21"/>
      <c r="M1342" s="21"/>
      <c r="N1342" s="21"/>
      <c r="O1342" s="21"/>
    </row>
    <row r="1343" spans="1:15" ht="14.1" customHeight="1">
      <c r="A1343" s="2"/>
      <c r="B1343" s="2"/>
      <c r="C1343" s="30"/>
      <c r="D1343" s="30"/>
      <c r="E1343" s="21"/>
      <c r="F1343" s="21"/>
      <c r="G1343" s="21"/>
      <c r="H1343" s="21"/>
      <c r="I1343" s="21"/>
      <c r="J1343" s="30"/>
      <c r="K1343" s="30"/>
      <c r="L1343" s="30"/>
      <c r="M1343" s="30"/>
      <c r="N1343" s="30"/>
    </row>
    <row r="1344" spans="1:15" ht="14.1" customHeight="1">
      <c r="A1344" s="6"/>
      <c r="B1344" s="6"/>
      <c r="C1344" s="7"/>
      <c r="D1344" s="7"/>
      <c r="E1344" s="7"/>
      <c r="F1344" s="7"/>
      <c r="G1344" s="7"/>
      <c r="H1344" s="7"/>
      <c r="I1344" s="7"/>
      <c r="K1344" s="7"/>
      <c r="L1344" s="7"/>
      <c r="M1344" s="7"/>
      <c r="N1344" s="7"/>
    </row>
    <row r="1345" spans="1:14" ht="14.1" customHeight="1">
      <c r="A1345" s="6"/>
      <c r="B1345" s="6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</row>
    <row r="1346" spans="1:14" ht="14.1" customHeight="1">
      <c r="A1346" s="6"/>
      <c r="B1346" s="6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</row>
    <row r="1347" spans="1:14" ht="14.1" customHeight="1">
      <c r="A1347" s="6"/>
      <c r="B1347" s="6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</row>
    <row r="1348" spans="1:14" ht="14.1" customHeight="1">
      <c r="A1348" s="6"/>
      <c r="B1348" s="6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</row>
    <row r="1349" spans="1:14" ht="14.1" customHeight="1">
      <c r="A1349" s="6"/>
      <c r="B1349" s="6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</row>
    <row r="1350" spans="1:14" ht="14.1" customHeight="1">
      <c r="A1350" s="6"/>
      <c r="B1350" s="6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</row>
    <row r="1351" spans="1:14" ht="14.1" customHeight="1">
      <c r="A1351" s="6"/>
      <c r="B1351" s="6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</row>
    <row r="1352" spans="1:14" ht="14.1" customHeight="1">
      <c r="A1352" s="6"/>
      <c r="B1352" s="6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</row>
    <row r="1353" spans="1:14" ht="14.1" customHeight="1">
      <c r="A1353" s="6"/>
      <c r="B1353" s="6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</row>
    <row r="1354" spans="1:14" ht="14.1" customHeight="1">
      <c r="A1354" s="6"/>
      <c r="B1354" s="6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</row>
    <row r="1355" spans="1:14" ht="14.1" customHeight="1">
      <c r="A1355" s="6"/>
      <c r="B1355" s="6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</row>
    <row r="1356" spans="1:14" ht="14.1" customHeight="1">
      <c r="A1356" s="6"/>
      <c r="B1356" s="6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</row>
    <row r="1357" spans="1:14" ht="14.1" customHeight="1">
      <c r="A1357" s="6"/>
      <c r="B1357" s="6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</row>
    <row r="1358" spans="1:14" ht="14.1" customHeight="1">
      <c r="A1358" s="6"/>
      <c r="B1358" s="6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</row>
    <row r="1359" spans="1:14" ht="14.1" customHeight="1">
      <c r="A1359" s="6"/>
      <c r="B1359" s="6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</row>
    <row r="1360" spans="1:14" ht="14.1" customHeight="1">
      <c r="A1360" s="6"/>
      <c r="B1360" s="6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</row>
    <row r="1361" spans="1:15" ht="14.1" customHeight="1">
      <c r="A1361" s="6"/>
      <c r="B1361" s="6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</row>
    <row r="1362" spans="1:15" ht="14.1" customHeight="1">
      <c r="A1362" s="6"/>
      <c r="B1362" s="6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</row>
    <row r="1363" spans="1:15" ht="14.1" customHeight="1">
      <c r="A1363" s="6"/>
      <c r="B1363" s="6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</row>
    <row r="1364" spans="1:15" ht="14.1" customHeight="1">
      <c r="A1364" s="6"/>
      <c r="B1364" s="6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</row>
    <row r="1365" spans="1:15" ht="14.1" customHeight="1">
      <c r="A1365" s="6"/>
      <c r="B1365" s="6"/>
      <c r="C1365" s="7"/>
      <c r="D1365" s="7"/>
      <c r="E1365" s="7"/>
      <c r="F1365" s="7"/>
      <c r="G1365" s="7"/>
      <c r="H1365" s="7"/>
      <c r="I1365" s="7"/>
      <c r="J1365" s="36"/>
      <c r="K1365" s="7"/>
      <c r="L1365" s="7"/>
      <c r="M1365" s="7"/>
      <c r="N1365" s="7"/>
    </row>
    <row r="1366" spans="1:15" ht="14.1" customHeight="1">
      <c r="A1366" s="6"/>
      <c r="B1366" s="6"/>
      <c r="C1366" s="7"/>
      <c r="D1366" s="7"/>
      <c r="E1366" s="7"/>
      <c r="F1366" s="7"/>
      <c r="G1366" s="7"/>
      <c r="H1366" s="7"/>
      <c r="I1366" s="7"/>
      <c r="J1366" s="30"/>
      <c r="K1366" s="7"/>
      <c r="L1366" s="7"/>
      <c r="M1366" s="7"/>
      <c r="N1366" s="7"/>
    </row>
    <row r="1367" spans="1:15" ht="14.1" customHeight="1">
      <c r="A1367" s="6"/>
      <c r="B1367" s="6"/>
      <c r="C1367" s="7"/>
      <c r="D1367" s="7"/>
      <c r="E1367" s="7"/>
      <c r="F1367" s="7"/>
      <c r="G1367" s="7"/>
      <c r="H1367" s="7"/>
      <c r="I1367" s="7"/>
      <c r="J1367" s="30"/>
      <c r="K1367" s="7"/>
      <c r="L1367" s="7"/>
      <c r="M1367" s="7"/>
      <c r="N1367" s="7"/>
    </row>
    <row r="1368" spans="1:15" ht="14.1" customHeight="1">
      <c r="A1368" s="6"/>
      <c r="B1368" s="6"/>
      <c r="C1368" s="7"/>
      <c r="D1368" s="7"/>
      <c r="E1368" s="7"/>
      <c r="F1368" s="7"/>
      <c r="G1368" s="7"/>
      <c r="H1368" s="7"/>
      <c r="I1368" s="7"/>
      <c r="J1368" s="30"/>
      <c r="K1368" s="7"/>
      <c r="L1368" s="7"/>
      <c r="M1368" s="7"/>
      <c r="N1368" s="7"/>
    </row>
    <row r="1369" spans="1:15" ht="14.1" customHeight="1">
      <c r="A1369" s="6"/>
      <c r="B1369" s="6"/>
      <c r="C1369" s="7"/>
      <c r="D1369" s="7"/>
      <c r="E1369" s="7"/>
      <c r="F1369" s="7"/>
      <c r="G1369" s="7"/>
      <c r="H1369" s="7"/>
      <c r="I1369" s="7"/>
      <c r="J1369" s="30"/>
      <c r="K1369" s="7"/>
      <c r="L1369" s="7"/>
      <c r="M1369" s="7"/>
      <c r="N1369" s="7"/>
    </row>
    <row r="1370" spans="1:15" ht="14.1" customHeight="1">
      <c r="A1370" s="6"/>
      <c r="B1370" s="6"/>
      <c r="C1370" s="7"/>
      <c r="D1370" s="7"/>
      <c r="E1370" s="7"/>
      <c r="F1370" s="7"/>
      <c r="G1370" s="7"/>
      <c r="H1370" s="7"/>
      <c r="I1370" s="7"/>
      <c r="J1370" s="30"/>
      <c r="K1370" s="7"/>
      <c r="L1370" s="7"/>
      <c r="M1370" s="7"/>
      <c r="N1370" s="7"/>
    </row>
    <row r="1371" spans="1:15" ht="14.1" customHeight="1">
      <c r="A1371" s="6"/>
      <c r="B1371" s="6"/>
      <c r="C1371" s="7"/>
      <c r="D1371" s="7"/>
      <c r="E1371" s="7"/>
      <c r="F1371" s="7"/>
      <c r="G1371" s="7"/>
      <c r="H1371" s="7"/>
      <c r="I1371" s="7"/>
      <c r="J1371" s="30"/>
      <c r="K1371" s="7"/>
      <c r="L1371" s="7"/>
      <c r="M1371" s="7"/>
      <c r="N1371" s="7"/>
    </row>
    <row r="1372" spans="1:15" ht="14.1" customHeight="1">
      <c r="A1372" s="6"/>
      <c r="B1372" s="6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</row>
    <row r="1373" spans="1:15" ht="14.1" customHeight="1"/>
    <row r="1374" spans="1:15" ht="14.1" customHeight="1"/>
    <row r="1375" spans="1:15" ht="18" customHeight="1">
      <c r="A1375" s="184" t="s">
        <v>0</v>
      </c>
      <c r="B1375" s="185"/>
      <c r="C1375" s="185"/>
      <c r="D1375" s="185"/>
      <c r="E1375" s="185"/>
      <c r="F1375" s="185"/>
      <c r="G1375" s="20">
        <v>6180</v>
      </c>
      <c r="H1375" s="1" t="s">
        <v>15</v>
      </c>
      <c r="I1375" s="1"/>
      <c r="J1375" s="33"/>
      <c r="K1375" s="1"/>
      <c r="L1375" s="1"/>
      <c r="M1375" s="1"/>
      <c r="N1375" s="1"/>
    </row>
    <row r="1376" spans="1:15" ht="18" customHeight="1">
      <c r="A1376" s="42" t="s">
        <v>1</v>
      </c>
      <c r="B1376" s="82"/>
      <c r="C1376" s="83">
        <v>0</v>
      </c>
      <c r="D1376" s="84">
        <v>0.6</v>
      </c>
      <c r="E1376" s="84">
        <v>0.7</v>
      </c>
      <c r="F1376" s="85">
        <v>1.7</v>
      </c>
      <c r="G1376" s="85">
        <v>2.7</v>
      </c>
      <c r="H1376" s="84">
        <v>2.8</v>
      </c>
      <c r="I1376" s="52">
        <v>3.6</v>
      </c>
      <c r="J1376" s="52"/>
      <c r="K1376" s="84"/>
      <c r="L1376" s="86"/>
      <c r="M1376" s="45"/>
      <c r="N1376" s="47"/>
      <c r="O1376" s="22"/>
    </row>
    <row r="1377" spans="1:15" ht="18" customHeight="1">
      <c r="A1377" s="42" t="s">
        <v>2</v>
      </c>
      <c r="B1377" s="82"/>
      <c r="C1377" s="83">
        <v>95.55</v>
      </c>
      <c r="D1377" s="84">
        <v>94.12</v>
      </c>
      <c r="E1377" s="84">
        <v>94.12</v>
      </c>
      <c r="F1377" s="84">
        <v>94.12</v>
      </c>
      <c r="G1377" s="84">
        <v>94.12</v>
      </c>
      <c r="H1377" s="84">
        <v>94.12</v>
      </c>
      <c r="I1377" s="84">
        <v>95.75</v>
      </c>
      <c r="J1377" s="84"/>
      <c r="K1377" s="84"/>
      <c r="L1377" s="86"/>
      <c r="M1377" s="45"/>
      <c r="N1377" s="47"/>
      <c r="O1377" s="21"/>
    </row>
    <row r="1378" spans="1:15" ht="18" customHeight="1">
      <c r="A1378" s="42" t="s">
        <v>1</v>
      </c>
      <c r="B1378" s="82"/>
      <c r="C1378" s="83">
        <v>0</v>
      </c>
      <c r="D1378" s="84">
        <v>0.6</v>
      </c>
      <c r="E1378" s="84">
        <v>0.7</v>
      </c>
      <c r="F1378" s="85">
        <v>1.7</v>
      </c>
      <c r="G1378" s="85">
        <v>2.7</v>
      </c>
      <c r="H1378" s="84">
        <v>2.8</v>
      </c>
      <c r="I1378" s="52">
        <v>3.6</v>
      </c>
      <c r="J1378" s="52"/>
      <c r="K1378" s="84"/>
      <c r="L1378" s="86"/>
      <c r="M1378" s="45"/>
      <c r="N1378" s="47"/>
      <c r="O1378" s="22"/>
    </row>
    <row r="1379" spans="1:15" ht="18" customHeight="1">
      <c r="A1379" s="42" t="s">
        <v>3</v>
      </c>
      <c r="B1379" s="87"/>
      <c r="C1379" s="83">
        <v>95.55</v>
      </c>
      <c r="D1379" s="84">
        <v>94.736000000000004</v>
      </c>
      <c r="E1379" s="84">
        <v>94.6</v>
      </c>
      <c r="F1379" s="84">
        <v>94.6</v>
      </c>
      <c r="G1379" s="84">
        <v>94.6</v>
      </c>
      <c r="H1379" s="84">
        <v>94.727999999999994</v>
      </c>
      <c r="I1379" s="84">
        <v>95.75</v>
      </c>
      <c r="J1379" s="84"/>
      <c r="K1379" s="84"/>
      <c r="L1379" s="86"/>
      <c r="M1379" s="45"/>
      <c r="N1379" s="52"/>
      <c r="O1379" s="23"/>
    </row>
    <row r="1380" spans="1:15" ht="18" customHeight="1">
      <c r="A1380" s="42" t="s">
        <v>18</v>
      </c>
      <c r="B1380" s="87"/>
      <c r="C1380" s="52">
        <f t="shared" ref="C1380" si="152">C1377-C1379</f>
        <v>0</v>
      </c>
      <c r="D1380" s="52">
        <f>D1379-D1377</f>
        <v>0.61599999999999966</v>
      </c>
      <c r="E1380" s="52">
        <f t="shared" ref="E1380:I1380" si="153">E1379-E1377</f>
        <v>0.47999999999998977</v>
      </c>
      <c r="F1380" s="52">
        <f t="shared" si="153"/>
        <v>0.47999999999998977</v>
      </c>
      <c r="G1380" s="52">
        <f t="shared" si="153"/>
        <v>0.47999999999998977</v>
      </c>
      <c r="H1380" s="52">
        <f t="shared" si="153"/>
        <v>0.60799999999998988</v>
      </c>
      <c r="I1380" s="52">
        <f t="shared" si="153"/>
        <v>0</v>
      </c>
      <c r="J1380" s="52"/>
      <c r="K1380" s="52"/>
      <c r="L1380" s="52"/>
      <c r="M1380" s="47"/>
      <c r="N1380" s="47"/>
      <c r="O1380" s="21"/>
    </row>
    <row r="1381" spans="1:15" ht="18" customHeight="1">
      <c r="A1381" s="42" t="s">
        <v>5</v>
      </c>
      <c r="B1381" s="87"/>
      <c r="C1381" s="52">
        <f t="shared" ref="C1381" si="154">(C1380+B1380)/2*(C1376-B1376)</f>
        <v>0</v>
      </c>
      <c r="D1381" s="52">
        <f>(D1380+C1380)/2*(D1376-C1376)</f>
        <v>0.18479999999999988</v>
      </c>
      <c r="E1381" s="52">
        <f t="shared" ref="E1381:I1381" si="155">(E1380+D1380)/2*(E1376-D1376)</f>
        <v>5.479999999999946E-2</v>
      </c>
      <c r="F1381" s="52">
        <f t="shared" si="155"/>
        <v>0.47999999999998977</v>
      </c>
      <c r="G1381" s="52">
        <f t="shared" si="155"/>
        <v>0.47999999999998988</v>
      </c>
      <c r="H1381" s="52">
        <f t="shared" si="155"/>
        <v>5.439999999999879E-2</v>
      </c>
      <c r="I1381" s="52">
        <f t="shared" si="155"/>
        <v>0.24319999999999603</v>
      </c>
      <c r="J1381" s="52"/>
      <c r="K1381" s="52"/>
      <c r="L1381" s="52"/>
      <c r="M1381" s="47"/>
      <c r="N1381" s="77">
        <f>SUM(B1381:M1381)</f>
        <v>1.4971999999999739</v>
      </c>
      <c r="O1381" s="21"/>
    </row>
    <row r="1382" spans="1:15" ht="18" customHeight="1">
      <c r="A1382" s="2"/>
      <c r="B1382" s="2"/>
      <c r="C1382" s="30"/>
      <c r="D1382" s="30"/>
      <c r="E1382" s="4"/>
      <c r="F1382" s="4"/>
      <c r="G1382" s="4"/>
      <c r="H1382" s="4"/>
      <c r="I1382" s="4"/>
      <c r="J1382" s="179" t="s">
        <v>6</v>
      </c>
      <c r="K1382" s="179"/>
      <c r="L1382" s="179"/>
      <c r="M1382" s="179"/>
      <c r="N1382" s="109">
        <f>N1381</f>
        <v>1.4971999999999739</v>
      </c>
      <c r="O1382" s="21"/>
    </row>
    <row r="1383" spans="1:15" ht="18" customHeight="1">
      <c r="A1383" s="24"/>
      <c r="B1383" s="78"/>
      <c r="C1383" s="18"/>
      <c r="D1383" s="18"/>
      <c r="E1383" s="21"/>
      <c r="F1383" s="21"/>
      <c r="G1383" s="21"/>
      <c r="H1383" s="21"/>
      <c r="I1383" s="21"/>
      <c r="J1383" s="21"/>
      <c r="K1383" s="21"/>
      <c r="L1383" s="21"/>
      <c r="M1383" s="21"/>
      <c r="N1383" s="21"/>
      <c r="O1383" s="21"/>
    </row>
    <row r="1384" spans="1:15" ht="14.1" customHeight="1">
      <c r="A1384" s="2"/>
      <c r="B1384" s="2"/>
      <c r="C1384" s="30"/>
      <c r="D1384" s="30"/>
      <c r="E1384" s="21"/>
      <c r="F1384" s="21"/>
      <c r="G1384" s="21"/>
      <c r="H1384" s="21"/>
      <c r="I1384" s="21"/>
      <c r="J1384" s="30"/>
      <c r="K1384" s="30"/>
      <c r="L1384" s="30"/>
      <c r="M1384" s="30"/>
      <c r="N1384" s="30"/>
    </row>
    <row r="1385" spans="1:15" ht="14.1" customHeight="1">
      <c r="A1385" s="6"/>
      <c r="B1385" s="6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</row>
    <row r="1386" spans="1:15" ht="14.1" customHeight="1">
      <c r="A1386" s="6"/>
      <c r="B1386" s="6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</row>
    <row r="1387" spans="1:15" ht="14.1" customHeight="1">
      <c r="A1387" s="6"/>
      <c r="B1387" s="6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</row>
    <row r="1388" spans="1:15" ht="14.1" customHeight="1">
      <c r="A1388" s="6"/>
      <c r="B1388" s="6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</row>
    <row r="1389" spans="1:15" ht="14.1" customHeight="1">
      <c r="A1389" s="6"/>
      <c r="B1389" s="6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</row>
    <row r="1390" spans="1:15" ht="14.1" customHeight="1">
      <c r="A1390" s="6"/>
      <c r="B1390" s="6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</row>
    <row r="1391" spans="1:15" ht="14.1" customHeight="1">
      <c r="A1391" s="6"/>
      <c r="B1391" s="6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</row>
    <row r="1392" spans="1:15" ht="14.1" customHeight="1">
      <c r="A1392" s="6"/>
      <c r="B1392" s="6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</row>
    <row r="1393" spans="1:14" ht="14.1" customHeight="1">
      <c r="A1393" s="6"/>
      <c r="B1393" s="6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</row>
    <row r="1394" spans="1:14" ht="14.1" customHeight="1">
      <c r="A1394" s="6"/>
      <c r="B1394" s="6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</row>
    <row r="1395" spans="1:14" ht="14.1" customHeight="1">
      <c r="A1395" s="6"/>
      <c r="B1395" s="6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</row>
    <row r="1396" spans="1:14" ht="14.1" customHeight="1">
      <c r="A1396" s="6"/>
      <c r="B1396" s="6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</row>
    <row r="1397" spans="1:14" ht="14.1" customHeight="1">
      <c r="A1397" s="6"/>
      <c r="B1397" s="6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</row>
    <row r="1398" spans="1:14" ht="14.1" customHeight="1">
      <c r="A1398" s="6"/>
      <c r="B1398" s="6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</row>
    <row r="1399" spans="1:14" ht="14.1" customHeight="1">
      <c r="A1399" s="6"/>
      <c r="B1399" s="6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</row>
    <row r="1400" spans="1:14" ht="14.1" customHeight="1">
      <c r="A1400" s="6"/>
      <c r="B1400" s="6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</row>
    <row r="1401" spans="1:14" ht="14.1" customHeight="1">
      <c r="A1401" s="6"/>
      <c r="B1401" s="6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</row>
    <row r="1402" spans="1:14" ht="14.1" customHeight="1">
      <c r="A1402" s="6"/>
      <c r="B1402" s="6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</row>
    <row r="1403" spans="1:14" ht="14.1" customHeight="1">
      <c r="A1403" s="6"/>
      <c r="B1403" s="6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</row>
    <row r="1404" spans="1:14" ht="14.1" customHeight="1">
      <c r="A1404" s="6"/>
      <c r="B1404" s="6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</row>
    <row r="1405" spans="1:14" ht="14.1" customHeight="1">
      <c r="A1405" s="6"/>
      <c r="B1405" s="6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</row>
    <row r="1406" spans="1:14" ht="14.1" customHeight="1">
      <c r="A1406" s="6"/>
      <c r="B1406" s="6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</row>
    <row r="1407" spans="1:14" ht="14.1" customHeight="1">
      <c r="A1407" s="6"/>
      <c r="B1407" s="6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</row>
    <row r="1408" spans="1:14" ht="14.1" customHeight="1">
      <c r="A1408" s="6"/>
      <c r="B1408" s="6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</row>
    <row r="1409" spans="1:16" ht="14.1" customHeight="1">
      <c r="A1409" s="6"/>
      <c r="B1409" s="6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</row>
    <row r="1410" spans="1:16" ht="14.1" customHeight="1">
      <c r="A1410" s="6"/>
      <c r="B1410" s="6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</row>
    <row r="1411" spans="1:16" ht="14.1" customHeight="1">
      <c r="A1411" s="6"/>
      <c r="B1411" s="6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</row>
    <row r="1412" spans="1:16" ht="14.1" customHeight="1">
      <c r="A1412" s="6"/>
      <c r="B1412" s="6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</row>
    <row r="1413" spans="1:16" ht="14.1" customHeight="1">
      <c r="A1413" s="6"/>
      <c r="B1413" s="6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</row>
    <row r="1414" spans="1:16" ht="14.1" customHeight="1">
      <c r="A1414" s="6"/>
      <c r="B1414" s="6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</row>
    <row r="1415" spans="1:16" ht="14.1" customHeight="1">
      <c r="A1415" s="6"/>
      <c r="B1415" s="6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</row>
    <row r="1416" spans="1:16" ht="14.1" customHeight="1">
      <c r="A1416" s="6"/>
      <c r="B1416" s="6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</row>
    <row r="1417" spans="1:16" ht="14.1" customHeight="1">
      <c r="A1417" s="6"/>
      <c r="B1417" s="6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</row>
    <row r="1418" spans="1:16" ht="18.75" customHeight="1">
      <c r="A1418" s="184" t="s">
        <v>0</v>
      </c>
      <c r="B1418" s="185"/>
      <c r="C1418" s="185"/>
      <c r="D1418" s="185"/>
      <c r="E1418" s="185"/>
      <c r="F1418" s="185"/>
      <c r="G1418" s="20">
        <v>6240</v>
      </c>
      <c r="H1418" s="1" t="s">
        <v>15</v>
      </c>
      <c r="I1418" s="1"/>
      <c r="J1418" s="32"/>
      <c r="K1418" s="1"/>
      <c r="L1418" s="1"/>
      <c r="M1418" s="1"/>
      <c r="N1418" s="1"/>
    </row>
    <row r="1419" spans="1:16" ht="18.75" customHeight="1">
      <c r="A1419" s="42" t="s">
        <v>1</v>
      </c>
      <c r="B1419" s="82"/>
      <c r="C1419" s="83">
        <v>0</v>
      </c>
      <c r="D1419" s="84">
        <v>0.6</v>
      </c>
      <c r="E1419" s="84">
        <v>0.7</v>
      </c>
      <c r="F1419" s="85">
        <v>1.7</v>
      </c>
      <c r="G1419" s="85">
        <v>2.7</v>
      </c>
      <c r="H1419" s="84">
        <v>2.8</v>
      </c>
      <c r="I1419" s="52">
        <v>3.5</v>
      </c>
      <c r="J1419" s="52"/>
      <c r="K1419" s="84"/>
      <c r="L1419" s="86"/>
      <c r="M1419" s="45"/>
      <c r="N1419" s="47"/>
      <c r="O1419" s="22"/>
      <c r="P1419" s="22"/>
    </row>
    <row r="1420" spans="1:16" ht="18.75" customHeight="1">
      <c r="A1420" s="42" t="s">
        <v>2</v>
      </c>
      <c r="B1420" s="82"/>
      <c r="C1420" s="83">
        <v>95.39</v>
      </c>
      <c r="D1420" s="84">
        <v>94.11</v>
      </c>
      <c r="E1420" s="84">
        <v>94.11</v>
      </c>
      <c r="F1420" s="84">
        <v>94.11</v>
      </c>
      <c r="G1420" s="84">
        <v>94.11</v>
      </c>
      <c r="H1420" s="84">
        <v>94.11</v>
      </c>
      <c r="I1420" s="84">
        <v>95.54</v>
      </c>
      <c r="J1420" s="84"/>
      <c r="K1420" s="84"/>
      <c r="L1420" s="86"/>
      <c r="M1420" s="45"/>
      <c r="N1420" s="47"/>
      <c r="O1420" s="21"/>
      <c r="P1420" s="21"/>
    </row>
    <row r="1421" spans="1:16" ht="18.75" customHeight="1">
      <c r="A1421" s="42" t="s">
        <v>1</v>
      </c>
      <c r="B1421" s="82"/>
      <c r="C1421" s="83">
        <v>0</v>
      </c>
      <c r="D1421" s="84">
        <v>0.6</v>
      </c>
      <c r="E1421" s="84">
        <v>0.7</v>
      </c>
      <c r="F1421" s="85">
        <v>1.7</v>
      </c>
      <c r="G1421" s="85">
        <v>2.7</v>
      </c>
      <c r="H1421" s="84">
        <v>2.8</v>
      </c>
      <c r="I1421" s="52">
        <v>3.5</v>
      </c>
      <c r="J1421" s="52"/>
      <c r="K1421" s="84"/>
      <c r="L1421" s="86"/>
      <c r="M1421" s="45"/>
      <c r="N1421" s="47"/>
      <c r="O1421" s="22"/>
      <c r="P1421" s="22"/>
    </row>
    <row r="1422" spans="1:16" ht="18.75" customHeight="1">
      <c r="A1422" s="42" t="s">
        <v>3</v>
      </c>
      <c r="B1422" s="87"/>
      <c r="C1422" s="83">
        <v>95.39</v>
      </c>
      <c r="D1422" s="84">
        <v>94.653000000000006</v>
      </c>
      <c r="E1422" s="84">
        <v>94.53</v>
      </c>
      <c r="F1422" s="84">
        <v>94.53</v>
      </c>
      <c r="G1422" s="84">
        <v>94.53</v>
      </c>
      <c r="H1422" s="84">
        <v>94.656000000000006</v>
      </c>
      <c r="I1422" s="84">
        <v>95.54</v>
      </c>
      <c r="J1422" s="84"/>
      <c r="K1422" s="84"/>
      <c r="L1422" s="86"/>
      <c r="M1422" s="45"/>
      <c r="N1422" s="52"/>
      <c r="O1422" s="23"/>
      <c r="P1422" s="23"/>
    </row>
    <row r="1423" spans="1:16" ht="18.75" customHeight="1">
      <c r="A1423" s="42" t="s">
        <v>18</v>
      </c>
      <c r="B1423" s="87"/>
      <c r="C1423" s="52">
        <f t="shared" ref="C1423" si="156">C1420-C1422</f>
        <v>0</v>
      </c>
      <c r="D1423" s="52">
        <f>D1422-D1420</f>
        <v>0.54300000000000637</v>
      </c>
      <c r="E1423" s="52">
        <f t="shared" ref="E1423:I1423" si="157">E1422-E1420</f>
        <v>0.42000000000000171</v>
      </c>
      <c r="F1423" s="52">
        <f t="shared" si="157"/>
        <v>0.42000000000000171</v>
      </c>
      <c r="G1423" s="52">
        <f t="shared" si="157"/>
        <v>0.42000000000000171</v>
      </c>
      <c r="H1423" s="52">
        <f t="shared" si="157"/>
        <v>0.54600000000000648</v>
      </c>
      <c r="I1423" s="52">
        <f t="shared" si="157"/>
        <v>0</v>
      </c>
      <c r="J1423" s="52"/>
      <c r="K1423" s="52"/>
      <c r="L1423" s="52"/>
      <c r="M1423" s="47"/>
      <c r="N1423" s="47"/>
      <c r="O1423" s="21"/>
      <c r="P1423" s="21"/>
    </row>
    <row r="1424" spans="1:16" ht="18.75" customHeight="1">
      <c r="A1424" s="42" t="s">
        <v>5</v>
      </c>
      <c r="B1424" s="87"/>
      <c r="C1424" s="52">
        <f t="shared" ref="C1424" si="158">(C1423+B1423)/2*(C1419-B1419)</f>
        <v>0</v>
      </c>
      <c r="D1424" s="52">
        <f>(D1423+C1423)/2*(D1419-C1419)</f>
        <v>0.1629000000000019</v>
      </c>
      <c r="E1424" s="52">
        <f t="shared" ref="E1424:I1424" si="159">(E1423+D1423)/2*(E1419-D1419)</f>
        <v>4.8150000000000394E-2</v>
      </c>
      <c r="F1424" s="52">
        <f t="shared" si="159"/>
        <v>0.42000000000000171</v>
      </c>
      <c r="G1424" s="52">
        <f t="shared" si="159"/>
        <v>0.42000000000000182</v>
      </c>
      <c r="H1424" s="52">
        <f t="shared" si="159"/>
        <v>4.8300000000000239E-2</v>
      </c>
      <c r="I1424" s="52">
        <f t="shared" si="159"/>
        <v>0.19110000000000232</v>
      </c>
      <c r="J1424" s="52"/>
      <c r="K1424" s="52"/>
      <c r="L1424" s="52"/>
      <c r="M1424" s="47"/>
      <c r="N1424" s="77">
        <f>SUM(B1424:M1424)</f>
        <v>1.2904500000000083</v>
      </c>
      <c r="O1424" s="21"/>
      <c r="P1424" s="21"/>
    </row>
    <row r="1425" spans="1:16" ht="18.75" customHeight="1">
      <c r="A1425" s="2"/>
      <c r="B1425" s="2"/>
      <c r="C1425" s="30"/>
      <c r="D1425" s="30"/>
      <c r="E1425" s="4"/>
      <c r="F1425" s="4"/>
      <c r="G1425" s="4"/>
      <c r="H1425" s="4"/>
      <c r="I1425" s="4"/>
      <c r="J1425" s="179" t="s">
        <v>6</v>
      </c>
      <c r="K1425" s="179"/>
      <c r="L1425" s="179"/>
      <c r="M1425" s="179"/>
      <c r="N1425" s="109">
        <f>N1424</f>
        <v>1.2904500000000083</v>
      </c>
      <c r="O1425" s="21"/>
      <c r="P1425" s="21"/>
    </row>
    <row r="1426" spans="1:16" ht="18.75" customHeight="1">
      <c r="A1426" s="24"/>
      <c r="B1426" s="78"/>
      <c r="C1426" s="18"/>
      <c r="D1426" s="18"/>
      <c r="E1426" s="21"/>
      <c r="F1426" s="21"/>
      <c r="G1426" s="21"/>
      <c r="H1426" s="21"/>
      <c r="I1426" s="21"/>
      <c r="J1426" s="21"/>
      <c r="K1426" s="21"/>
      <c r="L1426" s="21"/>
      <c r="M1426" s="21"/>
      <c r="N1426" s="21"/>
      <c r="O1426" s="31"/>
      <c r="P1426" s="21"/>
    </row>
    <row r="1427" spans="1:16" ht="18.75" customHeight="1">
      <c r="A1427" s="2"/>
      <c r="B1427" s="2"/>
      <c r="C1427" s="30"/>
      <c r="D1427" s="30"/>
      <c r="E1427" s="21"/>
      <c r="F1427" s="21"/>
      <c r="G1427" s="21"/>
      <c r="H1427" s="21"/>
      <c r="I1427" s="21"/>
      <c r="J1427" s="30"/>
      <c r="K1427" s="30"/>
      <c r="L1427" s="30"/>
      <c r="M1427" s="30"/>
      <c r="N1427" s="30"/>
    </row>
    <row r="1428" spans="1:16" ht="14.1" customHeight="1">
      <c r="A1428" s="6"/>
      <c r="B1428" s="6"/>
      <c r="C1428" s="7"/>
      <c r="D1428" s="7"/>
      <c r="E1428" s="7"/>
      <c r="F1428" s="7"/>
      <c r="G1428" s="7"/>
      <c r="H1428" s="7"/>
      <c r="I1428" s="7"/>
      <c r="K1428" s="7"/>
      <c r="L1428" s="7"/>
      <c r="M1428" s="7"/>
      <c r="N1428" s="7"/>
    </row>
    <row r="1429" spans="1:16" ht="14.1" customHeight="1">
      <c r="A1429" s="6"/>
      <c r="B1429" s="6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</row>
    <row r="1430" spans="1:16" ht="14.1" customHeight="1">
      <c r="A1430" s="6"/>
      <c r="B1430" s="6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</row>
    <row r="1431" spans="1:16" ht="14.1" customHeight="1">
      <c r="A1431" s="6"/>
      <c r="B1431" s="6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</row>
    <row r="1432" spans="1:16" ht="14.1" customHeight="1">
      <c r="A1432" s="6"/>
      <c r="B1432" s="6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</row>
    <row r="1433" spans="1:16" ht="14.1" customHeight="1">
      <c r="A1433" s="6"/>
      <c r="B1433" s="6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</row>
    <row r="1434" spans="1:16" ht="14.1" customHeight="1">
      <c r="A1434" s="6"/>
      <c r="B1434" s="6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</row>
    <row r="1435" spans="1:16" ht="14.1" customHeight="1">
      <c r="A1435" s="6"/>
      <c r="B1435" s="6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</row>
    <row r="1436" spans="1:16" ht="14.1" customHeight="1">
      <c r="A1436" s="6"/>
      <c r="B1436" s="6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</row>
    <row r="1437" spans="1:16" ht="14.1" customHeight="1">
      <c r="A1437" s="6"/>
      <c r="B1437" s="6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</row>
    <row r="1438" spans="1:16" ht="14.1" customHeight="1">
      <c r="A1438" s="6"/>
      <c r="B1438" s="6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</row>
    <row r="1439" spans="1:16" ht="14.1" customHeight="1">
      <c r="A1439" s="6"/>
      <c r="B1439" s="6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</row>
    <row r="1440" spans="1:16" ht="14.1" customHeight="1">
      <c r="A1440" s="6"/>
      <c r="B1440" s="6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</row>
    <row r="1441" spans="1:14" ht="14.1" customHeight="1">
      <c r="A1441" s="6"/>
      <c r="B1441" s="6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</row>
    <row r="1442" spans="1:14" ht="14.1" customHeight="1">
      <c r="A1442" s="6"/>
      <c r="B1442" s="6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</row>
    <row r="1443" spans="1:14" ht="14.1" customHeight="1">
      <c r="A1443" s="6"/>
      <c r="B1443" s="6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</row>
    <row r="1444" spans="1:14" ht="14.1" customHeight="1">
      <c r="A1444" s="6"/>
      <c r="B1444" s="6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</row>
    <row r="1445" spans="1:14" ht="14.1" customHeight="1">
      <c r="A1445" s="6"/>
      <c r="B1445" s="6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</row>
    <row r="1446" spans="1:14" ht="14.1" customHeight="1">
      <c r="A1446" s="6"/>
      <c r="B1446" s="6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</row>
    <row r="1447" spans="1:14" ht="14.1" customHeight="1">
      <c r="A1447" s="6"/>
      <c r="B1447" s="6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</row>
    <row r="1448" spans="1:14" ht="14.1" customHeight="1">
      <c r="A1448" s="6"/>
      <c r="B1448" s="6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</row>
    <row r="1449" spans="1:14" ht="14.1" customHeight="1">
      <c r="A1449" s="6"/>
      <c r="B1449" s="6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</row>
    <row r="1450" spans="1:14" ht="14.1" customHeight="1">
      <c r="A1450" s="6"/>
      <c r="B1450" s="6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</row>
    <row r="1451" spans="1:14" ht="14.1" customHeight="1">
      <c r="A1451" s="6"/>
      <c r="B1451" s="6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</row>
    <row r="1452" spans="1:14" ht="14.1" customHeight="1">
      <c r="A1452" s="6"/>
      <c r="B1452" s="6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</row>
    <row r="1453" spans="1:14" ht="14.1" customHeight="1"/>
    <row r="1454" spans="1:14" ht="14.1" customHeight="1"/>
    <row r="1455" spans="1:14" ht="14.1" customHeight="1"/>
    <row r="1456" spans="1:14" ht="14.1" customHeight="1"/>
    <row r="1457" ht="14.1" customHeight="1"/>
    <row r="1458" ht="14.1" customHeight="1"/>
    <row r="1459" ht="14.1" customHeight="1"/>
    <row r="1460" ht="14.1" customHeight="1"/>
    <row r="1461" ht="14.1" customHeight="1"/>
    <row r="1462" ht="14.1" customHeight="1"/>
    <row r="1463" ht="14.1" customHeight="1"/>
    <row r="1464" ht="14.1" customHeight="1"/>
    <row r="1465" ht="14.1" customHeight="1"/>
    <row r="1466" ht="14.1" customHeight="1"/>
    <row r="1467" ht="14.1" customHeight="1"/>
    <row r="1468" ht="14.1" customHeight="1"/>
    <row r="1469" ht="14.1" customHeight="1"/>
    <row r="1470" ht="14.1" customHeight="1"/>
    <row r="1471" ht="14.1" customHeight="1"/>
    <row r="1472" ht="14.1" customHeight="1"/>
    <row r="1473" ht="14.1" customHeight="1"/>
    <row r="1474" ht="14.1" customHeight="1"/>
    <row r="1475" ht="14.1" customHeight="1"/>
    <row r="1476" ht="14.1" customHeight="1"/>
    <row r="1477" ht="14.1" customHeight="1"/>
    <row r="1478" ht="14.1" customHeight="1"/>
    <row r="1479" ht="14.1" customHeight="1"/>
    <row r="1480" ht="14.1" customHeight="1"/>
    <row r="1481" ht="14.1" customHeight="1"/>
    <row r="1482" ht="14.1" customHeight="1"/>
    <row r="1483" ht="14.1" customHeight="1"/>
    <row r="1484" ht="14.1" customHeight="1"/>
    <row r="1485" ht="14.1" customHeight="1"/>
    <row r="1486" ht="14.1" customHeight="1"/>
    <row r="1487" ht="14.1" customHeight="1"/>
    <row r="1488" ht="14.1" customHeight="1"/>
    <row r="1489" ht="14.1" customHeight="1"/>
    <row r="1490" ht="14.1" customHeight="1"/>
    <row r="1491" ht="14.1" customHeight="1"/>
    <row r="1492" ht="14.1" customHeight="1"/>
    <row r="1493" ht="14.1" customHeight="1"/>
    <row r="1494" ht="14.1" customHeight="1"/>
    <row r="1495" ht="14.1" customHeight="1"/>
    <row r="1496" ht="14.1" customHeight="1"/>
    <row r="1497" ht="14.1" customHeight="1"/>
    <row r="1498" ht="14.1" customHeight="1"/>
    <row r="1499" ht="14.1" customHeight="1"/>
    <row r="1500" ht="14.1" customHeight="1"/>
    <row r="1501" ht="14.1" customHeight="1"/>
    <row r="1502" ht="14.1" customHeight="1"/>
    <row r="1503" ht="14.1" customHeight="1"/>
    <row r="1504" ht="14.1" customHeight="1"/>
    <row r="1505" ht="14.1" customHeight="1"/>
    <row r="1506" ht="14.1" customHeight="1"/>
    <row r="1507" ht="14.1" customHeight="1"/>
    <row r="1508" ht="14.1" customHeight="1"/>
    <row r="1509" ht="14.1" customHeight="1"/>
    <row r="1510" ht="14.1" customHeight="1"/>
    <row r="1511" ht="14.1" customHeight="1"/>
    <row r="1512" ht="14.1" customHeight="1"/>
    <row r="1513" ht="14.1" customHeight="1"/>
    <row r="1514" ht="14.1" customHeight="1"/>
    <row r="1515" ht="14.1" customHeight="1"/>
    <row r="1516" ht="14.1" customHeight="1"/>
    <row r="1517" ht="14.1" customHeight="1"/>
    <row r="1518" ht="14.1" customHeight="1"/>
    <row r="1519" ht="14.1" customHeight="1"/>
    <row r="1520" ht="14.1" customHeight="1"/>
    <row r="1521" ht="14.1" customHeight="1"/>
    <row r="1522" ht="14.1" customHeight="1"/>
    <row r="1523" ht="14.1" customHeight="1"/>
    <row r="1524" ht="14.1" customHeight="1"/>
    <row r="1525" ht="14.1" customHeight="1"/>
    <row r="1526" ht="14.1" customHeight="1"/>
    <row r="1527" ht="14.1" customHeight="1"/>
    <row r="1528" ht="14.1" customHeight="1"/>
    <row r="1529" ht="14.1" customHeight="1"/>
    <row r="1530" ht="14.1" customHeight="1"/>
    <row r="1531" ht="14.1" customHeight="1"/>
    <row r="1532" ht="14.1" customHeight="1"/>
    <row r="1533" ht="14.1" customHeight="1"/>
    <row r="1534" ht="14.1" customHeight="1"/>
    <row r="1535" ht="14.1" customHeight="1"/>
    <row r="1536" ht="14.1" customHeight="1"/>
    <row r="1537" ht="14.1" customHeight="1"/>
    <row r="1538" ht="14.1" customHeight="1"/>
    <row r="1539" ht="14.1" customHeight="1"/>
    <row r="1540" ht="14.1" customHeight="1"/>
    <row r="1541" ht="14.1" customHeight="1"/>
    <row r="1542" ht="14.1" customHeight="1"/>
    <row r="1543" ht="14.1" customHeight="1"/>
    <row r="1544" ht="14.1" customHeight="1"/>
    <row r="1545" ht="14.1" customHeight="1"/>
    <row r="1546" ht="14.1" customHeight="1"/>
    <row r="1547" ht="14.1" customHeight="1"/>
    <row r="1548" ht="14.1" customHeight="1"/>
    <row r="1549" ht="14.1" customHeight="1"/>
    <row r="1550" ht="14.1" customHeight="1"/>
    <row r="1551" ht="14.1" customHeight="1"/>
    <row r="1552" ht="14.1" customHeight="1"/>
    <row r="1553" ht="14.1" customHeight="1"/>
    <row r="1554" ht="14.1" customHeight="1"/>
    <row r="1555" ht="14.1" customHeight="1"/>
    <row r="1556" ht="14.1" customHeight="1"/>
    <row r="1557" ht="14.1" customHeight="1"/>
    <row r="1558" ht="14.1" customHeight="1"/>
    <row r="1559" ht="14.1" customHeight="1"/>
    <row r="1560" ht="14.1" customHeight="1"/>
    <row r="1561" ht="14.1" customHeight="1"/>
    <row r="1562" ht="14.1" customHeight="1"/>
    <row r="1563" ht="14.1" customHeight="1"/>
    <row r="1564" ht="14.1" customHeight="1"/>
    <row r="1565" ht="14.1" customHeight="1"/>
    <row r="1566" ht="14.1" customHeight="1"/>
    <row r="1567" ht="14.1" customHeight="1"/>
    <row r="1568" ht="14.1" customHeight="1"/>
    <row r="1569" ht="14.1" customHeight="1"/>
    <row r="1570" ht="14.1" customHeight="1"/>
    <row r="1571" ht="14.1" customHeight="1"/>
    <row r="1572" ht="14.1" customHeight="1"/>
    <row r="1573" ht="14.1" customHeight="1"/>
    <row r="1574" ht="14.1" customHeight="1"/>
    <row r="1575" ht="14.1" customHeight="1"/>
    <row r="1576" ht="14.1" customHeight="1"/>
    <row r="1577" ht="14.1" customHeight="1"/>
    <row r="1578" ht="14.1" customHeight="1"/>
    <row r="1579" ht="14.1" customHeight="1"/>
    <row r="1580" ht="14.1" customHeight="1"/>
    <row r="1581" ht="14.1" customHeight="1"/>
    <row r="1582" ht="14.1" customHeight="1"/>
    <row r="1583" ht="14.1" customHeight="1"/>
    <row r="1584" ht="14.1" customHeight="1"/>
    <row r="1585" ht="14.1" customHeight="1"/>
    <row r="1586" ht="14.1" customHeight="1"/>
    <row r="1587" ht="14.1" customHeight="1"/>
    <row r="1588" ht="14.1" customHeight="1"/>
    <row r="1589" ht="14.1" customHeight="1"/>
    <row r="1590" ht="14.1" customHeight="1"/>
    <row r="1591" ht="14.1" customHeight="1"/>
    <row r="1592" ht="14.1" customHeight="1"/>
    <row r="1593" ht="14.1" customHeight="1"/>
    <row r="1594" ht="14.1" customHeight="1"/>
    <row r="1595" ht="14.1" customHeight="1"/>
    <row r="1596" ht="14.1" customHeight="1"/>
    <row r="1597" ht="14.1" customHeight="1"/>
    <row r="1598" ht="14.1" customHeight="1"/>
    <row r="1599" ht="14.1" customHeight="1"/>
    <row r="1600" ht="14.1" customHeight="1"/>
    <row r="1601" ht="14.1" customHeight="1"/>
    <row r="1602" ht="14.1" customHeight="1"/>
    <row r="1603" ht="14.1" customHeight="1"/>
    <row r="1604" ht="14.1" customHeight="1"/>
    <row r="1605" ht="14.1" customHeight="1"/>
    <row r="1606" ht="14.1" customHeight="1"/>
    <row r="1607" ht="14.1" customHeight="1"/>
    <row r="1608" ht="14.1" customHeight="1"/>
    <row r="1609" ht="14.1" customHeight="1"/>
    <row r="1610" ht="14.1" customHeight="1"/>
    <row r="1611" ht="14.1" customHeight="1"/>
    <row r="1612" ht="14.1" customHeight="1"/>
    <row r="1613" ht="14.1" customHeight="1"/>
    <row r="1614" ht="14.1" customHeight="1"/>
    <row r="1615" ht="14.1" customHeight="1"/>
    <row r="1616" ht="14.1" customHeight="1"/>
    <row r="1617" ht="14.1" customHeight="1"/>
    <row r="1618" ht="14.1" customHeight="1"/>
    <row r="1619" ht="14.1" customHeight="1"/>
    <row r="1620" ht="14.1" customHeight="1"/>
    <row r="1621" ht="14.1" customHeight="1"/>
    <row r="1622" ht="14.1" customHeight="1"/>
    <row r="1623" ht="14.1" customHeight="1"/>
    <row r="1624" ht="14.1" customHeight="1"/>
    <row r="1625" ht="14.1" customHeight="1"/>
    <row r="1626" ht="14.1" customHeight="1"/>
    <row r="1627" ht="14.1" customHeight="1"/>
    <row r="1628" ht="14.1" customHeight="1"/>
    <row r="1629" ht="14.1" customHeight="1"/>
    <row r="1630" ht="14.1" customHeight="1"/>
    <row r="1631" ht="14.1" customHeight="1"/>
    <row r="1632" ht="14.1" customHeight="1"/>
    <row r="1633" ht="14.1" customHeight="1"/>
    <row r="1634" ht="14.1" customHeight="1"/>
    <row r="1635" ht="14.1" customHeight="1"/>
    <row r="1636" ht="14.1" customHeight="1"/>
    <row r="1637" ht="14.1" customHeight="1"/>
    <row r="1638" ht="14.1" customHeight="1"/>
    <row r="1639" ht="14.1" customHeight="1"/>
    <row r="1640" ht="14.1" customHeight="1"/>
    <row r="1641" ht="14.1" customHeight="1"/>
    <row r="1642" ht="14.1" customHeight="1"/>
    <row r="1643" ht="14.1" customHeight="1"/>
    <row r="1644" ht="14.1" customHeight="1"/>
    <row r="1645" ht="14.1" customHeight="1"/>
    <row r="1646" ht="14.1" customHeight="1"/>
    <row r="1647" ht="14.1" customHeight="1"/>
    <row r="1648" ht="14.1" customHeight="1"/>
    <row r="1649" ht="14.1" customHeight="1"/>
    <row r="1650" ht="14.1" customHeight="1"/>
    <row r="1651" ht="14.1" customHeight="1"/>
    <row r="1652" ht="14.1" customHeight="1"/>
    <row r="1653" ht="14.1" customHeight="1"/>
    <row r="1654" ht="14.1" customHeight="1"/>
    <row r="1655" ht="14.1" customHeight="1"/>
    <row r="1656" ht="14.1" customHeight="1"/>
    <row r="1657" ht="14.1" customHeight="1"/>
    <row r="1658" ht="14.1" customHeight="1"/>
    <row r="1659" ht="14.1" customHeight="1"/>
    <row r="1660" ht="14.1" customHeight="1"/>
    <row r="1661" ht="14.1" customHeight="1"/>
    <row r="1662" ht="14.1" customHeight="1"/>
    <row r="1663" ht="14.1" customHeight="1"/>
    <row r="1664" ht="14.1" customHeight="1"/>
    <row r="1665" ht="14.1" customHeight="1"/>
    <row r="1666" ht="14.1" customHeight="1"/>
    <row r="1667" ht="14.1" customHeight="1"/>
    <row r="1668" ht="14.1" customHeight="1"/>
    <row r="1669" ht="14.1" customHeight="1"/>
    <row r="1670" ht="14.1" customHeight="1"/>
    <row r="1671" ht="14.1" customHeight="1"/>
    <row r="1672" ht="14.1" customHeight="1"/>
    <row r="1673" ht="14.1" customHeight="1"/>
    <row r="1674" ht="14.1" customHeight="1"/>
    <row r="1675" ht="14.1" customHeight="1"/>
    <row r="1676" ht="14.1" customHeight="1"/>
    <row r="1677" ht="14.1" customHeight="1"/>
    <row r="1678" ht="14.1" customHeight="1"/>
    <row r="1679" ht="14.1" customHeight="1"/>
    <row r="1680" ht="14.1" customHeight="1"/>
    <row r="1681" ht="14.1" customHeight="1"/>
    <row r="1682" ht="14.1" customHeight="1"/>
    <row r="1683" ht="14.1" customHeight="1"/>
    <row r="1684" ht="14.1" customHeight="1"/>
    <row r="1685" ht="14.1" customHeight="1"/>
    <row r="1686" ht="14.1" customHeight="1"/>
    <row r="1687" ht="14.1" customHeight="1"/>
    <row r="1688" ht="14.1" customHeight="1"/>
    <row r="1689" ht="14.1" customHeight="1"/>
    <row r="1690" ht="14.1" customHeight="1"/>
    <row r="1691" ht="14.1" customHeight="1"/>
    <row r="1692" ht="14.1" customHeight="1"/>
    <row r="1693" ht="14.1" customHeight="1"/>
    <row r="1694" ht="14.1" customHeight="1"/>
    <row r="1695" ht="14.1" customHeight="1"/>
    <row r="1696" ht="14.1" customHeight="1"/>
    <row r="1697" ht="14.1" customHeight="1"/>
    <row r="1698" ht="14.1" customHeight="1"/>
    <row r="1699" ht="14.1" customHeight="1"/>
    <row r="1700" ht="14.1" customHeight="1"/>
    <row r="1701" ht="14.1" customHeight="1"/>
    <row r="1702" ht="14.1" customHeight="1"/>
    <row r="1703" ht="14.1" customHeight="1"/>
    <row r="1704" ht="14.1" customHeight="1"/>
    <row r="1705" ht="14.1" customHeight="1"/>
    <row r="1706" ht="14.1" customHeight="1"/>
    <row r="1707" ht="14.1" customHeight="1"/>
    <row r="1708" ht="14.1" customHeight="1"/>
    <row r="1709" ht="14.1" customHeight="1"/>
    <row r="1710" ht="14.1" customHeight="1"/>
    <row r="1711" ht="14.1" customHeight="1"/>
    <row r="1712" ht="14.1" customHeight="1"/>
    <row r="1713" ht="14.1" customHeight="1"/>
    <row r="1714" ht="14.1" customHeight="1"/>
    <row r="1715" ht="14.1" customHeight="1"/>
    <row r="1716" ht="14.1" customHeight="1"/>
    <row r="1717" ht="14.1" customHeight="1"/>
    <row r="1718" ht="14.1" customHeight="1"/>
    <row r="1719" ht="14.1" customHeight="1"/>
    <row r="1720" ht="14.1" customHeight="1"/>
    <row r="1721" ht="14.1" customHeight="1"/>
    <row r="1722" ht="14.1" customHeight="1"/>
    <row r="1723" ht="14.1" customHeight="1"/>
    <row r="1724" ht="14.1" customHeight="1"/>
    <row r="1725" ht="14.1" customHeight="1"/>
    <row r="1726" ht="14.1" customHeight="1"/>
    <row r="1727" ht="14.1" customHeight="1"/>
    <row r="1728" ht="14.1" customHeight="1"/>
    <row r="1729" ht="14.1" customHeight="1"/>
    <row r="1730" ht="14.1" customHeight="1"/>
    <row r="1731" ht="14.1" customHeight="1"/>
    <row r="1732" ht="14.1" customHeight="1"/>
    <row r="1733" ht="14.1" customHeight="1"/>
    <row r="1734" ht="14.1" customHeight="1"/>
    <row r="1735" ht="14.1" customHeight="1"/>
    <row r="1736" ht="14.1" customHeight="1"/>
    <row r="1737" ht="14.1" customHeight="1"/>
    <row r="1738" ht="14.1" customHeight="1"/>
    <row r="1739" ht="14.1" customHeight="1"/>
    <row r="1740" ht="14.1" customHeight="1"/>
    <row r="1741" ht="14.1" customHeight="1"/>
    <row r="1742" ht="14.1" customHeight="1"/>
    <row r="1743" ht="14.1" customHeight="1"/>
    <row r="1744" ht="14.1" customHeight="1"/>
    <row r="1745" ht="14.1" customHeight="1"/>
    <row r="1746" ht="14.1" customHeight="1"/>
    <row r="1747" ht="14.1" customHeight="1"/>
    <row r="1748" ht="14.1" customHeight="1"/>
    <row r="1749" ht="14.1" customHeight="1"/>
    <row r="1750" ht="14.1" customHeight="1"/>
    <row r="1751" ht="14.1" customHeight="1"/>
    <row r="1752" ht="14.1" customHeight="1"/>
    <row r="1753" ht="14.1" customHeight="1"/>
    <row r="1754" ht="14.1" customHeight="1"/>
    <row r="1755" ht="14.1" customHeight="1"/>
    <row r="1756" ht="14.1" customHeight="1"/>
    <row r="1757" ht="14.1" customHeight="1"/>
    <row r="1758" ht="14.1" customHeight="1"/>
    <row r="1759" ht="14.1" customHeight="1"/>
    <row r="1760" ht="14.1" customHeight="1"/>
    <row r="1761" ht="14.1" customHeight="1"/>
    <row r="1762" ht="14.1" customHeight="1"/>
    <row r="1763" ht="14.1" customHeight="1"/>
    <row r="1764" ht="14.1" customHeight="1"/>
    <row r="1765" ht="14.1" customHeight="1"/>
    <row r="1766" ht="14.1" customHeight="1"/>
    <row r="1767" ht="14.1" customHeight="1"/>
    <row r="1768" ht="14.1" customHeight="1"/>
    <row r="1769" ht="14.1" customHeight="1"/>
    <row r="1770" ht="14.1" customHeight="1"/>
    <row r="1771" ht="14.1" customHeight="1"/>
    <row r="1772" ht="14.1" customHeight="1"/>
    <row r="1773" ht="14.1" customHeight="1"/>
    <row r="1774" ht="14.1" customHeight="1"/>
    <row r="1775" ht="14.1" customHeight="1"/>
    <row r="1776" ht="14.1" customHeight="1"/>
    <row r="1777" ht="14.1" customHeight="1"/>
    <row r="1778" ht="14.1" customHeight="1"/>
    <row r="1779" ht="14.1" customHeight="1"/>
    <row r="1780" ht="14.1" customHeight="1"/>
    <row r="1781" ht="14.1" customHeight="1"/>
    <row r="1782" ht="14.1" customHeight="1"/>
    <row r="1783" ht="14.1" customHeight="1"/>
    <row r="1784" ht="14.1" customHeight="1"/>
    <row r="1785" ht="14.1" customHeight="1"/>
    <row r="1786" ht="14.1" customHeight="1"/>
    <row r="1787" ht="14.1" customHeight="1"/>
    <row r="1788" ht="14.1" customHeight="1"/>
    <row r="1789" ht="14.1" customHeight="1"/>
    <row r="1790" ht="14.1" customHeight="1"/>
    <row r="1791" ht="14.1" customHeight="1"/>
    <row r="1792" ht="14.1" customHeight="1"/>
    <row r="1793" ht="14.1" customHeight="1"/>
    <row r="1794" ht="14.1" customHeight="1"/>
    <row r="1795" ht="14.1" customHeight="1"/>
    <row r="1796" ht="14.1" customHeight="1"/>
    <row r="1797" ht="14.1" customHeight="1"/>
    <row r="1798" ht="14.1" customHeight="1"/>
    <row r="1799" ht="14.1" customHeight="1"/>
    <row r="1800" ht="14.1" customHeight="1"/>
    <row r="1801" ht="14.1" customHeight="1"/>
    <row r="1802" ht="14.1" customHeight="1"/>
    <row r="1803" ht="14.1" customHeight="1"/>
    <row r="1804" ht="14.1" customHeight="1"/>
    <row r="1805" ht="14.1" customHeight="1"/>
    <row r="1806" ht="14.1" customHeight="1"/>
    <row r="1807" ht="14.1" customHeight="1"/>
    <row r="1808" ht="14.1" customHeight="1"/>
    <row r="1809" ht="14.1" customHeight="1"/>
    <row r="1810" ht="14.1" customHeight="1"/>
    <row r="1811" ht="14.1" customHeight="1"/>
    <row r="1812" ht="14.1" customHeight="1"/>
    <row r="1813" ht="14.1" customHeight="1"/>
    <row r="1814" ht="14.1" customHeight="1"/>
    <row r="1815" ht="14.1" customHeight="1"/>
    <row r="1816" ht="14.1" customHeight="1"/>
    <row r="1817" ht="14.1" customHeight="1"/>
    <row r="1818" ht="14.1" customHeight="1"/>
    <row r="1819" ht="14.1" customHeight="1"/>
    <row r="1820" ht="14.1" customHeight="1"/>
    <row r="1821" ht="14.1" customHeight="1"/>
    <row r="1822" ht="14.1" customHeight="1"/>
    <row r="1823" ht="14.1" customHeight="1"/>
    <row r="1824" ht="14.1" customHeight="1"/>
    <row r="1825" ht="14.1" customHeight="1"/>
    <row r="1826" ht="14.1" customHeight="1"/>
    <row r="1827" ht="14.1" customHeight="1"/>
    <row r="1828" ht="14.1" customHeight="1"/>
    <row r="1829" ht="14.1" customHeight="1"/>
    <row r="1830" ht="14.1" customHeight="1"/>
    <row r="1831" ht="14.1" customHeight="1"/>
    <row r="1832" ht="14.1" customHeight="1"/>
    <row r="1833" ht="14.1" customHeight="1"/>
    <row r="1834" ht="14.1" customHeight="1"/>
    <row r="1835" ht="14.1" customHeight="1"/>
    <row r="1836" ht="14.1" customHeight="1"/>
    <row r="1837" ht="14.1" customHeight="1"/>
    <row r="1838" ht="14.1" customHeight="1"/>
    <row r="1839" ht="14.1" customHeight="1"/>
    <row r="1840" ht="14.1" customHeight="1"/>
    <row r="1841" ht="14.1" customHeight="1"/>
    <row r="1842" ht="14.1" customHeight="1"/>
    <row r="1843" ht="14.1" customHeight="1"/>
    <row r="1844" ht="14.1" customHeight="1"/>
    <row r="1845" ht="14.1" customHeight="1"/>
    <row r="1846" ht="14.1" customHeight="1"/>
    <row r="1847" ht="14.1" customHeight="1"/>
    <row r="1848" ht="14.1" customHeight="1"/>
    <row r="1849" ht="14.1" customHeight="1"/>
    <row r="1850" ht="14.1" customHeight="1"/>
    <row r="1851" ht="14.1" customHeight="1"/>
    <row r="1852" ht="14.1" customHeight="1"/>
    <row r="1853" ht="14.1" customHeight="1"/>
    <row r="1854" ht="14.1" customHeight="1"/>
    <row r="1855" ht="14.1" customHeight="1"/>
    <row r="1856" ht="14.1" customHeight="1"/>
    <row r="1857" ht="14.1" customHeight="1"/>
    <row r="1858" ht="14.1" customHeight="1"/>
    <row r="1859" ht="14.1" customHeight="1"/>
    <row r="1860" ht="14.1" customHeight="1"/>
    <row r="1861" ht="14.1" customHeight="1"/>
    <row r="1862" ht="14.1" customHeight="1"/>
    <row r="1863" ht="14.1" customHeight="1"/>
    <row r="1864" ht="14.1" customHeight="1"/>
    <row r="1865" ht="14.1" customHeight="1"/>
    <row r="1866" ht="14.1" customHeight="1"/>
    <row r="1867" ht="14.1" customHeight="1"/>
    <row r="1868" ht="14.1" customHeight="1"/>
    <row r="1869" ht="14.1" customHeight="1"/>
    <row r="1870" ht="14.1" customHeight="1"/>
    <row r="1871" ht="14.1" customHeight="1"/>
    <row r="1872" ht="14.1" customHeight="1"/>
    <row r="1873" ht="14.1" customHeight="1"/>
    <row r="1874" ht="14.1" customHeight="1"/>
    <row r="1875" ht="14.1" customHeight="1"/>
    <row r="1876" ht="14.1" customHeight="1"/>
    <row r="1877" ht="14.1" customHeight="1"/>
    <row r="1878" ht="14.1" customHeight="1"/>
    <row r="1879" ht="14.1" customHeight="1"/>
    <row r="1880" ht="14.1" customHeight="1"/>
    <row r="1881" ht="14.1" customHeight="1"/>
    <row r="1882" ht="14.1" customHeight="1"/>
    <row r="1883" ht="14.1" customHeight="1"/>
    <row r="1884" ht="14.1" customHeight="1"/>
    <row r="1885" ht="14.1" customHeight="1"/>
    <row r="1886" ht="14.1" customHeight="1"/>
    <row r="1887" ht="14.1" customHeight="1"/>
    <row r="1888" ht="14.1" customHeight="1"/>
    <row r="1889" ht="14.1" customHeight="1"/>
    <row r="1890" ht="14.1" customHeight="1"/>
    <row r="1891" ht="14.1" customHeight="1"/>
    <row r="1892" ht="14.1" customHeight="1"/>
    <row r="1893" ht="14.1" customHeight="1"/>
    <row r="1894" ht="14.1" customHeight="1"/>
    <row r="1895" ht="14.1" customHeight="1"/>
    <row r="1896" ht="14.1" customHeight="1"/>
    <row r="1897" ht="14.1" customHeight="1"/>
    <row r="1898" ht="14.1" customHeight="1"/>
    <row r="1899" ht="14.1" customHeight="1"/>
    <row r="1900" ht="14.1" customHeight="1"/>
    <row r="1901" ht="14.1" customHeight="1"/>
    <row r="1902" ht="14.1" customHeight="1"/>
    <row r="1903" ht="14.1" customHeight="1"/>
    <row r="1904" ht="14.1" customHeight="1"/>
    <row r="1905" ht="14.1" customHeight="1"/>
    <row r="1906" ht="14.1" customHeight="1"/>
    <row r="1907" ht="14.1" customHeight="1"/>
    <row r="1908" ht="14.1" customHeight="1"/>
    <row r="1909" ht="14.1" customHeight="1"/>
    <row r="1910" ht="14.1" customHeight="1"/>
    <row r="1911" ht="14.1" customHeight="1"/>
    <row r="1912" ht="14.1" customHeight="1"/>
    <row r="1913" ht="14.1" customHeight="1"/>
    <row r="1914" ht="14.1" customHeight="1"/>
    <row r="1915" ht="14.1" customHeight="1"/>
    <row r="1916" ht="14.1" customHeight="1"/>
    <row r="1917" ht="14.1" customHeight="1"/>
    <row r="1918" ht="14.1" customHeight="1"/>
    <row r="1919" ht="14.1" customHeight="1"/>
    <row r="1920" ht="14.1" customHeight="1"/>
    <row r="1921" ht="14.1" customHeight="1"/>
    <row r="1922" ht="14.1" customHeight="1"/>
    <row r="1923" ht="14.1" customHeight="1"/>
    <row r="1924" ht="14.1" customHeight="1"/>
    <row r="1925" ht="14.1" customHeight="1"/>
    <row r="1926" ht="14.1" customHeight="1"/>
    <row r="1927" ht="14.1" customHeight="1"/>
    <row r="1928" ht="14.1" customHeight="1"/>
    <row r="1929" ht="14.1" customHeight="1"/>
    <row r="1930" ht="14.1" customHeight="1"/>
    <row r="1931" ht="14.1" customHeight="1"/>
    <row r="1932" ht="14.1" customHeight="1"/>
    <row r="1933" ht="14.1" customHeight="1"/>
    <row r="1934" ht="14.1" customHeight="1"/>
    <row r="1935" ht="14.1" customHeight="1"/>
    <row r="1936" ht="14.1" customHeight="1"/>
    <row r="1937" ht="14.1" customHeight="1"/>
    <row r="1938" ht="14.1" customHeight="1"/>
    <row r="1939" ht="14.1" customHeight="1"/>
    <row r="1940" ht="14.1" customHeight="1"/>
    <row r="1941" ht="14.1" customHeight="1"/>
    <row r="1942" ht="14.1" customHeight="1"/>
    <row r="1943" ht="14.1" customHeight="1"/>
    <row r="1944" ht="14.1" customHeight="1"/>
    <row r="1945" ht="14.1" customHeight="1"/>
    <row r="1946" ht="14.1" customHeight="1"/>
    <row r="1947" ht="14.1" customHeight="1"/>
    <row r="1948" ht="14.1" customHeight="1"/>
    <row r="1949" ht="14.1" customHeight="1"/>
    <row r="1950" ht="14.1" customHeight="1"/>
    <row r="1951" ht="14.1" customHeight="1"/>
    <row r="1952" ht="14.1" customHeight="1"/>
    <row r="1953" ht="14.1" customHeight="1"/>
    <row r="1954" ht="14.1" customHeight="1"/>
    <row r="1955" ht="14.1" customHeight="1"/>
    <row r="1956" ht="14.1" customHeight="1"/>
    <row r="1957" ht="14.1" customHeight="1"/>
    <row r="1958" ht="14.1" customHeight="1"/>
    <row r="1959" ht="14.1" customHeight="1"/>
    <row r="1960" ht="14.1" customHeight="1"/>
    <row r="1961" ht="14.1" customHeight="1"/>
    <row r="1962" ht="14.1" customHeight="1"/>
    <row r="1963" ht="14.1" customHeight="1"/>
    <row r="1964" ht="14.1" customHeight="1"/>
    <row r="1965" ht="14.1" customHeight="1"/>
    <row r="1966" ht="14.1" customHeight="1"/>
    <row r="1967" ht="14.1" customHeight="1"/>
    <row r="1968" ht="14.1" customHeight="1"/>
    <row r="1969" ht="14.1" customHeight="1"/>
    <row r="1970" ht="14.1" customHeight="1"/>
    <row r="1971" ht="14.1" customHeight="1"/>
    <row r="1972" ht="14.1" customHeight="1"/>
    <row r="1973" ht="14.1" customHeight="1"/>
    <row r="1974" ht="14.1" customHeight="1"/>
    <row r="1975" ht="14.1" customHeight="1"/>
    <row r="1976" ht="14.1" customHeight="1"/>
    <row r="1977" ht="14.1" customHeight="1"/>
    <row r="1978" ht="14.1" customHeight="1"/>
    <row r="1979" ht="14.1" customHeight="1"/>
    <row r="1980" ht="14.1" customHeight="1"/>
    <row r="1981" ht="14.1" customHeight="1"/>
    <row r="1982" ht="14.1" customHeight="1"/>
    <row r="1983" ht="14.1" customHeight="1"/>
    <row r="1984" ht="14.1" customHeight="1"/>
    <row r="1985" ht="14.1" customHeight="1"/>
    <row r="1986" ht="14.1" customHeight="1"/>
    <row r="1987" ht="14.1" customHeight="1"/>
    <row r="1988" ht="14.1" customHeight="1"/>
    <row r="1989" ht="14.1" customHeight="1"/>
    <row r="1990" ht="14.1" customHeight="1"/>
    <row r="1991" ht="14.1" customHeight="1"/>
    <row r="1992" ht="14.1" customHeight="1"/>
    <row r="1993" ht="14.1" customHeight="1"/>
    <row r="1994" ht="14.1" customHeight="1"/>
    <row r="1995" ht="14.1" customHeight="1"/>
    <row r="1996" ht="14.1" customHeight="1"/>
    <row r="1997" ht="14.1" customHeight="1"/>
    <row r="1998" ht="14.1" customHeight="1"/>
    <row r="1999" ht="14.1" customHeight="1"/>
    <row r="2000" ht="14.1" customHeight="1"/>
    <row r="2001" ht="14.1" customHeight="1"/>
    <row r="2002" ht="14.1" customHeight="1"/>
    <row r="2003" ht="14.1" customHeight="1"/>
    <row r="2004" ht="14.1" customHeight="1"/>
    <row r="2005" ht="14.1" customHeight="1"/>
    <row r="2006" ht="14.1" customHeight="1"/>
    <row r="2007" ht="14.1" customHeight="1"/>
    <row r="2008" ht="14.1" customHeight="1"/>
    <row r="2009" ht="14.1" customHeight="1"/>
    <row r="2010" ht="14.1" customHeight="1"/>
    <row r="2011" ht="14.1" customHeight="1"/>
    <row r="2012" ht="14.1" customHeight="1"/>
    <row r="2013" ht="14.1" customHeight="1"/>
    <row r="2014" ht="14.1" customHeight="1"/>
    <row r="2015" ht="14.1" customHeight="1"/>
    <row r="2016" ht="14.1" customHeight="1"/>
    <row r="2017" ht="14.1" customHeight="1"/>
    <row r="2018" ht="14.1" customHeight="1"/>
    <row r="2019" ht="14.1" customHeight="1"/>
    <row r="2020" ht="14.1" customHeight="1"/>
    <row r="2021" ht="14.1" customHeight="1"/>
    <row r="2022" ht="14.1" customHeight="1"/>
    <row r="2023" ht="14.1" customHeight="1"/>
    <row r="2024" ht="14.1" customHeight="1"/>
    <row r="2025" ht="14.1" customHeight="1"/>
    <row r="2026" ht="14.1" customHeight="1"/>
    <row r="2027" ht="14.1" customHeight="1"/>
    <row r="2028" ht="14.1" customHeight="1"/>
    <row r="2029" ht="14.1" customHeight="1"/>
    <row r="2030" ht="14.1" customHeight="1"/>
    <row r="2031" ht="14.1" customHeight="1"/>
    <row r="2032" ht="14.1" customHeight="1"/>
    <row r="2033" ht="14.1" customHeight="1"/>
    <row r="2034" ht="14.1" customHeight="1"/>
    <row r="2035" ht="14.1" customHeight="1"/>
    <row r="2036" ht="14.1" customHeight="1"/>
    <row r="2037" ht="14.1" customHeight="1"/>
    <row r="2038" ht="14.1" customHeight="1"/>
    <row r="2039" ht="14.1" customHeight="1"/>
    <row r="2040" ht="14.1" customHeight="1"/>
    <row r="2041" ht="14.1" customHeight="1"/>
    <row r="2042" ht="14.1" customHeight="1"/>
    <row r="2043" ht="14.1" customHeight="1"/>
    <row r="2044" ht="14.1" customHeight="1"/>
    <row r="2045" ht="14.1" customHeight="1"/>
    <row r="2046" ht="14.1" customHeight="1"/>
    <row r="2047" ht="14.1" customHeight="1"/>
    <row r="2048" ht="14.1" customHeight="1"/>
    <row r="2049" ht="14.1" customHeight="1"/>
    <row r="2050" ht="14.1" customHeight="1"/>
    <row r="2051" ht="14.1" customHeight="1"/>
    <row r="2052" ht="14.1" customHeight="1"/>
    <row r="2053" ht="14.1" customHeight="1"/>
    <row r="2054" ht="14.1" customHeight="1"/>
    <row r="2055" ht="14.1" customHeight="1"/>
    <row r="2056" ht="14.1" customHeight="1"/>
    <row r="2057" ht="14.1" customHeight="1"/>
    <row r="2058" ht="14.1" customHeight="1"/>
    <row r="2059" ht="14.1" customHeight="1"/>
    <row r="2060" ht="14.1" customHeight="1"/>
    <row r="2061" ht="14.1" customHeight="1"/>
    <row r="2062" ht="14.1" customHeight="1"/>
    <row r="2063" ht="14.1" customHeight="1"/>
    <row r="2064" ht="14.1" customHeight="1"/>
    <row r="2065" ht="14.1" customHeight="1"/>
    <row r="2066" ht="14.1" customHeight="1"/>
    <row r="2067" ht="14.1" customHeight="1"/>
    <row r="2068" ht="14.1" customHeight="1"/>
    <row r="2069" ht="14.1" customHeight="1"/>
    <row r="2070" ht="14.1" customHeight="1"/>
    <row r="2071" ht="14.1" customHeight="1"/>
    <row r="2072" ht="14.1" customHeight="1"/>
    <row r="2073" ht="14.1" customHeight="1"/>
    <row r="2074" ht="14.1" customHeight="1"/>
    <row r="2075" ht="14.1" customHeight="1"/>
    <row r="2076" ht="14.1" customHeight="1"/>
    <row r="2077" ht="14.1" customHeight="1"/>
    <row r="2078" ht="14.1" customHeight="1"/>
    <row r="2079" ht="14.1" customHeight="1"/>
    <row r="2080" ht="14.1" customHeight="1"/>
    <row r="2081" ht="14.1" customHeight="1"/>
    <row r="2082" ht="14.1" customHeight="1"/>
    <row r="2083" ht="14.1" customHeight="1"/>
    <row r="2084" ht="14.1" customHeight="1"/>
    <row r="2085" ht="14.1" customHeight="1"/>
    <row r="2086" ht="14.1" customHeight="1"/>
    <row r="2087" ht="14.1" customHeight="1"/>
    <row r="2088" ht="14.1" customHeight="1"/>
    <row r="2089" ht="14.1" customHeight="1"/>
    <row r="2090" ht="14.1" customHeight="1"/>
    <row r="2091" ht="14.1" customHeight="1"/>
    <row r="2092" ht="14.1" customHeight="1"/>
    <row r="2093" ht="14.1" customHeight="1"/>
    <row r="2094" ht="14.1" customHeight="1"/>
    <row r="2095" ht="14.1" customHeight="1"/>
    <row r="2096" ht="14.1" customHeight="1"/>
    <row r="2097" ht="14.1" customHeight="1"/>
    <row r="2098" ht="14.1" customHeight="1"/>
    <row r="2099" ht="14.1" customHeight="1"/>
    <row r="2100" ht="14.1" customHeight="1"/>
    <row r="2101" ht="14.1" customHeight="1"/>
    <row r="2102" ht="14.1" customHeight="1"/>
    <row r="2103" ht="14.1" customHeight="1"/>
    <row r="2104" ht="14.1" customHeight="1"/>
    <row r="2105" ht="14.1" customHeight="1"/>
    <row r="2106" ht="14.1" customHeight="1"/>
    <row r="2107" ht="14.1" customHeight="1"/>
    <row r="2108" ht="14.1" customHeight="1"/>
    <row r="2109" ht="14.1" customHeight="1"/>
    <row r="2110" ht="14.1" customHeight="1"/>
    <row r="2111" ht="14.1" customHeight="1"/>
    <row r="2112" ht="14.1" customHeight="1"/>
    <row r="2113" ht="14.1" customHeight="1"/>
    <row r="2114" ht="14.1" customHeight="1"/>
    <row r="2115" ht="14.1" customHeight="1"/>
    <row r="2116" ht="14.1" customHeight="1"/>
    <row r="2117" ht="14.1" customHeight="1"/>
    <row r="2118" ht="14.1" customHeight="1"/>
    <row r="2119" ht="14.1" customHeight="1"/>
    <row r="2120" ht="14.1" customHeight="1"/>
    <row r="2121" ht="14.1" customHeight="1"/>
    <row r="2122" ht="14.1" customHeight="1"/>
    <row r="2123" ht="14.1" customHeight="1"/>
    <row r="2124" ht="14.1" customHeight="1"/>
    <row r="2125" ht="14.1" customHeight="1"/>
    <row r="2126" ht="14.1" customHeight="1"/>
    <row r="2127" ht="14.1" customHeight="1"/>
    <row r="2128" ht="14.1" customHeight="1"/>
    <row r="2129" ht="14.1" customHeight="1"/>
    <row r="2130" ht="14.1" customHeight="1"/>
    <row r="2131" ht="14.1" customHeight="1"/>
    <row r="2132" ht="14.1" customHeight="1"/>
    <row r="2133" ht="14.1" customHeight="1"/>
    <row r="2134" ht="14.1" customHeight="1"/>
    <row r="2135" ht="14.1" customHeight="1"/>
    <row r="2136" ht="14.1" customHeight="1"/>
    <row r="2137" ht="14.1" customHeight="1"/>
    <row r="2138" ht="14.1" customHeight="1"/>
    <row r="2139" ht="14.1" customHeight="1"/>
    <row r="2140" ht="14.1" customHeight="1"/>
    <row r="2141" ht="14.1" customHeight="1"/>
    <row r="2142" ht="14.1" customHeight="1"/>
    <row r="2143" ht="14.1" customHeight="1"/>
    <row r="2144" ht="14.1" customHeight="1"/>
    <row r="2145" ht="14.1" customHeight="1"/>
    <row r="2146" ht="14.1" customHeight="1"/>
    <row r="2147" ht="14.1" customHeight="1"/>
    <row r="2148" ht="14.1" customHeight="1"/>
    <row r="2149" ht="14.1" customHeight="1"/>
    <row r="2150" ht="14.1" customHeight="1"/>
    <row r="2151" ht="14.1" customHeight="1"/>
    <row r="2152" ht="14.1" customHeight="1"/>
    <row r="2153" ht="14.1" customHeight="1"/>
    <row r="2154" ht="14.1" customHeight="1"/>
    <row r="2155" ht="14.1" customHeight="1"/>
    <row r="2156" ht="14.1" customHeight="1"/>
    <row r="2157" ht="14.1" customHeight="1"/>
    <row r="2158" ht="14.1" customHeight="1"/>
    <row r="2159" ht="14.1" customHeight="1"/>
    <row r="2160" ht="14.1" customHeight="1"/>
    <row r="2161" ht="14.1" customHeight="1"/>
    <row r="2162" ht="14.1" customHeight="1"/>
    <row r="2163" ht="14.1" customHeight="1"/>
    <row r="2164" ht="14.1" customHeight="1"/>
    <row r="2165" ht="14.1" customHeight="1"/>
    <row r="2166" ht="14.1" customHeight="1"/>
    <row r="2167" ht="14.1" customHeight="1"/>
    <row r="2168" ht="14.1" customHeight="1"/>
    <row r="2169" ht="14.1" customHeight="1"/>
    <row r="2170" ht="14.1" customHeight="1"/>
    <row r="2171" ht="14.1" customHeight="1"/>
    <row r="2172" ht="14.1" customHeight="1"/>
    <row r="2173" ht="14.1" customHeight="1"/>
    <row r="2174" ht="14.1" customHeight="1"/>
    <row r="2175" ht="14.1" customHeight="1"/>
    <row r="2176" ht="14.1" customHeight="1"/>
    <row r="2177" ht="14.1" customHeight="1"/>
    <row r="2178" ht="14.1" customHeight="1"/>
    <row r="2179" ht="14.1" customHeight="1"/>
    <row r="2180" ht="14.1" customHeight="1"/>
    <row r="2181" ht="14.1" customHeight="1"/>
    <row r="2182" ht="14.1" customHeight="1"/>
    <row r="2183" ht="14.1" customHeight="1"/>
    <row r="2184" ht="14.1" customHeight="1"/>
    <row r="2185" ht="14.1" customHeight="1"/>
    <row r="2186" ht="14.1" customHeight="1"/>
    <row r="2187" ht="14.1" customHeight="1"/>
    <row r="2188" ht="14.1" customHeight="1"/>
    <row r="2189" ht="14.1" customHeight="1"/>
    <row r="2190" ht="14.1" customHeight="1"/>
    <row r="2191" ht="14.1" customHeight="1"/>
    <row r="2192" ht="14.1" customHeight="1"/>
    <row r="2193" ht="14.1" customHeight="1"/>
    <row r="2194" ht="14.1" customHeight="1"/>
    <row r="2195" ht="14.1" customHeight="1"/>
    <row r="2196" ht="14.1" customHeight="1"/>
    <row r="2197" ht="14.1" customHeight="1"/>
    <row r="2198" ht="14.1" customHeight="1"/>
    <row r="2199" ht="14.1" customHeight="1"/>
    <row r="2200" ht="14.1" customHeight="1"/>
    <row r="2201" ht="14.1" customHeight="1"/>
    <row r="2202" ht="14.1" customHeight="1"/>
    <row r="2203" ht="14.1" customHeight="1"/>
    <row r="2204" ht="14.1" customHeight="1"/>
    <row r="2205" ht="14.1" customHeight="1"/>
    <row r="2206" ht="14.1" customHeight="1"/>
    <row r="2207" ht="14.1" customHeight="1"/>
    <row r="2208" ht="14.1" customHeight="1"/>
    <row r="2209" ht="14.1" customHeight="1"/>
    <row r="2210" ht="14.1" customHeight="1"/>
    <row r="2211" ht="14.1" customHeight="1"/>
    <row r="2212" ht="14.1" customHeight="1"/>
    <row r="2213" ht="14.1" customHeight="1"/>
    <row r="2214" ht="14.1" customHeight="1"/>
    <row r="2215" ht="14.1" customHeight="1"/>
    <row r="2216" ht="14.1" customHeight="1"/>
    <row r="2217" ht="14.1" customHeight="1"/>
    <row r="2218" ht="14.1" customHeight="1"/>
    <row r="2219" ht="14.1" customHeight="1"/>
    <row r="2220" ht="14.1" customHeight="1"/>
    <row r="2221" ht="14.1" customHeight="1"/>
    <row r="2222" ht="14.1" customHeight="1"/>
    <row r="2223" ht="14.1" customHeight="1"/>
    <row r="2224" ht="14.1" customHeight="1"/>
    <row r="2225" ht="14.1" customHeight="1"/>
    <row r="2226" ht="14.1" customHeight="1"/>
    <row r="2227" ht="14.1" customHeight="1"/>
    <row r="2228" ht="14.1" customHeight="1"/>
    <row r="2229" ht="14.1" customHeight="1"/>
    <row r="2230" ht="14.1" customHeight="1"/>
    <row r="2231" ht="14.1" customHeight="1"/>
    <row r="2232" ht="14.1" customHeight="1"/>
    <row r="2233" ht="14.1" customHeight="1"/>
    <row r="2234" ht="14.1" customHeight="1"/>
    <row r="2235" ht="14.1" customHeight="1"/>
    <row r="2236" ht="14.1" customHeight="1"/>
    <row r="2237" ht="14.1" customHeight="1"/>
    <row r="2238" ht="14.1" customHeight="1"/>
    <row r="2239" ht="14.1" customHeight="1"/>
    <row r="2240" ht="14.1" customHeight="1"/>
    <row r="2241" ht="14.1" customHeight="1"/>
    <row r="2242" ht="14.1" customHeight="1"/>
    <row r="2243" ht="14.1" customHeight="1"/>
    <row r="2244" ht="14.1" customHeight="1"/>
    <row r="2245" ht="14.1" customHeight="1"/>
    <row r="2246" ht="14.1" customHeight="1"/>
    <row r="2247" ht="14.1" customHeight="1"/>
    <row r="2248" ht="14.1" customHeight="1"/>
    <row r="2249" ht="14.1" customHeight="1"/>
    <row r="2250" ht="14.1" customHeight="1"/>
    <row r="2251" ht="14.1" customHeight="1"/>
    <row r="2252" ht="14.1" customHeight="1"/>
    <row r="2253" ht="14.1" customHeight="1"/>
    <row r="2254" ht="14.1" customHeight="1"/>
    <row r="2255" ht="14.1" customHeight="1"/>
    <row r="2256" ht="14.1" customHeight="1"/>
    <row r="2257" ht="14.1" customHeight="1"/>
    <row r="2258" ht="14.1" customHeight="1"/>
    <row r="2259" ht="14.1" customHeight="1"/>
    <row r="2260" ht="14.1" customHeight="1"/>
    <row r="2261" ht="14.1" customHeight="1"/>
    <row r="2262" ht="14.1" customHeight="1"/>
    <row r="2263" ht="14.1" customHeight="1"/>
    <row r="2264" ht="14.1" customHeight="1"/>
    <row r="2265" ht="14.1" customHeight="1"/>
    <row r="2266" ht="14.1" customHeight="1"/>
    <row r="2267" ht="14.1" customHeight="1"/>
    <row r="2268" ht="14.1" customHeight="1"/>
    <row r="2269" ht="14.1" customHeight="1"/>
    <row r="2270" ht="14.1" customHeight="1"/>
    <row r="2271" ht="14.1" customHeight="1"/>
    <row r="2272" ht="14.1" customHeight="1"/>
    <row r="2273" ht="14.1" customHeight="1"/>
    <row r="2274" ht="14.1" customHeight="1"/>
    <row r="2275" ht="14.1" customHeight="1"/>
    <row r="2276" ht="14.1" customHeight="1"/>
    <row r="2277" ht="14.1" customHeight="1"/>
    <row r="2278" ht="14.1" customHeight="1"/>
    <row r="2279" ht="14.1" customHeight="1"/>
    <row r="2280" ht="14.1" customHeight="1"/>
    <row r="2281" ht="14.1" customHeight="1"/>
    <row r="2282" ht="14.1" customHeight="1"/>
    <row r="2283" ht="14.1" customHeight="1"/>
    <row r="2284" ht="14.1" customHeight="1"/>
    <row r="2285" ht="14.1" customHeight="1"/>
    <row r="2286" ht="14.1" customHeight="1"/>
    <row r="2287" ht="14.1" customHeight="1"/>
    <row r="2288" ht="14.1" customHeight="1"/>
    <row r="2289" ht="14.1" customHeight="1"/>
    <row r="2290" ht="14.1" customHeight="1"/>
    <row r="2291" ht="14.1" customHeight="1"/>
    <row r="2292" ht="14.1" customHeight="1"/>
    <row r="2293" ht="14.1" customHeight="1"/>
    <row r="2294" ht="14.1" customHeight="1"/>
    <row r="2295" ht="14.1" customHeight="1"/>
    <row r="2296" ht="14.1" customHeight="1"/>
    <row r="2297" ht="14.1" customHeight="1"/>
    <row r="2298" ht="14.1" customHeight="1"/>
    <row r="2299" ht="14.1" customHeight="1"/>
    <row r="2300" ht="14.1" customHeight="1"/>
    <row r="2301" ht="14.1" customHeight="1"/>
    <row r="2302" ht="14.1" customHeight="1"/>
    <row r="2303" ht="14.1" customHeight="1"/>
    <row r="2304" ht="14.1" customHeight="1"/>
    <row r="2305" ht="14.1" customHeight="1"/>
    <row r="2306" ht="14.1" customHeight="1"/>
    <row r="2307" ht="14.1" customHeight="1"/>
    <row r="2308" ht="14.1" customHeight="1"/>
    <row r="2309" ht="14.1" customHeight="1"/>
    <row r="2310" ht="14.1" customHeight="1"/>
    <row r="2311" ht="14.1" customHeight="1"/>
    <row r="2312" ht="14.1" customHeight="1"/>
    <row r="2313" ht="14.1" customHeight="1"/>
    <row r="2314" ht="14.1" customHeight="1"/>
    <row r="2315" ht="14.1" customHeight="1"/>
    <row r="2316" ht="14.1" customHeight="1"/>
    <row r="2317" ht="14.1" customHeight="1"/>
    <row r="2318" ht="14.1" customHeight="1"/>
    <row r="2319" ht="14.1" customHeight="1"/>
    <row r="2320" ht="14.1" customHeight="1"/>
    <row r="2321" ht="14.1" customHeight="1"/>
    <row r="2322" ht="14.1" customHeight="1"/>
    <row r="2323" ht="14.1" customHeight="1"/>
    <row r="2324" ht="14.1" customHeight="1"/>
    <row r="2325" ht="14.1" customHeight="1"/>
    <row r="2326" ht="14.1" customHeight="1"/>
    <row r="2327" ht="14.1" customHeight="1"/>
    <row r="2328" ht="14.1" customHeight="1"/>
    <row r="2329" ht="14.1" customHeight="1"/>
    <row r="2330" ht="14.1" customHeight="1"/>
    <row r="2331" ht="14.1" customHeight="1"/>
    <row r="2332" ht="14.1" customHeight="1"/>
    <row r="2333" ht="14.1" customHeight="1"/>
    <row r="2334" ht="14.1" customHeight="1"/>
    <row r="2335" ht="14.1" customHeight="1"/>
    <row r="2336" ht="14.1" customHeight="1"/>
    <row r="2337" ht="14.1" customHeight="1"/>
    <row r="2338" ht="14.1" customHeight="1"/>
    <row r="2339" ht="14.1" customHeight="1"/>
    <row r="2340" ht="14.1" customHeight="1"/>
    <row r="2341" ht="14.1" customHeight="1"/>
    <row r="2342" ht="14.1" customHeight="1"/>
    <row r="2343" ht="14.1" customHeight="1"/>
    <row r="2344" ht="14.1" customHeight="1"/>
    <row r="2345" ht="14.1" customHeight="1"/>
    <row r="2346" ht="14.1" customHeight="1"/>
    <row r="2347" ht="14.1" customHeight="1"/>
    <row r="2348" ht="14.1" customHeight="1"/>
    <row r="2349" ht="14.1" customHeight="1"/>
    <row r="2350" ht="14.1" customHeight="1"/>
    <row r="2351" ht="14.1" customHeight="1"/>
    <row r="2352" ht="14.1" customHeight="1"/>
    <row r="2353" ht="14.1" customHeight="1"/>
    <row r="2354" ht="14.1" customHeight="1"/>
    <row r="2355" ht="14.1" customHeight="1"/>
    <row r="2356" ht="14.1" customHeight="1"/>
    <row r="2357" ht="14.1" customHeight="1"/>
    <row r="2358" ht="14.1" customHeight="1"/>
    <row r="2359" ht="14.1" customHeight="1"/>
    <row r="2360" ht="14.1" customHeight="1"/>
    <row r="2361" ht="14.1" customHeight="1"/>
    <row r="2362" ht="14.1" customHeight="1"/>
    <row r="2363" ht="14.1" customHeight="1"/>
    <row r="2364" ht="14.1" customHeight="1"/>
    <row r="2365" ht="14.1" customHeight="1"/>
    <row r="2366" ht="14.1" customHeight="1"/>
    <row r="2367" ht="14.1" customHeight="1"/>
    <row r="2368" ht="14.1" customHeight="1"/>
    <row r="2369" ht="14.1" customHeight="1"/>
    <row r="2370" ht="14.1" customHeight="1"/>
    <row r="2371" ht="14.1" customHeight="1"/>
    <row r="2372" ht="14.1" customHeight="1"/>
    <row r="2373" ht="14.1" customHeight="1"/>
    <row r="2374" ht="14.1" customHeight="1"/>
    <row r="2375" ht="14.1" customHeight="1"/>
    <row r="2376" ht="14.1" customHeight="1"/>
    <row r="2377" ht="14.1" customHeight="1"/>
    <row r="2378" ht="14.1" customHeight="1"/>
    <row r="2379" ht="14.1" customHeight="1"/>
    <row r="2380" ht="14.1" customHeight="1"/>
    <row r="2381" ht="14.1" customHeight="1"/>
    <row r="2382" ht="14.1" customHeight="1"/>
    <row r="2383" ht="14.1" customHeight="1"/>
    <row r="2384" ht="14.1" customHeight="1"/>
    <row r="2385" ht="14.1" customHeight="1"/>
    <row r="2386" ht="14.1" customHeight="1"/>
    <row r="2387" ht="14.1" customHeight="1"/>
    <row r="2388" ht="14.1" customHeight="1"/>
    <row r="2389" ht="14.1" customHeight="1"/>
    <row r="2390" ht="14.1" customHeight="1"/>
    <row r="2391" ht="14.1" customHeight="1"/>
    <row r="2392" ht="14.1" customHeight="1"/>
    <row r="2393" ht="14.1" customHeight="1"/>
    <row r="2394" ht="14.1" customHeight="1"/>
    <row r="2395" ht="14.1" customHeight="1"/>
    <row r="2396" ht="14.1" customHeight="1"/>
    <row r="2397" ht="14.1" customHeight="1"/>
    <row r="2398" ht="14.1" customHeight="1"/>
    <row r="2399" ht="14.1" customHeight="1"/>
    <row r="2400" ht="14.1" customHeight="1"/>
    <row r="2401" ht="14.1" customHeight="1"/>
    <row r="2402" ht="14.1" customHeight="1"/>
    <row r="2403" ht="14.1" customHeight="1"/>
    <row r="2404" ht="14.1" customHeight="1"/>
    <row r="2405" ht="14.1" customHeight="1"/>
    <row r="2406" ht="14.1" customHeight="1"/>
    <row r="2407" ht="14.1" customHeight="1"/>
    <row r="2408" ht="14.1" customHeight="1"/>
    <row r="2409" ht="14.1" customHeight="1"/>
    <row r="2410" ht="14.1" customHeight="1"/>
    <row r="2411" ht="14.1" customHeight="1"/>
    <row r="2412" ht="14.1" customHeight="1"/>
    <row r="2413" ht="14.1" customHeight="1"/>
    <row r="2414" ht="14.1" customHeight="1"/>
    <row r="2415" ht="14.1" customHeight="1"/>
    <row r="2416" ht="14.1" customHeight="1"/>
    <row r="2417" ht="14.1" customHeight="1"/>
    <row r="2418" ht="14.1" customHeight="1"/>
    <row r="2419" ht="14.1" customHeight="1"/>
    <row r="2420" ht="14.1" customHeight="1"/>
    <row r="2421" ht="14.1" customHeight="1"/>
    <row r="2422" ht="14.1" customHeight="1"/>
    <row r="2423" ht="14.1" customHeight="1"/>
    <row r="2424" ht="14.1" customHeight="1"/>
    <row r="2425" ht="14.1" customHeight="1"/>
    <row r="2426" ht="14.1" customHeight="1"/>
    <row r="2427" ht="14.1" customHeight="1"/>
    <row r="2428" ht="14.1" customHeight="1"/>
    <row r="2429" ht="14.1" customHeight="1"/>
    <row r="2430" ht="14.1" customHeight="1"/>
    <row r="2431" ht="14.1" customHeight="1"/>
    <row r="2432" ht="14.1" customHeight="1"/>
    <row r="2433" ht="14.1" customHeight="1"/>
    <row r="2434" ht="14.1" customHeight="1"/>
    <row r="2435" ht="14.1" customHeight="1"/>
    <row r="2436" ht="14.1" customHeight="1"/>
    <row r="2437" ht="14.1" customHeight="1"/>
    <row r="2438" ht="14.1" customHeight="1"/>
    <row r="2439" ht="14.1" customHeight="1"/>
    <row r="2440" ht="14.1" customHeight="1"/>
    <row r="2441" ht="14.1" customHeight="1"/>
    <row r="2442" ht="14.1" customHeight="1"/>
    <row r="2443" ht="14.1" customHeight="1"/>
    <row r="2444" ht="14.1" customHeight="1"/>
    <row r="2445" ht="14.1" customHeight="1"/>
    <row r="2446" ht="14.1" customHeight="1"/>
    <row r="2447" ht="14.1" customHeight="1"/>
    <row r="2448" ht="14.1" customHeight="1"/>
    <row r="2449" ht="14.1" customHeight="1"/>
    <row r="2450" ht="14.1" customHeight="1"/>
    <row r="2451" ht="14.1" customHeight="1"/>
    <row r="2452" ht="14.1" customHeight="1"/>
    <row r="2453" ht="14.1" customHeight="1"/>
    <row r="2454" ht="14.1" customHeight="1"/>
    <row r="2455" ht="14.1" customHeight="1"/>
    <row r="2456" ht="14.1" customHeight="1"/>
    <row r="2457" ht="14.1" customHeight="1"/>
    <row r="2458" ht="14.1" customHeight="1"/>
    <row r="2459" ht="14.1" customHeight="1"/>
    <row r="2460" ht="14.1" customHeight="1"/>
    <row r="2461" ht="14.1" customHeight="1"/>
    <row r="2462" ht="14.1" customHeight="1"/>
    <row r="2463" ht="14.1" customHeight="1"/>
    <row r="2464" ht="14.1" customHeight="1"/>
    <row r="2465" ht="14.1" customHeight="1"/>
    <row r="2466" ht="14.1" customHeight="1"/>
    <row r="2467" ht="14.1" customHeight="1"/>
    <row r="2468" ht="14.1" customHeight="1"/>
    <row r="2469" ht="14.1" customHeight="1"/>
    <row r="2470" ht="14.1" customHeight="1"/>
    <row r="2471" ht="14.1" customHeight="1"/>
    <row r="2472" ht="14.1" customHeight="1"/>
    <row r="2473" ht="14.1" customHeight="1"/>
    <row r="2474" ht="14.1" customHeight="1"/>
    <row r="2475" ht="14.1" customHeight="1"/>
    <row r="2476" ht="14.1" customHeight="1"/>
    <row r="2477" ht="14.1" customHeight="1"/>
    <row r="2478" ht="14.1" customHeight="1"/>
    <row r="2479" ht="14.1" customHeight="1"/>
    <row r="2480" ht="14.1" customHeight="1"/>
    <row r="2481" ht="14.1" customHeight="1"/>
    <row r="2482" ht="14.1" customHeight="1"/>
    <row r="2483" ht="14.1" customHeight="1"/>
    <row r="2484" ht="14.1" customHeight="1"/>
    <row r="2485" ht="14.1" customHeight="1"/>
    <row r="2486" ht="14.1" customHeight="1"/>
    <row r="2487" ht="14.1" customHeight="1"/>
    <row r="2488" ht="14.1" customHeight="1"/>
    <row r="2489" ht="14.1" customHeight="1"/>
    <row r="2490" ht="14.1" customHeight="1"/>
    <row r="2491" ht="14.1" customHeight="1"/>
    <row r="2492" ht="14.1" customHeight="1"/>
    <row r="2493" ht="14.1" customHeight="1"/>
    <row r="2494" ht="14.1" customHeight="1"/>
    <row r="2495" ht="14.1" customHeight="1"/>
    <row r="2496" ht="14.1" customHeight="1"/>
    <row r="2497" ht="14.1" customHeight="1"/>
    <row r="2498" ht="14.1" customHeight="1"/>
    <row r="2499" ht="14.1" customHeight="1"/>
    <row r="2500" ht="14.1" customHeight="1"/>
    <row r="2501" ht="14.1" customHeight="1"/>
    <row r="2502" ht="14.1" customHeight="1"/>
    <row r="2503" ht="14.1" customHeight="1"/>
    <row r="2504" ht="14.1" customHeight="1"/>
    <row r="2505" ht="14.1" customHeight="1"/>
    <row r="2506" ht="14.1" customHeight="1"/>
    <row r="2507" ht="14.1" customHeight="1"/>
    <row r="2508" ht="14.1" customHeight="1"/>
    <row r="2509" ht="14.1" customHeight="1"/>
    <row r="2510" ht="14.1" customHeight="1"/>
    <row r="2511" ht="14.1" customHeight="1"/>
    <row r="2512" ht="14.1" customHeight="1"/>
    <row r="2513" ht="14.1" customHeight="1"/>
    <row r="2514" ht="14.1" customHeight="1"/>
    <row r="2515" ht="14.1" customHeight="1"/>
    <row r="2516" ht="14.1" customHeight="1"/>
    <row r="2517" ht="14.1" customHeight="1"/>
    <row r="2518" ht="14.1" customHeight="1"/>
    <row r="2519" ht="14.1" customHeight="1"/>
    <row r="2520" ht="14.1" customHeight="1"/>
    <row r="2521" ht="14.1" customHeight="1"/>
    <row r="2522" ht="14.1" customHeight="1"/>
    <row r="2523" ht="14.1" customHeight="1"/>
    <row r="2524" ht="14.1" customHeight="1"/>
    <row r="2525" ht="14.1" customHeight="1"/>
    <row r="2526" ht="14.1" customHeight="1"/>
    <row r="2527" ht="14.1" customHeight="1"/>
    <row r="2528" ht="14.1" customHeight="1"/>
    <row r="2529" ht="14.1" customHeight="1"/>
    <row r="2530" ht="14.1" customHeight="1"/>
    <row r="2531" ht="14.1" customHeight="1"/>
    <row r="2532" ht="14.1" customHeight="1"/>
    <row r="2533" ht="14.1" customHeight="1"/>
    <row r="2534" ht="14.1" customHeight="1"/>
    <row r="2535" ht="14.1" customHeight="1"/>
    <row r="2536" ht="14.1" customHeight="1"/>
    <row r="2537" ht="14.1" customHeight="1"/>
    <row r="2538" ht="14.1" customHeight="1"/>
    <row r="2539" ht="14.1" customHeight="1"/>
    <row r="2540" ht="14.1" customHeight="1"/>
    <row r="2541" ht="14.1" customHeight="1"/>
    <row r="2542" ht="14.1" customHeight="1"/>
    <row r="2543" ht="14.1" customHeight="1"/>
    <row r="2544" ht="14.1" customHeight="1"/>
    <row r="2545" ht="14.1" customHeight="1"/>
    <row r="2546" ht="14.1" customHeight="1"/>
    <row r="2547" ht="14.1" customHeight="1"/>
    <row r="2548" ht="14.1" customHeight="1"/>
    <row r="2549" ht="14.1" customHeight="1"/>
    <row r="2550" ht="14.1" customHeight="1"/>
    <row r="2551" ht="14.1" customHeight="1"/>
    <row r="2552" ht="14.1" customHeight="1"/>
    <row r="2553" ht="14.1" customHeight="1"/>
    <row r="2554" ht="14.1" customHeight="1"/>
    <row r="2555" ht="14.1" customHeight="1"/>
    <row r="2556" ht="14.1" customHeight="1"/>
    <row r="2557" ht="14.1" customHeight="1"/>
    <row r="2558" ht="14.1" customHeight="1"/>
    <row r="2559" ht="14.1" customHeight="1"/>
    <row r="2560" ht="14.1" customHeight="1"/>
    <row r="2561" ht="14.1" customHeight="1"/>
    <row r="2562" ht="14.1" customHeight="1"/>
    <row r="2563" ht="14.1" customHeight="1"/>
    <row r="2564" ht="14.1" customHeight="1"/>
    <row r="2565" ht="14.1" customHeight="1"/>
    <row r="2566" ht="14.1" customHeight="1"/>
    <row r="2567" ht="14.1" customHeight="1"/>
    <row r="2568" ht="14.1" customHeight="1"/>
    <row r="2569" ht="14.1" customHeight="1"/>
    <row r="2570" ht="14.1" customHeight="1"/>
    <row r="2571" ht="14.1" customHeight="1"/>
    <row r="2572" ht="14.1" customHeight="1"/>
    <row r="2573" ht="14.1" customHeight="1"/>
    <row r="2574" ht="14.1" customHeight="1"/>
    <row r="2575" ht="14.1" customHeight="1"/>
    <row r="2576" ht="14.1" customHeight="1"/>
    <row r="2577" ht="14.1" customHeight="1"/>
    <row r="2578" ht="14.1" customHeight="1"/>
    <row r="2579" ht="14.1" customHeight="1"/>
    <row r="2580" ht="14.1" customHeight="1"/>
    <row r="2581" ht="14.1" customHeight="1"/>
    <row r="2582" ht="14.1" customHeight="1"/>
    <row r="2583" ht="14.1" customHeight="1"/>
    <row r="2584" ht="14.1" customHeight="1"/>
    <row r="2585" ht="14.1" customHeight="1"/>
    <row r="2586" ht="14.1" customHeight="1"/>
    <row r="2587" ht="14.1" customHeight="1"/>
    <row r="2588" ht="14.1" customHeight="1"/>
    <row r="2589" ht="14.1" customHeight="1"/>
    <row r="2590" ht="14.1" customHeight="1"/>
    <row r="2591" ht="14.1" customHeight="1"/>
    <row r="2592" ht="14.1" customHeight="1"/>
    <row r="2593" ht="14.1" customHeight="1"/>
    <row r="2594" ht="14.1" customHeight="1"/>
    <row r="2595" ht="14.1" customHeight="1"/>
    <row r="2596" ht="14.1" customHeight="1"/>
    <row r="2597" ht="14.1" customHeight="1"/>
    <row r="2598" ht="14.1" customHeight="1"/>
    <row r="2599" ht="14.1" customHeight="1"/>
    <row r="2600" ht="14.1" customHeight="1"/>
    <row r="2601" ht="14.1" customHeight="1"/>
    <row r="2602" ht="14.1" customHeight="1"/>
    <row r="2603" ht="14.1" customHeight="1"/>
    <row r="2604" ht="14.1" customHeight="1"/>
    <row r="2605" ht="14.1" customHeight="1"/>
    <row r="2606" ht="14.1" customHeight="1"/>
    <row r="2607" ht="14.1" customHeight="1"/>
    <row r="2608" ht="14.1" customHeight="1"/>
    <row r="2609" ht="14.1" customHeight="1"/>
    <row r="2610" ht="14.1" customHeight="1"/>
    <row r="2611" ht="14.1" customHeight="1"/>
    <row r="2612" ht="14.1" customHeight="1"/>
    <row r="2613" ht="14.1" customHeight="1"/>
    <row r="2614" ht="14.1" customHeight="1"/>
    <row r="2615" ht="14.1" customHeight="1"/>
    <row r="2616" ht="14.1" customHeight="1"/>
    <row r="2617" ht="14.1" customHeight="1"/>
    <row r="2618" ht="14.1" customHeight="1"/>
    <row r="2619" ht="14.1" customHeight="1"/>
    <row r="2620" ht="14.1" customHeight="1"/>
    <row r="2621" ht="14.1" customHeight="1"/>
    <row r="2622" ht="14.1" customHeight="1"/>
    <row r="2623" ht="14.1" customHeight="1"/>
    <row r="2624" ht="14.1" customHeight="1"/>
    <row r="2625" ht="14.1" customHeight="1"/>
    <row r="2626" ht="14.1" customHeight="1"/>
    <row r="2627" ht="14.1" customHeight="1"/>
    <row r="2628" ht="14.1" customHeight="1"/>
    <row r="2629" ht="14.1" customHeight="1"/>
    <row r="2630" ht="14.1" customHeight="1"/>
    <row r="2631" ht="14.1" customHeight="1"/>
    <row r="2632" ht="14.1" customHeight="1"/>
    <row r="2633" ht="14.1" customHeight="1"/>
    <row r="2634" ht="14.1" customHeight="1"/>
    <row r="2635" ht="14.1" customHeight="1"/>
    <row r="2636" ht="14.1" customHeight="1"/>
    <row r="2637" ht="14.1" customHeight="1"/>
    <row r="2638" ht="14.1" customHeight="1"/>
    <row r="2639" ht="14.1" customHeight="1"/>
    <row r="2640" ht="14.1" customHeight="1"/>
    <row r="2641" ht="14.1" customHeight="1"/>
    <row r="2642" ht="14.1" customHeight="1"/>
    <row r="2643" ht="14.1" customHeight="1"/>
    <row r="2644" ht="14.1" customHeight="1"/>
    <row r="2645" ht="14.1" customHeight="1"/>
    <row r="2646" ht="14.1" customHeight="1"/>
    <row r="2647" ht="14.1" customHeight="1"/>
    <row r="2648" ht="14.1" customHeight="1"/>
    <row r="2649" ht="14.1" customHeight="1"/>
    <row r="2650" ht="14.1" customHeight="1"/>
    <row r="2651" ht="14.1" customHeight="1"/>
    <row r="2652" ht="14.1" customHeight="1"/>
    <row r="2653" ht="14.1" customHeight="1"/>
    <row r="2654" ht="14.1" customHeight="1"/>
    <row r="2655" ht="14.1" customHeight="1"/>
    <row r="2656" ht="14.1" customHeight="1"/>
    <row r="2657" ht="14.1" customHeight="1"/>
    <row r="2658" ht="14.1" customHeight="1"/>
    <row r="2659" ht="14.1" customHeight="1"/>
    <row r="2660" ht="14.1" customHeight="1"/>
    <row r="2661" ht="14.1" customHeight="1"/>
    <row r="2662" ht="14.1" customHeight="1"/>
    <row r="2663" ht="14.1" customHeight="1"/>
    <row r="2664" ht="14.1" customHeight="1"/>
    <row r="2665" ht="14.1" customHeight="1"/>
    <row r="2666" ht="14.1" customHeight="1"/>
    <row r="2667" ht="14.1" customHeight="1"/>
    <row r="2668" ht="14.1" customHeight="1"/>
    <row r="2669" ht="14.1" customHeight="1"/>
    <row r="2670" ht="14.1" customHeight="1"/>
    <row r="2671" ht="14.1" customHeight="1"/>
    <row r="2672" ht="14.1" customHeight="1"/>
    <row r="2673" ht="14.1" customHeight="1"/>
    <row r="2674" ht="14.1" customHeight="1"/>
    <row r="2675" ht="14.1" customHeight="1"/>
    <row r="2676" ht="14.1" customHeight="1"/>
    <row r="2677" ht="14.1" customHeight="1"/>
    <row r="2678" ht="14.1" customHeight="1"/>
    <row r="2679" ht="14.1" customHeight="1"/>
    <row r="2680" ht="14.1" customHeight="1"/>
    <row r="2681" ht="14.1" customHeight="1"/>
    <row r="2682" ht="14.1" customHeight="1"/>
    <row r="2683" ht="14.1" customHeight="1"/>
    <row r="2684" ht="14.1" customHeight="1"/>
    <row r="2685" ht="14.1" customHeight="1"/>
    <row r="2686" ht="14.1" customHeight="1"/>
    <row r="2687" ht="14.1" customHeight="1"/>
    <row r="2688" ht="14.1" customHeight="1"/>
    <row r="2689" ht="14.1" customHeight="1"/>
    <row r="2690" ht="14.1" customHeight="1"/>
    <row r="2691" ht="14.1" customHeight="1"/>
    <row r="2692" ht="14.1" customHeight="1"/>
    <row r="2693" ht="14.1" customHeight="1"/>
    <row r="2694" ht="14.1" customHeight="1"/>
    <row r="2695" ht="14.1" customHeight="1"/>
    <row r="2696" ht="14.1" customHeight="1"/>
    <row r="2697" ht="14.1" customHeight="1"/>
    <row r="2698" ht="14.1" customHeight="1"/>
    <row r="2699" ht="14.1" customHeight="1"/>
    <row r="2700" ht="14.1" customHeight="1"/>
    <row r="2701" ht="14.1" customHeight="1"/>
    <row r="2702" ht="14.1" customHeight="1"/>
    <row r="2703" ht="14.1" customHeight="1"/>
    <row r="2704" ht="14.1" customHeight="1"/>
    <row r="2705" ht="14.1" customHeight="1"/>
    <row r="2706" ht="14.1" customHeight="1"/>
    <row r="2707" ht="14.1" customHeight="1"/>
    <row r="2708" ht="14.1" customHeight="1"/>
    <row r="2709" ht="14.1" customHeight="1"/>
    <row r="2710" ht="14.1" customHeight="1"/>
    <row r="2711" ht="14.1" customHeight="1"/>
    <row r="2712" ht="14.1" customHeight="1"/>
    <row r="2713" ht="14.1" customHeight="1"/>
    <row r="2714" ht="14.1" customHeight="1"/>
    <row r="2715" ht="14.1" customHeight="1"/>
    <row r="2716" ht="14.1" customHeight="1"/>
    <row r="2717" ht="14.1" customHeight="1"/>
    <row r="2718" ht="14.1" customHeight="1"/>
    <row r="2719" ht="14.1" customHeight="1"/>
    <row r="2720" ht="14.1" customHeight="1"/>
    <row r="2721" ht="14.1" customHeight="1"/>
    <row r="2722" ht="14.1" customHeight="1"/>
    <row r="2723" ht="14.1" customHeight="1"/>
    <row r="2724" ht="14.1" customHeight="1"/>
    <row r="2725" ht="14.1" customHeight="1"/>
    <row r="2726" ht="14.1" customHeight="1"/>
    <row r="2727" ht="14.1" customHeight="1"/>
    <row r="2728" ht="14.1" customHeight="1"/>
    <row r="2729" ht="14.1" customHeight="1"/>
    <row r="2730" ht="14.1" customHeight="1"/>
    <row r="2731" ht="14.1" customHeight="1"/>
    <row r="2732" ht="14.1" customHeight="1"/>
    <row r="2733" ht="14.1" customHeight="1"/>
    <row r="2734" ht="14.1" customHeight="1"/>
    <row r="2735" ht="14.1" customHeight="1"/>
    <row r="2736" ht="14.1" customHeight="1"/>
    <row r="2737" ht="14.1" customHeight="1"/>
    <row r="2738" ht="14.1" customHeight="1"/>
    <row r="2739" ht="14.1" customHeight="1"/>
    <row r="2740" ht="14.1" customHeight="1"/>
    <row r="2741" ht="14.1" customHeight="1"/>
    <row r="2742" ht="14.1" customHeight="1"/>
    <row r="2743" ht="14.1" customHeight="1"/>
    <row r="2744" ht="14.1" customHeight="1"/>
    <row r="2745" ht="14.1" customHeight="1"/>
    <row r="2746" ht="14.1" customHeight="1"/>
    <row r="2747" ht="14.1" customHeight="1"/>
    <row r="2748" ht="14.1" customHeight="1"/>
    <row r="2749" ht="14.1" customHeight="1"/>
    <row r="2750" ht="14.1" customHeight="1"/>
    <row r="2751" ht="14.1" customHeight="1"/>
    <row r="2752" ht="14.1" customHeight="1"/>
    <row r="2753" ht="14.1" customHeight="1"/>
    <row r="2754" ht="14.1" customHeight="1"/>
    <row r="2755" ht="14.1" customHeight="1"/>
    <row r="2756" ht="14.1" customHeight="1"/>
    <row r="2757" ht="14.1" customHeight="1"/>
    <row r="2758" ht="14.1" customHeight="1"/>
    <row r="2759" ht="14.1" customHeight="1"/>
    <row r="2760" ht="14.1" customHeight="1"/>
    <row r="2761" ht="14.1" customHeight="1"/>
    <row r="2762" ht="14.1" customHeight="1"/>
    <row r="2763" ht="14.1" customHeight="1"/>
    <row r="2764" ht="14.1" customHeight="1"/>
    <row r="2765" ht="14.1" customHeight="1"/>
    <row r="2766" ht="14.1" customHeight="1"/>
    <row r="2767" ht="14.1" customHeight="1"/>
    <row r="2768" ht="14.1" customHeight="1"/>
    <row r="2769" ht="14.1" customHeight="1"/>
    <row r="2770" ht="14.1" customHeight="1"/>
    <row r="2771" ht="14.1" customHeight="1"/>
    <row r="2772" ht="14.1" customHeight="1"/>
    <row r="2773" ht="14.1" customHeight="1"/>
    <row r="2774" ht="14.1" customHeight="1"/>
    <row r="2775" ht="14.1" customHeight="1"/>
    <row r="2776" ht="14.1" customHeight="1"/>
    <row r="2777" ht="14.1" customHeight="1"/>
    <row r="2778" ht="14.1" customHeight="1"/>
    <row r="2779" ht="14.1" customHeight="1"/>
    <row r="2780" ht="14.1" customHeight="1"/>
    <row r="2781" ht="14.1" customHeight="1"/>
    <row r="2782" ht="14.1" customHeight="1"/>
    <row r="2783" ht="14.1" customHeight="1"/>
    <row r="2784" ht="14.1" customHeight="1"/>
    <row r="2785" ht="14.1" customHeight="1"/>
    <row r="2786" ht="14.1" customHeight="1"/>
    <row r="2787" ht="14.1" customHeight="1"/>
    <row r="2788" ht="14.1" customHeight="1"/>
    <row r="2789" ht="14.1" customHeight="1"/>
    <row r="2790" ht="14.1" customHeight="1"/>
    <row r="2791" ht="14.1" customHeight="1"/>
    <row r="2792" ht="14.1" customHeight="1"/>
    <row r="2793" ht="14.1" customHeight="1"/>
    <row r="2794" ht="14.1" customHeight="1"/>
  </sheetData>
  <mergeCells count="185">
    <mergeCell ref="J1425:M1425"/>
    <mergeCell ref="A1418:F1418"/>
    <mergeCell ref="B1294:D1294"/>
    <mergeCell ref="G1294:I1294"/>
    <mergeCell ref="K1294:L1294"/>
    <mergeCell ref="A1297:F1297"/>
    <mergeCell ref="A1334:F1334"/>
    <mergeCell ref="A1375:F1375"/>
    <mergeCell ref="B1286:D1286"/>
    <mergeCell ref="G1286:I1286"/>
    <mergeCell ref="K1286:L1286"/>
    <mergeCell ref="B1293:D1293"/>
    <mergeCell ref="G1293:I1293"/>
    <mergeCell ref="K1293:L1293"/>
    <mergeCell ref="J1304:M1304"/>
    <mergeCell ref="J1341:M1341"/>
    <mergeCell ref="J1382:M1382"/>
    <mergeCell ref="B1211:D1211"/>
    <mergeCell ref="G1211:I1211"/>
    <mergeCell ref="K1211:L1211"/>
    <mergeCell ref="A1215:F1215"/>
    <mergeCell ref="A1250:F1250"/>
    <mergeCell ref="B1285:D1285"/>
    <mergeCell ref="G1285:I1285"/>
    <mergeCell ref="K1285:L1285"/>
    <mergeCell ref="A1126:F1126"/>
    <mergeCell ref="A1167:F1167"/>
    <mergeCell ref="B1210:D1210"/>
    <mergeCell ref="G1210:I1210"/>
    <mergeCell ref="K1210:L1210"/>
    <mergeCell ref="J1133:M1133"/>
    <mergeCell ref="J1174:M1174"/>
    <mergeCell ref="J1222:M1222"/>
    <mergeCell ref="J1257:M1257"/>
    <mergeCell ref="A1044:F1044"/>
    <mergeCell ref="A1083:F1083"/>
    <mergeCell ref="B1121:D1121"/>
    <mergeCell ref="G1121:I1121"/>
    <mergeCell ref="K1121:L1121"/>
    <mergeCell ref="B1122:D1122"/>
    <mergeCell ref="G1122:I1122"/>
    <mergeCell ref="K1122:L1122"/>
    <mergeCell ref="A960:F960"/>
    <mergeCell ref="A999:F999"/>
    <mergeCell ref="B1036:D1036"/>
    <mergeCell ref="G1036:I1036"/>
    <mergeCell ref="K1036:L1036"/>
    <mergeCell ref="B1037:D1037"/>
    <mergeCell ref="G1037:I1037"/>
    <mergeCell ref="K1037:L1037"/>
    <mergeCell ref="J967:M967"/>
    <mergeCell ref="J1006:M1006"/>
    <mergeCell ref="J1051:M1051"/>
    <mergeCell ref="J1090:M1090"/>
    <mergeCell ref="A879:F879"/>
    <mergeCell ref="A916:F916"/>
    <mergeCell ref="B955:D955"/>
    <mergeCell ref="G955:I955"/>
    <mergeCell ref="K955:L955"/>
    <mergeCell ref="B956:D956"/>
    <mergeCell ref="G956:I956"/>
    <mergeCell ref="K956:L956"/>
    <mergeCell ref="B875:D875"/>
    <mergeCell ref="G875:I875"/>
    <mergeCell ref="K875:L875"/>
    <mergeCell ref="B876:D876"/>
    <mergeCell ref="G876:I876"/>
    <mergeCell ref="K876:L876"/>
    <mergeCell ref="J886:M886"/>
    <mergeCell ref="J923:M923"/>
    <mergeCell ref="B867:D867"/>
    <mergeCell ref="G867:I867"/>
    <mergeCell ref="K867:L867"/>
    <mergeCell ref="B868:D868"/>
    <mergeCell ref="G868:I868"/>
    <mergeCell ref="K868:L868"/>
    <mergeCell ref="B792:D792"/>
    <mergeCell ref="G792:I792"/>
    <mergeCell ref="K792:L792"/>
    <mergeCell ref="B793:D793"/>
    <mergeCell ref="G793:I793"/>
    <mergeCell ref="K793:L793"/>
    <mergeCell ref="J804:M804"/>
    <mergeCell ref="J839:M839"/>
    <mergeCell ref="B618:D618"/>
    <mergeCell ref="G618:I618"/>
    <mergeCell ref="K618:L618"/>
    <mergeCell ref="B704:D704"/>
    <mergeCell ref="G704:I704"/>
    <mergeCell ref="K704:L704"/>
    <mergeCell ref="J715:M715"/>
    <mergeCell ref="A797:F797"/>
    <mergeCell ref="A832:F832"/>
    <mergeCell ref="J756:M756"/>
    <mergeCell ref="A708:F708"/>
    <mergeCell ref="A749:F749"/>
    <mergeCell ref="B619:D619"/>
    <mergeCell ref="G619:I619"/>
    <mergeCell ref="K619:L619"/>
    <mergeCell ref="A626:F626"/>
    <mergeCell ref="A665:F665"/>
    <mergeCell ref="B703:D703"/>
    <mergeCell ref="G703:I703"/>
    <mergeCell ref="K703:L703"/>
    <mergeCell ref="J633:M633"/>
    <mergeCell ref="J672:M672"/>
    <mergeCell ref="A463:F463"/>
    <mergeCell ref="A498:F498"/>
    <mergeCell ref="B537:D537"/>
    <mergeCell ref="G537:I537"/>
    <mergeCell ref="K537:L537"/>
    <mergeCell ref="J470:M470"/>
    <mergeCell ref="J505:M505"/>
    <mergeCell ref="J549:M549"/>
    <mergeCell ref="J588:M588"/>
    <mergeCell ref="B538:D538"/>
    <mergeCell ref="G538:I538"/>
    <mergeCell ref="K538:L538"/>
    <mergeCell ref="A542:F542"/>
    <mergeCell ref="A581:F581"/>
    <mergeCell ref="A414:F414"/>
    <mergeCell ref="B451:D451"/>
    <mergeCell ref="G451:I451"/>
    <mergeCell ref="K451:L451"/>
    <mergeCell ref="B452:D452"/>
    <mergeCell ref="G452:I452"/>
    <mergeCell ref="K452:L452"/>
    <mergeCell ref="B410:D410"/>
    <mergeCell ref="G410:I410"/>
    <mergeCell ref="K410:L410"/>
    <mergeCell ref="B411:D411"/>
    <mergeCell ref="G411:I411"/>
    <mergeCell ref="K411:L411"/>
    <mergeCell ref="J421:M421"/>
    <mergeCell ref="B402:D402"/>
    <mergeCell ref="G402:I402"/>
    <mergeCell ref="K402:L402"/>
    <mergeCell ref="B403:D403"/>
    <mergeCell ref="G403:I403"/>
    <mergeCell ref="K403:L403"/>
    <mergeCell ref="B326:D326"/>
    <mergeCell ref="G326:I326"/>
    <mergeCell ref="K326:L326"/>
    <mergeCell ref="B327:D327"/>
    <mergeCell ref="G327:I327"/>
    <mergeCell ref="K327:L327"/>
    <mergeCell ref="J338:M338"/>
    <mergeCell ref="J374:M374"/>
    <mergeCell ref="A120:F120"/>
    <mergeCell ref="B157:D157"/>
    <mergeCell ref="G157:I157"/>
    <mergeCell ref="K157:L157"/>
    <mergeCell ref="J127:M127"/>
    <mergeCell ref="J212:M212"/>
    <mergeCell ref="J255:M255"/>
    <mergeCell ref="A331:F331"/>
    <mergeCell ref="A367:F367"/>
    <mergeCell ref="J290:M290"/>
    <mergeCell ref="B244:D244"/>
    <mergeCell ref="G244:I244"/>
    <mergeCell ref="K244:L244"/>
    <mergeCell ref="A248:F248"/>
    <mergeCell ref="A283:F283"/>
    <mergeCell ref="B158:D158"/>
    <mergeCell ref="G158:I158"/>
    <mergeCell ref="K158:L158"/>
    <mergeCell ref="A165:F165"/>
    <mergeCell ref="A205:F205"/>
    <mergeCell ref="B243:D243"/>
    <mergeCell ref="G243:I243"/>
    <mergeCell ref="K243:L243"/>
    <mergeCell ref="J172:M172"/>
    <mergeCell ref="A1:N2"/>
    <mergeCell ref="A3:F3"/>
    <mergeCell ref="A38:F38"/>
    <mergeCell ref="B77:D77"/>
    <mergeCell ref="G77:I77"/>
    <mergeCell ref="K77:L77"/>
    <mergeCell ref="J10:M10"/>
    <mergeCell ref="J45:M45"/>
    <mergeCell ref="J89:M89"/>
    <mergeCell ref="B78:D78"/>
    <mergeCell ref="G78:I78"/>
    <mergeCell ref="K78:L78"/>
    <mergeCell ref="A82:F82"/>
  </mergeCells>
  <pageMargins left="0.95" right="0.45" top="0.75" bottom="0.5" header="0.3" footer="0.3"/>
  <pageSetup paperSize="9" scale="6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Z1375"/>
  <sheetViews>
    <sheetView view="pageBreakPreview" zoomScale="91" zoomScaleSheetLayoutView="91" workbookViewId="0">
      <selection activeCell="V158" sqref="V158"/>
    </sheetView>
  </sheetViews>
  <sheetFormatPr defaultRowHeight="15"/>
  <cols>
    <col min="1" max="1" width="14.42578125" customWidth="1"/>
    <col min="2" max="2" width="10.42578125" customWidth="1"/>
    <col min="3" max="3" width="9.7109375" customWidth="1"/>
    <col min="4" max="4" width="11.5703125" customWidth="1"/>
    <col min="5" max="5" width="9.7109375" customWidth="1"/>
    <col min="6" max="6" width="8.5703125" customWidth="1"/>
    <col min="7" max="8" width="9.7109375" customWidth="1"/>
    <col min="9" max="9" width="10.85546875" customWidth="1"/>
    <col min="10" max="12" width="9.7109375" customWidth="1"/>
    <col min="13" max="14" width="8.5703125" customWidth="1"/>
    <col min="18" max="18" width="9.28515625" bestFit="1" customWidth="1"/>
    <col min="19" max="25" width="10.28515625" bestFit="1" customWidth="1"/>
  </cols>
  <sheetData>
    <row r="1" spans="1:26" ht="24.75" customHeight="1">
      <c r="A1" s="183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</row>
    <row r="2" spans="1:26" ht="18.75" customHeight="1">
      <c r="A2" s="183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</row>
    <row r="3" spans="1:26" ht="18" customHeight="1">
      <c r="A3" s="164" t="s">
        <v>27</v>
      </c>
      <c r="B3" s="165"/>
      <c r="C3" s="165"/>
      <c r="D3" s="165"/>
      <c r="E3" s="165"/>
      <c r="F3" s="165"/>
      <c r="G3" s="172"/>
      <c r="H3" s="188" t="s">
        <v>28</v>
      </c>
      <c r="I3" s="188"/>
      <c r="J3" s="188"/>
      <c r="K3" s="188"/>
      <c r="L3" s="188"/>
      <c r="M3" s="41"/>
      <c r="N3" s="41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6" ht="18" customHeight="1">
      <c r="A4" s="42" t="s">
        <v>1</v>
      </c>
      <c r="B4" s="138">
        <v>0</v>
      </c>
      <c r="C4" s="138">
        <v>60</v>
      </c>
      <c r="D4" s="48">
        <v>120</v>
      </c>
      <c r="E4" s="137">
        <v>180</v>
      </c>
      <c r="F4" s="138">
        <v>240</v>
      </c>
      <c r="G4" s="48">
        <v>300</v>
      </c>
      <c r="H4" s="137">
        <v>360</v>
      </c>
      <c r="I4" s="138">
        <v>420</v>
      </c>
      <c r="J4" s="48">
        <v>480</v>
      </c>
      <c r="K4" s="137">
        <v>540</v>
      </c>
      <c r="L4" s="138">
        <v>600</v>
      </c>
      <c r="M4" s="48">
        <v>660</v>
      </c>
      <c r="N4" s="137">
        <v>720</v>
      </c>
      <c r="O4" s="138">
        <v>780</v>
      </c>
      <c r="P4" s="45">
        <v>840</v>
      </c>
      <c r="Q4" s="44">
        <v>900</v>
      </c>
      <c r="R4" s="145">
        <v>960</v>
      </c>
      <c r="S4" s="145">
        <v>1020</v>
      </c>
      <c r="T4" s="145">
        <v>1080</v>
      </c>
      <c r="U4" s="145">
        <v>1140</v>
      </c>
      <c r="V4" s="145">
        <v>1200</v>
      </c>
      <c r="W4" s="145">
        <v>1260</v>
      </c>
      <c r="X4" s="145">
        <v>1320</v>
      </c>
      <c r="Y4" s="145">
        <v>1380</v>
      </c>
    </row>
    <row r="5" spans="1:26" ht="18" customHeight="1">
      <c r="A5" s="42" t="s">
        <v>2</v>
      </c>
      <c r="B5" s="44">
        <v>99.8</v>
      </c>
      <c r="C5" s="44">
        <v>99.48</v>
      </c>
      <c r="D5" s="45">
        <v>99.43</v>
      </c>
      <c r="E5" s="45">
        <v>99.32</v>
      </c>
      <c r="F5" s="45">
        <v>99.32</v>
      </c>
      <c r="G5" s="45">
        <v>99.25</v>
      </c>
      <c r="H5" s="45">
        <v>98.89</v>
      </c>
      <c r="I5" s="45">
        <v>98.88</v>
      </c>
      <c r="J5" s="47">
        <v>98.65</v>
      </c>
      <c r="K5" s="45">
        <v>98.41</v>
      </c>
      <c r="L5" s="47">
        <v>98.31</v>
      </c>
      <c r="M5" s="45">
        <v>98.29</v>
      </c>
      <c r="N5" s="45">
        <v>98.29</v>
      </c>
      <c r="O5" s="16">
        <v>98.25</v>
      </c>
      <c r="P5" s="16">
        <v>98.15</v>
      </c>
      <c r="Q5" s="16">
        <v>98.05</v>
      </c>
      <c r="R5" s="147">
        <v>98.01</v>
      </c>
      <c r="S5" s="147">
        <v>97.91</v>
      </c>
      <c r="T5" s="147">
        <v>97.91</v>
      </c>
      <c r="U5" s="147">
        <v>97.9</v>
      </c>
      <c r="V5" s="147">
        <v>97.83</v>
      </c>
      <c r="W5" s="147">
        <v>97.83</v>
      </c>
      <c r="X5" s="147">
        <v>97.55</v>
      </c>
      <c r="Y5" s="147">
        <v>97.77</v>
      </c>
    </row>
    <row r="6" spans="1:26" ht="18" customHeight="1">
      <c r="A6" s="42" t="s">
        <v>1</v>
      </c>
      <c r="B6" s="44">
        <v>0</v>
      </c>
      <c r="C6" s="138">
        <v>60</v>
      </c>
      <c r="D6" s="48">
        <v>120</v>
      </c>
      <c r="E6" s="137">
        <v>180</v>
      </c>
      <c r="F6" s="138">
        <v>240</v>
      </c>
      <c r="G6" s="48">
        <v>300</v>
      </c>
      <c r="H6" s="137">
        <v>360</v>
      </c>
      <c r="I6" s="138">
        <v>420</v>
      </c>
      <c r="J6" s="48">
        <v>480</v>
      </c>
      <c r="K6" s="137">
        <v>540</v>
      </c>
      <c r="L6" s="138">
        <v>600</v>
      </c>
      <c r="M6" s="48">
        <v>660</v>
      </c>
      <c r="N6" s="137">
        <v>720</v>
      </c>
      <c r="O6" s="44">
        <v>780</v>
      </c>
      <c r="P6" s="45">
        <v>840</v>
      </c>
      <c r="Q6" s="44">
        <v>900</v>
      </c>
      <c r="R6" s="145">
        <v>960</v>
      </c>
      <c r="S6" s="145">
        <v>1020</v>
      </c>
      <c r="T6" s="145">
        <v>1080</v>
      </c>
      <c r="U6" s="145">
        <v>1140</v>
      </c>
      <c r="V6" s="145">
        <v>1200</v>
      </c>
      <c r="W6" s="145">
        <v>1260</v>
      </c>
      <c r="X6" s="145">
        <v>1320</v>
      </c>
      <c r="Y6" s="145">
        <v>1380</v>
      </c>
    </row>
    <row r="7" spans="1:26" ht="18" customHeight="1">
      <c r="A7" s="42" t="s">
        <v>3</v>
      </c>
      <c r="B7" s="47">
        <v>99.87</v>
      </c>
      <c r="C7" s="44">
        <v>99.57</v>
      </c>
      <c r="D7" s="45">
        <v>99.65</v>
      </c>
      <c r="E7" s="45">
        <v>99.55</v>
      </c>
      <c r="F7" s="45">
        <v>99.5</v>
      </c>
      <c r="G7" s="45">
        <v>99.58</v>
      </c>
      <c r="H7" s="45">
        <v>99.15</v>
      </c>
      <c r="I7" s="45">
        <v>99.08</v>
      </c>
      <c r="J7" s="47">
        <v>98.95</v>
      </c>
      <c r="K7" s="45">
        <v>98.75</v>
      </c>
      <c r="L7" s="47">
        <v>98.65</v>
      </c>
      <c r="M7" s="45">
        <v>98.68</v>
      </c>
      <c r="N7" s="52">
        <v>98.48</v>
      </c>
      <c r="O7" s="16">
        <v>98.45</v>
      </c>
      <c r="P7" s="16">
        <v>98.35</v>
      </c>
      <c r="Q7" s="16">
        <v>98.22</v>
      </c>
      <c r="R7" s="147">
        <v>98.174999999999997</v>
      </c>
      <c r="S7" s="147">
        <v>98.12</v>
      </c>
      <c r="T7" s="147">
        <v>98.24</v>
      </c>
      <c r="U7" s="147">
        <v>98.22</v>
      </c>
      <c r="V7" s="147">
        <v>98.135000000000005</v>
      </c>
      <c r="W7" s="147">
        <v>98.155000000000001</v>
      </c>
      <c r="X7" s="147">
        <v>98.094999999999999</v>
      </c>
      <c r="Y7" s="147">
        <v>98.02</v>
      </c>
    </row>
    <row r="8" spans="1:26" ht="18" customHeight="1">
      <c r="A8" s="140"/>
      <c r="B8" s="141"/>
      <c r="C8" s="142"/>
      <c r="D8" s="143"/>
      <c r="E8" s="143"/>
      <c r="F8" s="143"/>
      <c r="G8" s="143"/>
      <c r="H8" s="143"/>
      <c r="I8" s="143"/>
      <c r="J8" s="141"/>
      <c r="K8" s="143"/>
      <c r="L8" s="141"/>
      <c r="M8" s="143"/>
      <c r="N8" s="144"/>
      <c r="O8" s="18"/>
    </row>
    <row r="9" spans="1:26" ht="14.1" customHeight="1">
      <c r="A9" s="2"/>
      <c r="B9" s="2"/>
      <c r="C9" s="112"/>
      <c r="D9" s="112"/>
      <c r="E9" s="4"/>
      <c r="F9" s="4"/>
      <c r="G9" s="4"/>
      <c r="H9" s="4"/>
      <c r="I9" s="21"/>
      <c r="J9" s="180"/>
      <c r="K9" s="180"/>
      <c r="L9" s="180"/>
      <c r="M9" s="180"/>
      <c r="N9" s="136"/>
      <c r="O9" s="18"/>
    </row>
    <row r="10" spans="1:26" ht="14.1" customHeight="1">
      <c r="A10" s="6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26" ht="14.1" customHeight="1">
      <c r="A11" s="6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26" ht="14.1" customHeight="1">
      <c r="A12" s="6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26" ht="14.1" customHeight="1">
      <c r="A13" s="6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26" ht="14.1" customHeight="1">
      <c r="A14" s="6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26" ht="14.1" customHeight="1">
      <c r="A15" s="6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26" ht="14.1" customHeight="1">
      <c r="A16" s="6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ht="14.1" customHeight="1">
      <c r="A17" s="6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ht="14.1" customHeight="1">
      <c r="A18" s="6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ht="14.1" customHeight="1">
      <c r="A19" s="6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ht="14.1" customHeight="1">
      <c r="A20" s="6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ht="14.1" customHeight="1">
      <c r="A21" s="6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ht="14.1" customHeight="1">
      <c r="A22" s="6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 ht="14.1" customHeight="1">
      <c r="A23" s="6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 ht="14.1" customHeight="1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ht="14.1" customHeight="1">
      <c r="A25" s="6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ht="14.1" customHeight="1">
      <c r="A26" s="6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ht="14.1" customHeight="1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ht="14.1" customHeight="1">
      <c r="A28" s="6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ht="14.1" customHeight="1">
      <c r="A29" s="6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ht="14.1" customHeight="1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ht="14.1" customHeight="1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ht="14.1" customHeight="1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25" ht="14.1" customHeight="1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25" ht="14.1" customHeight="1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25" ht="18" customHeight="1">
      <c r="A35" s="164" t="s">
        <v>27</v>
      </c>
      <c r="B35" s="165"/>
      <c r="C35" s="165"/>
      <c r="D35" s="165"/>
      <c r="E35" s="165"/>
      <c r="F35" s="165"/>
      <c r="G35" s="172"/>
      <c r="H35" s="188" t="s">
        <v>29</v>
      </c>
      <c r="I35" s="188"/>
      <c r="J35" s="188"/>
      <c r="K35" s="188"/>
      <c r="L35" s="188"/>
      <c r="M35" s="41"/>
      <c r="N35" s="41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8" customHeight="1">
      <c r="A36" s="42" t="s">
        <v>1</v>
      </c>
      <c r="B36" s="138">
        <v>1440</v>
      </c>
      <c r="C36" s="138">
        <v>1500</v>
      </c>
      <c r="D36" s="138">
        <v>1560</v>
      </c>
      <c r="E36" s="138">
        <v>1620</v>
      </c>
      <c r="F36" s="138">
        <v>1680</v>
      </c>
      <c r="G36" s="138">
        <v>1740</v>
      </c>
      <c r="H36" s="138">
        <v>1800</v>
      </c>
      <c r="I36" s="138">
        <v>1860</v>
      </c>
      <c r="J36" s="138">
        <v>1920</v>
      </c>
      <c r="K36" s="138">
        <v>1980</v>
      </c>
      <c r="L36" s="138">
        <v>2040</v>
      </c>
      <c r="M36" s="138">
        <v>2100</v>
      </c>
      <c r="N36" s="138">
        <v>2160</v>
      </c>
      <c r="O36" s="138">
        <v>2220</v>
      </c>
      <c r="P36" s="138">
        <v>2280</v>
      </c>
      <c r="Q36" s="48">
        <v>2340</v>
      </c>
      <c r="R36" s="48">
        <v>2400</v>
      </c>
      <c r="S36" s="48">
        <v>2460</v>
      </c>
      <c r="T36" s="48">
        <v>2520</v>
      </c>
      <c r="U36" s="48">
        <v>2580</v>
      </c>
      <c r="V36" s="48">
        <v>2640</v>
      </c>
      <c r="W36" s="48">
        <v>2700</v>
      </c>
      <c r="X36" s="48">
        <v>2760</v>
      </c>
      <c r="Y36" s="48">
        <v>2820</v>
      </c>
    </row>
    <row r="37" spans="1:25" ht="18" customHeight="1">
      <c r="A37" s="42" t="s">
        <v>2</v>
      </c>
      <c r="B37" s="44">
        <v>97.72</v>
      </c>
      <c r="C37" s="44">
        <v>97.65</v>
      </c>
      <c r="D37" s="45">
        <v>97.61</v>
      </c>
      <c r="E37" s="45">
        <v>97.57</v>
      </c>
      <c r="F37" s="45">
        <v>97.56</v>
      </c>
      <c r="G37" s="45">
        <v>97.55</v>
      </c>
      <c r="H37" s="45">
        <v>97.54</v>
      </c>
      <c r="I37" s="45">
        <v>97.53</v>
      </c>
      <c r="J37" s="47">
        <v>97.41</v>
      </c>
      <c r="K37" s="45">
        <v>97.31</v>
      </c>
      <c r="L37" s="47">
        <v>97.28</v>
      </c>
      <c r="M37" s="45">
        <v>97.26</v>
      </c>
      <c r="N37" s="45">
        <v>97.24</v>
      </c>
      <c r="O37" s="16">
        <v>97.24</v>
      </c>
      <c r="P37" s="16">
        <v>97.23</v>
      </c>
      <c r="Q37" s="146">
        <v>97.22</v>
      </c>
      <c r="R37" s="146">
        <v>97.18</v>
      </c>
      <c r="S37" s="146">
        <v>97.16</v>
      </c>
      <c r="T37" s="146">
        <v>97.11</v>
      </c>
      <c r="U37" s="146">
        <v>97.07</v>
      </c>
      <c r="V37" s="146">
        <v>96.98</v>
      </c>
      <c r="W37" s="146">
        <v>96.89</v>
      </c>
      <c r="X37" s="146">
        <v>96.88</v>
      </c>
      <c r="Y37" s="146">
        <v>96.87</v>
      </c>
    </row>
    <row r="38" spans="1:25" ht="18" customHeight="1">
      <c r="A38" s="42" t="s">
        <v>1</v>
      </c>
      <c r="B38" s="138">
        <v>1440</v>
      </c>
      <c r="C38" s="138">
        <v>1500</v>
      </c>
      <c r="D38" s="138">
        <v>1560</v>
      </c>
      <c r="E38" s="138">
        <v>1620</v>
      </c>
      <c r="F38" s="138">
        <v>1680</v>
      </c>
      <c r="G38" s="138">
        <v>1740</v>
      </c>
      <c r="H38" s="138">
        <v>1800</v>
      </c>
      <c r="I38" s="138">
        <v>1860</v>
      </c>
      <c r="J38" s="138">
        <v>1920</v>
      </c>
      <c r="K38" s="138">
        <v>1980</v>
      </c>
      <c r="L38" s="138">
        <v>2040</v>
      </c>
      <c r="M38" s="138">
        <v>2100</v>
      </c>
      <c r="N38" s="138">
        <v>2160</v>
      </c>
      <c r="O38" s="138">
        <v>2220</v>
      </c>
      <c r="P38" s="138">
        <v>2280</v>
      </c>
      <c r="Q38" s="48">
        <v>2340</v>
      </c>
      <c r="R38" s="48">
        <v>2400</v>
      </c>
      <c r="S38" s="48">
        <v>2460</v>
      </c>
      <c r="T38" s="48">
        <v>2520</v>
      </c>
      <c r="U38" s="48">
        <v>2580</v>
      </c>
      <c r="V38" s="48">
        <v>2640</v>
      </c>
      <c r="W38" s="48">
        <v>2700</v>
      </c>
      <c r="X38" s="48">
        <v>2760</v>
      </c>
      <c r="Y38" s="48">
        <v>2820</v>
      </c>
    </row>
    <row r="39" spans="1:25" ht="18" customHeight="1">
      <c r="A39" s="42" t="s">
        <v>3</v>
      </c>
      <c r="B39" s="47">
        <v>98</v>
      </c>
      <c r="C39" s="44">
        <v>97.935000000000002</v>
      </c>
      <c r="D39" s="45">
        <v>97.83</v>
      </c>
      <c r="E39" s="45">
        <v>97.83</v>
      </c>
      <c r="F39" s="45">
        <v>97.805000000000007</v>
      </c>
      <c r="G39" s="45">
        <v>97.78</v>
      </c>
      <c r="H39" s="45">
        <v>97.9</v>
      </c>
      <c r="I39" s="45">
        <v>97.93</v>
      </c>
      <c r="J39" s="47">
        <v>97.83</v>
      </c>
      <c r="K39" s="45">
        <v>97.75</v>
      </c>
      <c r="L39" s="47">
        <v>97.7</v>
      </c>
      <c r="M39" s="45">
        <v>97.63</v>
      </c>
      <c r="N39" s="52">
        <v>97.8</v>
      </c>
      <c r="O39" s="16">
        <v>97.64</v>
      </c>
      <c r="P39" s="16">
        <v>97.75</v>
      </c>
      <c r="Q39" s="146">
        <v>97.7</v>
      </c>
      <c r="R39" s="146">
        <v>97.5</v>
      </c>
      <c r="S39" s="146">
        <v>97.58</v>
      </c>
      <c r="T39" s="146">
        <v>97.45</v>
      </c>
      <c r="U39" s="146">
        <v>97.47</v>
      </c>
      <c r="V39" s="146">
        <v>97.4</v>
      </c>
      <c r="W39" s="146">
        <v>97.32</v>
      </c>
      <c r="X39" s="146">
        <v>96.88</v>
      </c>
      <c r="Y39" s="146">
        <v>97.29</v>
      </c>
    </row>
    <row r="40" spans="1:25" ht="18" customHeight="1">
      <c r="A40" s="140"/>
      <c r="B40" s="141"/>
      <c r="C40" s="142"/>
      <c r="D40" s="143"/>
      <c r="E40" s="143"/>
      <c r="F40" s="143"/>
      <c r="G40" s="143"/>
      <c r="H40" s="143"/>
      <c r="I40" s="143"/>
      <c r="J40" s="141"/>
      <c r="K40" s="143"/>
      <c r="L40" s="141"/>
      <c r="M40" s="143"/>
      <c r="N40" s="144"/>
      <c r="O40" s="18"/>
    </row>
    <row r="41" spans="1:25" ht="14.1" customHeight="1">
      <c r="A41" s="2"/>
      <c r="B41" s="2"/>
      <c r="C41" s="136"/>
      <c r="D41" s="136"/>
      <c r="E41" s="4"/>
      <c r="F41" s="4"/>
      <c r="G41" s="4"/>
      <c r="H41" s="4"/>
      <c r="I41" s="21"/>
      <c r="J41" s="180"/>
      <c r="K41" s="180"/>
      <c r="L41" s="180"/>
      <c r="M41" s="180"/>
      <c r="N41" s="136"/>
      <c r="O41" s="18"/>
    </row>
    <row r="42" spans="1:25" ht="14.1" customHeight="1">
      <c r="A42" s="6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25" ht="14.1" customHeight="1">
      <c r="A43" s="6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25" ht="14.1" customHeight="1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25" ht="14.1" customHeight="1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25" ht="14.1" customHeight="1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25" ht="14.1" customHeight="1">
      <c r="A47" s="6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25" ht="14.1" customHeight="1">
      <c r="A48" s="6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 ht="14.1" customHeight="1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ht="14.1" customHeight="1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ht="14.1" customHeight="1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ht="14.1" customHeight="1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ht="14.1" customHeight="1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ht="14.1" customHeight="1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 ht="14.1" customHeight="1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 ht="14.1" customHeight="1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 ht="14.1" customHeight="1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1:14" ht="14.1" customHeight="1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 ht="14.1" customHeight="1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 ht="14.1" customHeight="1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4" ht="14.1" customHeight="1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 ht="14.1" customHeight="1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4" ht="14.1" customHeight="1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1:14" ht="14.1" customHeight="1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1:25" ht="14.1" customHeight="1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spans="1:25" ht="14.1" customHeight="1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1:25" ht="14.1" customHeight="1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1:25" ht="14.1" customHeight="1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1:25" ht="14.1" customHeight="1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1:25" ht="14.1" customHeight="1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1:25" ht="14.1" customHeight="1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spans="1:25" ht="18" customHeight="1">
      <c r="A72" s="164" t="s">
        <v>27</v>
      </c>
      <c r="B72" s="165"/>
      <c r="C72" s="165"/>
      <c r="D72" s="165"/>
      <c r="E72" s="165"/>
      <c r="F72" s="165"/>
      <c r="G72" s="172"/>
      <c r="H72" s="188" t="s">
        <v>30</v>
      </c>
      <c r="I72" s="188"/>
      <c r="J72" s="188"/>
      <c r="K72" s="188"/>
      <c r="L72" s="188"/>
      <c r="M72" s="41"/>
      <c r="N72" s="41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8" customHeight="1">
      <c r="A73" s="42" t="s">
        <v>1</v>
      </c>
      <c r="B73" s="138">
        <v>2880</v>
      </c>
      <c r="C73" s="138">
        <v>2940</v>
      </c>
      <c r="D73" s="138">
        <v>3000</v>
      </c>
      <c r="E73" s="138">
        <v>3060</v>
      </c>
      <c r="F73" s="138">
        <v>3120</v>
      </c>
      <c r="G73" s="138">
        <v>3180</v>
      </c>
      <c r="H73" s="138">
        <v>3240</v>
      </c>
      <c r="I73" s="138">
        <v>3300</v>
      </c>
      <c r="J73" s="138">
        <v>3360</v>
      </c>
      <c r="K73" s="138">
        <v>3420</v>
      </c>
      <c r="L73" s="138">
        <v>3480</v>
      </c>
      <c r="M73" s="138">
        <v>3540</v>
      </c>
      <c r="N73" s="138">
        <v>3600</v>
      </c>
      <c r="O73" s="138">
        <v>3660</v>
      </c>
      <c r="P73" s="138">
        <v>3720</v>
      </c>
      <c r="Q73" s="138">
        <v>3780</v>
      </c>
      <c r="R73" s="138">
        <v>3840</v>
      </c>
      <c r="S73" s="138">
        <v>3900</v>
      </c>
      <c r="T73" s="138">
        <v>3960</v>
      </c>
      <c r="U73" s="138">
        <v>4020</v>
      </c>
      <c r="V73" s="138">
        <v>4080</v>
      </c>
      <c r="W73" s="138">
        <v>4140</v>
      </c>
      <c r="X73" s="138">
        <v>4200</v>
      </c>
      <c r="Y73" s="138">
        <v>4260</v>
      </c>
    </row>
    <row r="74" spans="1:25" ht="18" customHeight="1">
      <c r="A74" s="42" t="s">
        <v>2</v>
      </c>
      <c r="B74" s="44">
        <v>96.87</v>
      </c>
      <c r="C74" s="44">
        <v>96.87</v>
      </c>
      <c r="D74" s="45">
        <v>96.86</v>
      </c>
      <c r="E74" s="45">
        <v>96.78</v>
      </c>
      <c r="F74" s="45">
        <v>96.77</v>
      </c>
      <c r="G74" s="45">
        <v>96.54</v>
      </c>
      <c r="H74" s="45">
        <v>96.54</v>
      </c>
      <c r="I74" s="45">
        <v>96.54</v>
      </c>
      <c r="J74" s="47">
        <v>96.53</v>
      </c>
      <c r="K74" s="45">
        <v>96.42</v>
      </c>
      <c r="L74" s="47">
        <v>96.41</v>
      </c>
      <c r="M74" s="45">
        <v>96.4</v>
      </c>
      <c r="N74" s="45">
        <v>96.3</v>
      </c>
      <c r="O74" s="16">
        <v>96.28</v>
      </c>
      <c r="P74" s="16">
        <v>96.28</v>
      </c>
      <c r="Q74" s="146">
        <v>96.27</v>
      </c>
      <c r="R74" s="146">
        <v>96.27</v>
      </c>
      <c r="S74" s="146">
        <v>96.26</v>
      </c>
      <c r="T74" s="146">
        <v>96.04</v>
      </c>
      <c r="U74" s="146">
        <v>95.99</v>
      </c>
      <c r="V74" s="146">
        <v>95.98</v>
      </c>
      <c r="W74" s="146">
        <v>95.98</v>
      </c>
      <c r="X74" s="146">
        <v>95.97</v>
      </c>
      <c r="Y74" s="146">
        <v>95.92</v>
      </c>
    </row>
    <row r="75" spans="1:25" ht="18" customHeight="1">
      <c r="A75" s="42" t="s">
        <v>1</v>
      </c>
      <c r="B75" s="138">
        <v>2880</v>
      </c>
      <c r="C75" s="138">
        <v>2940</v>
      </c>
      <c r="D75" s="138">
        <v>3000</v>
      </c>
      <c r="E75" s="138">
        <v>3060</v>
      </c>
      <c r="F75" s="138">
        <v>3120</v>
      </c>
      <c r="G75" s="138">
        <v>3180</v>
      </c>
      <c r="H75" s="138">
        <v>3240</v>
      </c>
      <c r="I75" s="138">
        <v>3300</v>
      </c>
      <c r="J75" s="138">
        <v>3360</v>
      </c>
      <c r="K75" s="138">
        <v>3420</v>
      </c>
      <c r="L75" s="138">
        <v>3480</v>
      </c>
      <c r="M75" s="138">
        <v>3540</v>
      </c>
      <c r="N75" s="138">
        <v>3600</v>
      </c>
      <c r="O75" s="138">
        <v>3660</v>
      </c>
      <c r="P75" s="138">
        <v>3720</v>
      </c>
      <c r="Q75" s="138">
        <v>3780</v>
      </c>
      <c r="R75" s="138">
        <v>3840</v>
      </c>
      <c r="S75" s="138">
        <v>3900</v>
      </c>
      <c r="T75" s="138">
        <v>3960</v>
      </c>
      <c r="U75" s="138">
        <v>4020</v>
      </c>
      <c r="V75" s="138">
        <v>4080</v>
      </c>
      <c r="W75" s="138">
        <v>4140</v>
      </c>
      <c r="X75" s="138">
        <v>4200</v>
      </c>
      <c r="Y75" s="138">
        <v>4260</v>
      </c>
    </row>
    <row r="76" spans="1:25" ht="18" customHeight="1">
      <c r="A76" s="42" t="s">
        <v>3</v>
      </c>
      <c r="B76" s="148">
        <v>97.31</v>
      </c>
      <c r="C76" s="44">
        <v>97.27</v>
      </c>
      <c r="D76" s="45">
        <v>97.31</v>
      </c>
      <c r="E76" s="45">
        <v>97.22</v>
      </c>
      <c r="F76" s="45">
        <v>97.21</v>
      </c>
      <c r="G76" s="45">
        <v>96.9</v>
      </c>
      <c r="H76" s="45">
        <v>96.98</v>
      </c>
      <c r="I76" s="45">
        <v>96.94</v>
      </c>
      <c r="J76" s="47">
        <v>96.95</v>
      </c>
      <c r="K76" s="45">
        <v>96.86</v>
      </c>
      <c r="L76" s="47">
        <v>96.805000000000007</v>
      </c>
      <c r="M76" s="45">
        <v>96.89</v>
      </c>
      <c r="N76" s="52">
        <v>96.74</v>
      </c>
      <c r="O76" s="16">
        <v>96.75</v>
      </c>
      <c r="P76" s="16">
        <v>96.72</v>
      </c>
      <c r="Q76" s="146">
        <v>96.71</v>
      </c>
      <c r="R76" s="146">
        <v>96.67</v>
      </c>
      <c r="S76" s="146">
        <v>96.68</v>
      </c>
      <c r="T76" s="146">
        <v>96.48</v>
      </c>
      <c r="U76" s="146">
        <v>96.39</v>
      </c>
      <c r="V76" s="146">
        <v>96.4</v>
      </c>
      <c r="W76" s="146">
        <v>96.42</v>
      </c>
      <c r="X76" s="146">
        <v>96.42</v>
      </c>
      <c r="Y76" s="146">
        <v>96.4</v>
      </c>
    </row>
    <row r="77" spans="1:25" ht="18" customHeight="1">
      <c r="A77" s="140"/>
      <c r="B77" s="141"/>
      <c r="C77" s="142"/>
      <c r="D77" s="143"/>
      <c r="E77" s="143"/>
      <c r="F77" s="143"/>
      <c r="G77" s="143"/>
      <c r="H77" s="143"/>
      <c r="I77" s="143"/>
      <c r="J77" s="141"/>
      <c r="K77" s="143"/>
      <c r="L77" s="141"/>
      <c r="M77" s="143"/>
      <c r="N77" s="144"/>
      <c r="O77" s="18"/>
    </row>
    <row r="78" spans="1:25" ht="14.1" customHeight="1">
      <c r="A78" s="2"/>
      <c r="B78" s="2"/>
      <c r="C78" s="136"/>
      <c r="D78" s="136"/>
      <c r="E78" s="4"/>
      <c r="F78" s="4"/>
      <c r="G78" s="4"/>
      <c r="H78" s="4"/>
      <c r="I78" s="21"/>
      <c r="J78" s="180"/>
      <c r="K78" s="180"/>
      <c r="L78" s="180"/>
      <c r="M78" s="180"/>
      <c r="N78" s="136"/>
      <c r="O78" s="18"/>
    </row>
    <row r="79" spans="1:25" ht="14.1" customHeight="1">
      <c r="A79" s="6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spans="1:25" ht="14.1" customHeight="1">
      <c r="A80" s="6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spans="1:14" ht="14.1" customHeight="1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spans="1:14" ht="14.1" customHeight="1">
      <c r="A82" s="6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spans="1:14" ht="14.1" customHeight="1">
      <c r="A83" s="6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spans="1:14" ht="14.1" customHeight="1">
      <c r="A84" s="6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spans="1:14" ht="14.1" customHeight="1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spans="1:14" ht="14.1" customHeight="1">
      <c r="A86" s="6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spans="1:14" ht="14.1" customHeight="1">
      <c r="A87" s="6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spans="1:14" ht="14.1" customHeight="1">
      <c r="A88" s="6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spans="1:14" ht="14.1" customHeight="1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1:14" ht="14.1" customHeight="1">
      <c r="A90" s="6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spans="1:14" ht="14.1" customHeight="1">
      <c r="A91" s="6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spans="1:14" ht="14.1" customHeight="1">
      <c r="A92" s="6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spans="1:14" ht="14.1" customHeight="1">
      <c r="A93" s="6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  <row r="94" spans="1:14" ht="14.1" customHeight="1">
      <c r="A94" s="6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 spans="1:14" ht="14.1" customHeight="1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1:14" ht="14.1" customHeight="1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1:25" ht="14.1" customHeight="1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 spans="1:25" ht="14.1" customHeight="1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 spans="1:25" ht="14.1" customHeight="1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 spans="1:25" ht="14.1" customHeight="1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 spans="1:25" ht="14.1" customHeight="1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 spans="1:25" ht="14.1" customHeight="1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 spans="1:25" ht="14.1" customHeight="1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1:25" ht="14.1" customHeight="1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1:25" ht="14.1" customHeight="1"/>
    <row r="106" spans="1:25" ht="18" customHeight="1">
      <c r="A106" s="164" t="s">
        <v>27</v>
      </c>
      <c r="B106" s="165"/>
      <c r="C106" s="165"/>
      <c r="D106" s="165"/>
      <c r="E106" s="165"/>
      <c r="F106" s="165"/>
      <c r="G106" s="172"/>
      <c r="H106" s="188" t="s">
        <v>31</v>
      </c>
      <c r="I106" s="188"/>
      <c r="J106" s="188"/>
      <c r="K106" s="188"/>
      <c r="L106" s="188"/>
      <c r="M106" s="41"/>
      <c r="N106" s="41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8" customHeight="1">
      <c r="A107" s="42" t="s">
        <v>1</v>
      </c>
      <c r="B107" s="138">
        <v>4320</v>
      </c>
      <c r="C107" s="138">
        <v>4380</v>
      </c>
      <c r="D107" s="138">
        <v>4440</v>
      </c>
      <c r="E107" s="138">
        <v>4500</v>
      </c>
      <c r="F107" s="138">
        <v>4560</v>
      </c>
      <c r="G107" s="138">
        <v>4620</v>
      </c>
      <c r="H107" s="138">
        <v>4680</v>
      </c>
      <c r="I107" s="138">
        <v>4740</v>
      </c>
      <c r="J107" s="138">
        <v>4800</v>
      </c>
      <c r="K107" s="138">
        <v>4860</v>
      </c>
      <c r="L107" s="138">
        <v>4920</v>
      </c>
      <c r="M107" s="138">
        <v>4980</v>
      </c>
      <c r="N107" s="138">
        <v>5040</v>
      </c>
      <c r="O107" s="138">
        <v>5100</v>
      </c>
      <c r="P107" s="138">
        <v>5160</v>
      </c>
      <c r="Q107" s="138">
        <v>5220</v>
      </c>
      <c r="R107" s="138">
        <v>5280</v>
      </c>
      <c r="S107" s="138">
        <v>5340</v>
      </c>
      <c r="T107" s="138">
        <v>5400</v>
      </c>
      <c r="U107" s="138">
        <v>5460</v>
      </c>
      <c r="V107" s="138">
        <v>5520</v>
      </c>
      <c r="W107" s="138">
        <v>5580</v>
      </c>
      <c r="X107" s="138">
        <v>5640</v>
      </c>
      <c r="Y107" s="138">
        <v>5700</v>
      </c>
    </row>
    <row r="108" spans="1:25" ht="18" customHeight="1">
      <c r="A108" s="42" t="s">
        <v>2</v>
      </c>
      <c r="B108" s="44">
        <v>95.92</v>
      </c>
      <c r="C108" s="44">
        <v>95.92</v>
      </c>
      <c r="D108" s="45">
        <v>95.915000000000006</v>
      </c>
      <c r="E108" s="45">
        <v>95.915000000000006</v>
      </c>
      <c r="F108" s="45">
        <v>95.915000000000006</v>
      </c>
      <c r="G108" s="45">
        <v>95.91</v>
      </c>
      <c r="H108" s="45">
        <v>95.91</v>
      </c>
      <c r="I108" s="45">
        <v>95.905000000000001</v>
      </c>
      <c r="J108" s="47">
        <v>95.9</v>
      </c>
      <c r="K108" s="45">
        <v>95.9</v>
      </c>
      <c r="L108" s="45">
        <v>95.9</v>
      </c>
      <c r="M108" s="45">
        <v>95.66</v>
      </c>
      <c r="N108" s="45">
        <v>95.52</v>
      </c>
      <c r="O108" s="16">
        <v>95.51</v>
      </c>
      <c r="P108" s="16">
        <v>95.5</v>
      </c>
      <c r="Q108" s="146">
        <v>95.35</v>
      </c>
      <c r="R108" s="146">
        <v>95.25</v>
      </c>
      <c r="S108" s="146">
        <v>95.15</v>
      </c>
      <c r="T108" s="146">
        <v>95.15</v>
      </c>
      <c r="U108" s="146">
        <v>95.11</v>
      </c>
      <c r="V108" s="146">
        <v>95.1</v>
      </c>
      <c r="W108" s="146">
        <v>94.92</v>
      </c>
      <c r="X108" s="146">
        <v>94.83</v>
      </c>
      <c r="Y108" s="146">
        <v>94.74</v>
      </c>
    </row>
    <row r="109" spans="1:25" ht="18" customHeight="1">
      <c r="A109" s="42" t="s">
        <v>1</v>
      </c>
      <c r="B109" s="138">
        <v>4320</v>
      </c>
      <c r="C109" s="138">
        <v>4380</v>
      </c>
      <c r="D109" s="138">
        <v>4440</v>
      </c>
      <c r="E109" s="138">
        <v>4500</v>
      </c>
      <c r="F109" s="138">
        <v>4560</v>
      </c>
      <c r="G109" s="138">
        <v>4620</v>
      </c>
      <c r="H109" s="138">
        <v>4680</v>
      </c>
      <c r="I109" s="138">
        <v>4740</v>
      </c>
      <c r="J109" s="138">
        <v>4800</v>
      </c>
      <c r="K109" s="138">
        <v>4860</v>
      </c>
      <c r="L109" s="138">
        <v>4920</v>
      </c>
      <c r="M109" s="138">
        <v>4980</v>
      </c>
      <c r="N109" s="138">
        <v>5040</v>
      </c>
      <c r="O109" s="138">
        <v>5100</v>
      </c>
      <c r="P109" s="138">
        <v>5160</v>
      </c>
      <c r="Q109" s="138">
        <v>5220</v>
      </c>
      <c r="R109" s="138">
        <v>5280</v>
      </c>
      <c r="S109" s="138">
        <v>5340</v>
      </c>
      <c r="T109" s="138">
        <v>5400</v>
      </c>
      <c r="U109" s="138">
        <v>5460</v>
      </c>
      <c r="V109" s="138">
        <v>5520</v>
      </c>
      <c r="W109" s="138">
        <v>5580</v>
      </c>
      <c r="X109" s="138">
        <v>5640</v>
      </c>
      <c r="Y109" s="138">
        <v>5700</v>
      </c>
    </row>
    <row r="110" spans="1:25" ht="18" customHeight="1">
      <c r="A110" s="42" t="s">
        <v>3</v>
      </c>
      <c r="B110" s="148">
        <v>96.4</v>
      </c>
      <c r="C110" s="44">
        <v>96.42</v>
      </c>
      <c r="D110" s="45">
        <v>96.4</v>
      </c>
      <c r="E110" s="45">
        <v>96.355000000000004</v>
      </c>
      <c r="F110" s="45">
        <v>96.41</v>
      </c>
      <c r="G110" s="45">
        <v>96.33</v>
      </c>
      <c r="H110" s="45">
        <v>96.45</v>
      </c>
      <c r="I110" s="45">
        <v>96.42</v>
      </c>
      <c r="J110" s="47">
        <v>96.41</v>
      </c>
      <c r="K110" s="45">
        <v>96.34</v>
      </c>
      <c r="L110" s="47">
        <v>96.35</v>
      </c>
      <c r="M110" s="45">
        <v>96.08</v>
      </c>
      <c r="N110" s="52">
        <v>95.96</v>
      </c>
      <c r="O110" s="16">
        <v>95.91</v>
      </c>
      <c r="P110" s="16">
        <v>95.92</v>
      </c>
      <c r="Q110" s="146">
        <v>95.79</v>
      </c>
      <c r="R110" s="146">
        <v>95.65</v>
      </c>
      <c r="S110" s="146">
        <v>95.57</v>
      </c>
      <c r="T110" s="146">
        <v>95.59</v>
      </c>
      <c r="U110" s="146">
        <v>95.51</v>
      </c>
      <c r="V110" s="146">
        <v>95.52</v>
      </c>
      <c r="W110" s="146">
        <v>95.36</v>
      </c>
      <c r="X110" s="146">
        <v>95.23</v>
      </c>
      <c r="Y110" s="146">
        <v>95.22</v>
      </c>
    </row>
    <row r="111" spans="1:25" ht="18" customHeight="1">
      <c r="A111" s="140"/>
      <c r="B111" s="141"/>
      <c r="C111" s="142"/>
      <c r="D111" s="143"/>
      <c r="E111" s="143"/>
      <c r="F111" s="143"/>
      <c r="G111" s="143"/>
      <c r="H111" s="143"/>
      <c r="I111" s="143"/>
      <c r="J111" s="141"/>
      <c r="K111" s="143"/>
      <c r="L111" s="141"/>
      <c r="M111" s="143"/>
      <c r="N111" s="144"/>
      <c r="O111" s="18"/>
      <c r="Q111" t="s">
        <v>32</v>
      </c>
    </row>
    <row r="112" spans="1:25" ht="14.1" customHeight="1">
      <c r="A112" s="2"/>
      <c r="B112" s="2"/>
      <c r="C112" s="139"/>
      <c r="D112" s="139"/>
      <c r="E112" s="4"/>
      <c r="F112" s="4"/>
      <c r="G112" s="4"/>
      <c r="H112" s="4"/>
      <c r="I112" s="21"/>
      <c r="J112" s="180"/>
      <c r="K112" s="180"/>
      <c r="L112" s="180"/>
      <c r="M112" s="180"/>
      <c r="N112" s="139"/>
      <c r="O112" s="18"/>
    </row>
    <row r="113" spans="1:14" ht="14.1" customHeight="1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 ht="14.1" customHeight="1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ht="14.1" customHeight="1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 ht="14.1" customHeight="1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 ht="14.1" customHeight="1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 ht="14.1" customHeight="1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 ht="14.1" customHeight="1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 ht="14.1" customHeight="1">
      <c r="A120" s="6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1:14" ht="14.1" customHeight="1">
      <c r="A121" s="6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4" ht="14.1" customHeight="1">
      <c r="A122" s="6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1:14" ht="14.1" customHeight="1">
      <c r="A123" s="6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1:14" ht="14.1" customHeight="1">
      <c r="A124" s="6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1:14" ht="14.1" customHeight="1">
      <c r="A125" s="6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spans="1:14" ht="14.1" customHeight="1">
      <c r="A126" s="6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1:14" ht="14.1" customHeight="1">
      <c r="A127" s="6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4" ht="14.1" customHeight="1">
      <c r="A128" s="6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1:25" ht="14.1" customHeight="1">
      <c r="A129" s="6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1:25" ht="14.1" customHeight="1">
      <c r="A130" s="6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25" ht="14.1" customHeight="1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25" ht="14.1" customHeight="1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spans="1:25" ht="14.1" customHeight="1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spans="1:25" ht="14.1" customHeight="1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 spans="1:25" ht="14.1" customHeight="1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 spans="1:25" ht="14.1" customHeight="1"/>
    <row r="137" spans="1:25" ht="14.1" customHeight="1"/>
    <row r="138" spans="1:25" ht="14.1" customHeight="1"/>
    <row r="139" spans="1:25" ht="14.1" customHeight="1"/>
    <row r="140" spans="1:25" ht="14.1" customHeight="1"/>
    <row r="141" spans="1:25" ht="14.1" customHeight="1"/>
    <row r="142" spans="1:25" ht="14.1" customHeight="1"/>
    <row r="143" spans="1:25" ht="14.1" customHeight="1"/>
    <row r="144" spans="1:25" ht="18" customHeight="1">
      <c r="A144" s="164" t="s">
        <v>27</v>
      </c>
      <c r="B144" s="165"/>
      <c r="C144" s="165"/>
      <c r="D144" s="165"/>
      <c r="E144" s="165"/>
      <c r="F144" s="165"/>
      <c r="G144" s="172"/>
      <c r="H144" s="188" t="s">
        <v>33</v>
      </c>
      <c r="I144" s="188"/>
      <c r="J144" s="188"/>
      <c r="K144" s="188"/>
      <c r="L144" s="188"/>
      <c r="M144" s="41"/>
      <c r="N144" s="41"/>
      <c r="O144" s="14"/>
      <c r="P144" s="14"/>
      <c r="Q144" s="14"/>
      <c r="R144" s="14"/>
      <c r="S144" s="14"/>
      <c r="T144" s="14"/>
      <c r="U144" s="14"/>
      <c r="V144" s="18"/>
      <c r="W144" s="18"/>
      <c r="X144" s="18"/>
      <c r="Y144" s="18"/>
    </row>
    <row r="145" spans="1:25" ht="18" customHeight="1">
      <c r="A145" s="42" t="s">
        <v>1</v>
      </c>
      <c r="B145" s="138">
        <v>5760</v>
      </c>
      <c r="C145" s="138">
        <v>5820</v>
      </c>
      <c r="D145" s="138">
        <v>5880</v>
      </c>
      <c r="E145" s="138">
        <v>5940</v>
      </c>
      <c r="F145" s="138">
        <v>6000</v>
      </c>
      <c r="G145" s="138">
        <v>6060</v>
      </c>
      <c r="H145" s="138">
        <v>6120</v>
      </c>
      <c r="I145" s="138">
        <v>6180</v>
      </c>
      <c r="J145" s="138">
        <v>6240</v>
      </c>
      <c r="K145" s="138">
        <v>6300</v>
      </c>
      <c r="L145" s="138">
        <v>6360</v>
      </c>
      <c r="M145" s="138">
        <v>6420</v>
      </c>
      <c r="N145" s="138">
        <v>6480</v>
      </c>
      <c r="O145" s="138">
        <v>6540</v>
      </c>
      <c r="P145" s="138">
        <v>6600</v>
      </c>
      <c r="Q145" s="138">
        <v>6660</v>
      </c>
      <c r="R145" s="138">
        <v>6720</v>
      </c>
      <c r="S145" s="138">
        <v>6780</v>
      </c>
      <c r="T145" s="138">
        <v>6840</v>
      </c>
      <c r="U145" s="138">
        <v>6900</v>
      </c>
      <c r="V145" s="149"/>
      <c r="W145" s="149"/>
      <c r="X145" s="149"/>
      <c r="Y145" s="149"/>
    </row>
    <row r="146" spans="1:25" ht="18" customHeight="1">
      <c r="A146" s="42" t="s">
        <v>2</v>
      </c>
      <c r="B146" s="44">
        <v>94.56</v>
      </c>
      <c r="C146" s="44">
        <v>94.57</v>
      </c>
      <c r="D146" s="45">
        <v>94.55</v>
      </c>
      <c r="E146" s="45">
        <v>94.5</v>
      </c>
      <c r="F146" s="45">
        <v>94.42</v>
      </c>
      <c r="G146" s="84">
        <v>94.34</v>
      </c>
      <c r="H146" s="84">
        <v>94.18</v>
      </c>
      <c r="I146" s="84">
        <v>94.12</v>
      </c>
      <c r="J146" s="84">
        <v>94.11</v>
      </c>
      <c r="K146" s="84">
        <v>94.11</v>
      </c>
      <c r="L146" s="84">
        <v>93.86</v>
      </c>
      <c r="M146" s="84">
        <v>93.59</v>
      </c>
      <c r="N146" s="84">
        <v>92.14</v>
      </c>
      <c r="O146" s="84">
        <v>91.79</v>
      </c>
      <c r="P146" s="84">
        <v>89.99</v>
      </c>
      <c r="Q146" s="84">
        <v>89.27</v>
      </c>
      <c r="R146" s="84">
        <v>88.87</v>
      </c>
      <c r="S146" s="84">
        <v>88.32</v>
      </c>
      <c r="T146" s="84">
        <v>88.17</v>
      </c>
      <c r="U146" s="84">
        <v>88.15</v>
      </c>
      <c r="V146" s="150"/>
      <c r="W146" s="150"/>
      <c r="X146" s="150"/>
      <c r="Y146" s="150"/>
    </row>
    <row r="147" spans="1:25" ht="18" customHeight="1">
      <c r="A147" s="42" t="s">
        <v>1</v>
      </c>
      <c r="B147" s="138">
        <v>5760</v>
      </c>
      <c r="C147" s="138">
        <v>5820</v>
      </c>
      <c r="D147" s="138">
        <v>5880</v>
      </c>
      <c r="E147" s="138">
        <v>5940</v>
      </c>
      <c r="F147" s="138">
        <v>6000</v>
      </c>
      <c r="G147" s="138">
        <v>6060</v>
      </c>
      <c r="H147" s="138">
        <v>6120</v>
      </c>
      <c r="I147" s="138">
        <v>6180</v>
      </c>
      <c r="J147" s="138">
        <v>6240</v>
      </c>
      <c r="K147" s="138">
        <v>6300</v>
      </c>
      <c r="L147" s="138">
        <v>6360</v>
      </c>
      <c r="M147" s="138">
        <v>6420</v>
      </c>
      <c r="N147" s="138">
        <v>6480</v>
      </c>
      <c r="O147" s="138">
        <v>6540</v>
      </c>
      <c r="P147" s="138">
        <v>6600</v>
      </c>
      <c r="Q147" s="138">
        <v>6660</v>
      </c>
      <c r="R147" s="138">
        <v>6720</v>
      </c>
      <c r="S147" s="138">
        <v>6780</v>
      </c>
      <c r="T147" s="138">
        <v>6840</v>
      </c>
      <c r="U147" s="138">
        <v>6900</v>
      </c>
      <c r="V147" s="149"/>
      <c r="W147" s="149"/>
      <c r="X147" s="149"/>
      <c r="Y147" s="149"/>
    </row>
    <row r="148" spans="1:25" ht="18" customHeight="1">
      <c r="A148" s="42" t="s">
        <v>3</v>
      </c>
      <c r="B148" s="148">
        <v>95</v>
      </c>
      <c r="C148" s="44">
        <v>94.97</v>
      </c>
      <c r="D148" s="45">
        <v>94.97</v>
      </c>
      <c r="E148" s="45">
        <v>94.94</v>
      </c>
      <c r="F148" s="84">
        <v>94.924999999999997</v>
      </c>
      <c r="G148" s="84">
        <v>94.78</v>
      </c>
      <c r="H148" s="84">
        <v>94.69</v>
      </c>
      <c r="I148" s="84">
        <v>94.6</v>
      </c>
      <c r="J148" s="84">
        <v>94.53</v>
      </c>
      <c r="K148" s="84">
        <v>94.55</v>
      </c>
      <c r="L148" s="84">
        <v>94.3</v>
      </c>
      <c r="M148" s="84">
        <v>94.1</v>
      </c>
      <c r="N148" s="84">
        <v>92.62</v>
      </c>
      <c r="O148" s="84">
        <v>92.21</v>
      </c>
      <c r="P148" s="84">
        <v>90.5</v>
      </c>
      <c r="Q148" s="84">
        <v>89.82</v>
      </c>
      <c r="R148" s="84">
        <v>89.27</v>
      </c>
      <c r="S148" s="84">
        <v>88.74</v>
      </c>
      <c r="T148" s="84">
        <v>88.61</v>
      </c>
      <c r="U148" s="84">
        <v>88.45</v>
      </c>
      <c r="V148" s="150"/>
      <c r="W148" s="150"/>
      <c r="X148" s="150"/>
      <c r="Y148" s="150"/>
    </row>
    <row r="149" spans="1:25" ht="18" customHeight="1">
      <c r="A149" s="140"/>
      <c r="B149" s="141"/>
      <c r="C149" s="142"/>
      <c r="D149" s="143"/>
      <c r="E149" s="143"/>
      <c r="F149" s="143"/>
      <c r="G149" s="143"/>
      <c r="H149" s="143"/>
      <c r="I149" s="143"/>
      <c r="J149" s="141"/>
      <c r="K149" s="143"/>
      <c r="L149" s="141"/>
      <c r="M149" s="143"/>
      <c r="N149" s="144"/>
      <c r="O149" s="18"/>
      <c r="Q149" t="s">
        <v>32</v>
      </c>
    </row>
    <row r="150" spans="1:25" ht="14.1" customHeight="1">
      <c r="A150" s="2"/>
      <c r="B150" s="2"/>
      <c r="C150" s="139"/>
      <c r="D150" s="139"/>
      <c r="E150" s="4"/>
      <c r="F150" s="4"/>
      <c r="G150" s="4"/>
      <c r="H150" s="4"/>
      <c r="I150" s="21"/>
      <c r="J150" s="180"/>
      <c r="K150" s="180"/>
      <c r="L150" s="180"/>
      <c r="M150" s="180"/>
      <c r="N150" s="139"/>
      <c r="O150" s="18"/>
    </row>
    <row r="151" spans="1:25" ht="14.1" customHeight="1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 spans="1:25" ht="14.1" customHeight="1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 spans="1:25" ht="14.1" customHeight="1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 spans="1:25" ht="14.1" customHeight="1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 spans="1:25" ht="14.1" customHeight="1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 spans="1:25" ht="14.1" customHeight="1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 spans="1:25" ht="14.1" customHeight="1">
      <c r="A157" s="6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r="158" spans="1:25" ht="14.1" customHeight="1">
      <c r="A158" s="6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</row>
    <row r="159" spans="1:25" ht="14.1" customHeight="1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 spans="1:25" ht="14.1" customHeight="1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 spans="1:14" ht="14.1" customHeight="1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 spans="1:14" ht="14.1" customHeight="1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 spans="1:14" ht="14.1" customHeight="1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 spans="1:14" ht="14.1" customHeight="1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 spans="1:14" ht="14.1" customHeight="1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</row>
    <row r="166" spans="1:14" ht="14.1" customHeight="1">
      <c r="A166" s="6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</row>
    <row r="167" spans="1:14" ht="14.1" customHeight="1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</row>
    <row r="168" spans="1:14" ht="14.1" customHeight="1">
      <c r="A168" s="6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</row>
    <row r="169" spans="1:14" ht="14.1" customHeight="1">
      <c r="A169" s="6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</row>
    <row r="170" spans="1:14" ht="14.1" customHeight="1">
      <c r="A170" s="6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</row>
    <row r="171" spans="1:14" ht="14.1" customHeight="1">
      <c r="A171" s="6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</row>
    <row r="172" spans="1:14" ht="14.1" customHeight="1">
      <c r="A172" s="6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</row>
    <row r="173" spans="1:14" ht="14.1" customHeight="1">
      <c r="A173" s="6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</row>
    <row r="174" spans="1:14" ht="14.1" customHeight="1"/>
    <row r="175" spans="1:14" ht="14.1" customHeight="1"/>
    <row r="176" spans="1:14" ht="14.1" customHeight="1"/>
    <row r="177" ht="14.1" customHeight="1"/>
    <row r="178" ht="14.1" customHeight="1"/>
    <row r="179" ht="14.1" customHeight="1"/>
    <row r="180" ht="14.1" customHeight="1"/>
    <row r="181" ht="14.1" customHeight="1"/>
    <row r="182" ht="14.1" customHeight="1"/>
    <row r="183" ht="14.1" customHeight="1"/>
    <row r="184" ht="14.1" customHeight="1"/>
    <row r="185" ht="14.1" customHeight="1"/>
    <row r="186" ht="14.1" customHeight="1"/>
    <row r="187" ht="14.1" customHeight="1"/>
    <row r="188" ht="14.1" customHeight="1"/>
    <row r="189" ht="14.1" customHeight="1"/>
    <row r="190" ht="14.1" customHeight="1"/>
    <row r="191" ht="14.1" customHeight="1"/>
    <row r="192" ht="14.1" customHeight="1"/>
    <row r="193" ht="14.1" customHeight="1"/>
    <row r="194" ht="14.1" customHeight="1"/>
    <row r="195" ht="14.1" customHeight="1"/>
    <row r="196" ht="14.1" customHeight="1"/>
    <row r="197" ht="14.1" customHeight="1"/>
    <row r="198" ht="14.1" customHeight="1"/>
    <row r="199" ht="14.1" customHeight="1"/>
    <row r="200" ht="14.1" customHeight="1"/>
    <row r="201" ht="14.1" customHeight="1"/>
    <row r="202" ht="14.1" customHeight="1"/>
    <row r="203" ht="14.1" customHeight="1"/>
    <row r="204" ht="14.1" customHeight="1"/>
    <row r="205" ht="14.1" customHeight="1"/>
    <row r="206" ht="14.1" customHeight="1"/>
    <row r="207" ht="14.1" customHeight="1"/>
    <row r="208" ht="14.1" customHeight="1"/>
    <row r="209" ht="14.1" customHeight="1"/>
    <row r="210" ht="14.1" customHeight="1"/>
    <row r="211" ht="14.1" customHeight="1"/>
    <row r="212" ht="14.1" customHeight="1"/>
    <row r="213" ht="14.1" customHeight="1"/>
    <row r="214" ht="14.1" customHeight="1"/>
    <row r="215" ht="14.1" customHeight="1"/>
    <row r="216" ht="14.1" customHeight="1"/>
    <row r="217" ht="14.1" customHeight="1"/>
    <row r="218" ht="14.1" customHeight="1"/>
    <row r="219" ht="14.1" customHeight="1"/>
    <row r="220" ht="14.1" customHeight="1"/>
    <row r="221" ht="14.1" customHeight="1"/>
    <row r="222" ht="14.1" customHeight="1"/>
    <row r="223" ht="14.1" customHeight="1"/>
    <row r="224" ht="14.1" customHeight="1"/>
    <row r="225" ht="14.1" customHeight="1"/>
    <row r="226" ht="14.1" customHeight="1"/>
    <row r="227" ht="14.1" customHeight="1"/>
    <row r="228" ht="14.1" customHeight="1"/>
    <row r="229" ht="14.1" customHeight="1"/>
    <row r="230" ht="14.1" customHeight="1"/>
    <row r="231" ht="14.1" customHeight="1"/>
    <row r="232" ht="14.1" customHeight="1"/>
    <row r="233" ht="14.1" customHeight="1"/>
    <row r="234" ht="14.1" customHeight="1"/>
    <row r="235" ht="14.1" customHeight="1"/>
    <row r="236" ht="14.1" customHeight="1"/>
    <row r="237" ht="14.1" customHeight="1"/>
    <row r="238" ht="14.1" customHeight="1"/>
    <row r="239" ht="14.1" customHeight="1"/>
    <row r="240" ht="14.1" customHeight="1"/>
    <row r="241" ht="14.1" customHeight="1"/>
    <row r="242" ht="14.1" customHeight="1"/>
    <row r="243" ht="14.1" customHeight="1"/>
    <row r="244" ht="14.1" customHeight="1"/>
    <row r="245" ht="14.1" customHeight="1"/>
    <row r="246" ht="14.1" customHeight="1"/>
    <row r="247" ht="14.1" customHeight="1"/>
    <row r="248" ht="14.1" customHeight="1"/>
    <row r="249" ht="14.1" customHeight="1"/>
    <row r="250" ht="14.1" customHeight="1"/>
    <row r="251" ht="14.1" customHeight="1"/>
    <row r="252" ht="14.1" customHeight="1"/>
    <row r="253" ht="14.1" customHeight="1"/>
    <row r="254" ht="14.1" customHeight="1"/>
    <row r="255" ht="14.1" customHeight="1"/>
    <row r="256" ht="14.1" customHeight="1"/>
    <row r="257" ht="14.1" customHeight="1"/>
    <row r="258" ht="14.1" customHeight="1"/>
    <row r="259" ht="14.1" customHeight="1"/>
    <row r="260" ht="14.1" customHeight="1"/>
    <row r="261" ht="14.1" customHeight="1"/>
    <row r="262" ht="14.1" customHeight="1"/>
    <row r="263" ht="14.1" customHeight="1"/>
    <row r="264" ht="14.1" customHeight="1"/>
    <row r="265" ht="14.1" customHeight="1"/>
    <row r="266" ht="14.1" customHeight="1"/>
    <row r="267" ht="14.1" customHeight="1"/>
    <row r="268" ht="14.1" customHeight="1"/>
    <row r="269" ht="14.1" customHeight="1"/>
    <row r="270" ht="14.1" customHeight="1"/>
    <row r="271" ht="14.1" customHeight="1"/>
    <row r="272" ht="14.1" customHeight="1"/>
    <row r="273" ht="14.1" customHeight="1"/>
    <row r="274" ht="14.1" customHeight="1"/>
    <row r="275" ht="14.1" customHeight="1"/>
    <row r="276" ht="14.1" customHeight="1"/>
    <row r="277" ht="14.1" customHeight="1"/>
    <row r="278" ht="14.1" customHeight="1"/>
    <row r="279" ht="14.1" customHeight="1"/>
    <row r="280" ht="14.1" customHeight="1"/>
    <row r="281" ht="14.1" customHeight="1"/>
    <row r="282" ht="14.1" customHeight="1"/>
    <row r="283" ht="14.1" customHeight="1"/>
    <row r="284" ht="14.1" customHeight="1"/>
    <row r="285" ht="14.1" customHeight="1"/>
    <row r="286" ht="14.1" customHeight="1"/>
    <row r="287" ht="14.1" customHeight="1"/>
    <row r="288" ht="14.1" customHeight="1"/>
    <row r="289" ht="14.1" customHeight="1"/>
    <row r="290" ht="14.1" customHeight="1"/>
    <row r="291" ht="14.1" customHeight="1"/>
    <row r="292" ht="14.1" customHeight="1"/>
    <row r="293" ht="14.1" customHeight="1"/>
    <row r="294" ht="14.1" customHeight="1"/>
    <row r="295" ht="14.1" customHeight="1"/>
    <row r="296" ht="14.1" customHeight="1"/>
    <row r="297" ht="14.1" customHeight="1"/>
    <row r="298" ht="14.1" customHeight="1"/>
    <row r="299" ht="14.1" customHeight="1"/>
    <row r="300" ht="14.1" customHeight="1"/>
    <row r="301" ht="14.1" customHeight="1"/>
    <row r="302" ht="14.1" customHeight="1"/>
    <row r="303" ht="14.1" customHeight="1"/>
    <row r="304" ht="14.1" customHeight="1"/>
    <row r="305" ht="14.1" customHeight="1"/>
    <row r="306" ht="14.1" customHeight="1"/>
    <row r="307" ht="14.1" customHeight="1"/>
    <row r="308" ht="14.1" customHeight="1"/>
    <row r="309" ht="14.1" customHeight="1"/>
    <row r="310" ht="14.1" customHeight="1"/>
    <row r="311" ht="14.1" customHeight="1"/>
    <row r="312" ht="14.1" customHeight="1"/>
    <row r="313" ht="14.1" customHeight="1"/>
    <row r="314" ht="14.1" customHeight="1"/>
    <row r="315" ht="14.1" customHeight="1"/>
    <row r="316" ht="14.1" customHeight="1"/>
    <row r="317" ht="14.1" customHeight="1"/>
    <row r="318" ht="14.1" customHeight="1"/>
    <row r="319" ht="14.1" customHeight="1"/>
    <row r="320" ht="14.1" customHeight="1"/>
    <row r="321" ht="14.1" customHeight="1"/>
    <row r="322" ht="14.1" customHeight="1"/>
    <row r="323" ht="14.1" customHeight="1"/>
    <row r="324" ht="14.1" customHeight="1"/>
    <row r="325" ht="14.1" customHeight="1"/>
    <row r="326" ht="14.1" customHeight="1"/>
    <row r="327" ht="14.1" customHeight="1"/>
    <row r="328" ht="14.1" customHeight="1"/>
    <row r="329" ht="14.1" customHeight="1"/>
    <row r="330" ht="14.1" customHeight="1"/>
    <row r="331" ht="14.1" customHeight="1"/>
    <row r="332" ht="14.1" customHeight="1"/>
    <row r="333" ht="14.1" customHeight="1"/>
    <row r="334" ht="14.1" customHeight="1"/>
    <row r="335" ht="14.1" customHeight="1"/>
    <row r="336" ht="14.1" customHeight="1"/>
    <row r="337" ht="14.1" customHeight="1"/>
    <row r="338" ht="14.1" customHeight="1"/>
    <row r="339" ht="14.1" customHeight="1"/>
    <row r="340" ht="14.1" customHeight="1"/>
    <row r="341" ht="14.1" customHeight="1"/>
    <row r="342" ht="14.1" customHeight="1"/>
    <row r="343" ht="14.1" customHeight="1"/>
    <row r="344" ht="14.1" customHeight="1"/>
    <row r="345" ht="14.1" customHeight="1"/>
    <row r="346" ht="14.1" customHeight="1"/>
    <row r="347" ht="14.1" customHeight="1"/>
    <row r="348" ht="14.1" customHeight="1"/>
    <row r="349" ht="14.1" customHeight="1"/>
    <row r="350" ht="14.1" customHeight="1"/>
    <row r="351" ht="14.1" customHeight="1"/>
    <row r="352" ht="14.1" customHeight="1"/>
    <row r="353" ht="14.1" customHeight="1"/>
    <row r="354" ht="14.1" customHeight="1"/>
    <row r="355" ht="14.1" customHeight="1"/>
    <row r="356" ht="14.1" customHeight="1"/>
    <row r="357" ht="14.1" customHeight="1"/>
    <row r="358" ht="14.1" customHeight="1"/>
    <row r="359" ht="14.1" customHeight="1"/>
    <row r="360" ht="14.1" customHeight="1"/>
    <row r="361" ht="14.1" customHeight="1"/>
    <row r="362" ht="14.1" customHeight="1"/>
    <row r="363" ht="14.1" customHeight="1"/>
    <row r="364" ht="14.1" customHeight="1"/>
    <row r="365" ht="14.1" customHeight="1"/>
    <row r="366" ht="14.1" customHeight="1"/>
    <row r="367" ht="14.1" customHeight="1"/>
    <row r="368" ht="14.1" customHeight="1"/>
    <row r="369" ht="14.1" customHeight="1"/>
    <row r="370" ht="14.1" customHeight="1"/>
    <row r="371" ht="14.1" customHeight="1"/>
    <row r="372" ht="14.1" customHeight="1"/>
    <row r="373" ht="14.1" customHeight="1"/>
    <row r="374" ht="14.1" customHeight="1"/>
    <row r="375" ht="14.1" customHeight="1"/>
    <row r="376" ht="14.1" customHeight="1"/>
    <row r="377" ht="14.1" customHeight="1"/>
    <row r="378" ht="14.1" customHeight="1"/>
    <row r="379" ht="14.1" customHeight="1"/>
    <row r="380" ht="14.1" customHeight="1"/>
    <row r="381" ht="14.1" customHeight="1"/>
    <row r="382" ht="14.1" customHeight="1"/>
    <row r="383" ht="14.1" customHeight="1"/>
    <row r="384" ht="14.1" customHeight="1"/>
    <row r="385" ht="14.1" customHeight="1"/>
    <row r="386" ht="14.1" customHeight="1"/>
    <row r="387" ht="14.1" customHeight="1"/>
    <row r="388" ht="14.1" customHeight="1"/>
    <row r="389" ht="14.1" customHeight="1"/>
    <row r="390" ht="14.1" customHeight="1"/>
    <row r="391" ht="14.1" customHeight="1"/>
    <row r="392" ht="14.1" customHeight="1"/>
    <row r="393" ht="14.1" customHeight="1"/>
    <row r="394" ht="14.1" customHeight="1"/>
    <row r="395" ht="14.1" customHeight="1"/>
    <row r="396" ht="14.1" customHeight="1"/>
    <row r="397" ht="14.1" customHeight="1"/>
    <row r="398" ht="14.1" customHeight="1"/>
    <row r="399" ht="14.1" customHeight="1"/>
    <row r="400" ht="14.1" customHeight="1"/>
    <row r="401" ht="14.1" customHeight="1"/>
    <row r="402" ht="14.1" customHeight="1"/>
    <row r="403" ht="14.1" customHeight="1"/>
    <row r="404" ht="14.1" customHeight="1"/>
    <row r="405" ht="14.1" customHeight="1"/>
    <row r="406" ht="14.1" customHeight="1"/>
    <row r="407" ht="14.1" customHeight="1"/>
    <row r="408" ht="14.1" customHeight="1"/>
    <row r="409" ht="14.1" customHeight="1"/>
    <row r="410" ht="14.1" customHeight="1"/>
    <row r="411" ht="14.1" customHeight="1"/>
    <row r="412" ht="14.1" customHeight="1"/>
    <row r="413" ht="14.1" customHeight="1"/>
    <row r="414" ht="14.1" customHeight="1"/>
    <row r="415" ht="14.1" customHeight="1"/>
    <row r="416" ht="14.1" customHeight="1"/>
    <row r="417" ht="14.1" customHeight="1"/>
    <row r="418" ht="14.1" customHeight="1"/>
    <row r="419" ht="14.1" customHeight="1"/>
    <row r="420" ht="14.1" customHeight="1"/>
    <row r="421" ht="14.1" customHeight="1"/>
    <row r="422" ht="14.1" customHeight="1"/>
    <row r="423" ht="14.1" customHeight="1"/>
    <row r="424" ht="14.1" customHeight="1"/>
    <row r="425" ht="14.1" customHeight="1"/>
    <row r="426" ht="14.1" customHeight="1"/>
    <row r="427" ht="14.1" customHeight="1"/>
    <row r="428" ht="14.1" customHeight="1"/>
    <row r="429" ht="14.1" customHeight="1"/>
    <row r="430" ht="14.1" customHeight="1"/>
    <row r="431" ht="14.1" customHeight="1"/>
    <row r="432" ht="14.1" customHeight="1"/>
    <row r="433" ht="14.1" customHeight="1"/>
    <row r="434" ht="14.1" customHeight="1"/>
    <row r="435" ht="14.1" customHeight="1"/>
    <row r="436" ht="14.1" customHeight="1"/>
    <row r="437" ht="14.1" customHeight="1"/>
    <row r="438" ht="14.1" customHeight="1"/>
    <row r="439" ht="14.1" customHeight="1"/>
    <row r="440" ht="14.1" customHeight="1"/>
    <row r="441" ht="14.1" customHeight="1"/>
    <row r="442" ht="14.1" customHeight="1"/>
    <row r="443" ht="14.1" customHeight="1"/>
    <row r="444" ht="14.1" customHeight="1"/>
    <row r="445" ht="14.1" customHeight="1"/>
    <row r="446" ht="14.1" customHeight="1"/>
    <row r="447" ht="14.1" customHeight="1"/>
    <row r="448" ht="14.1" customHeight="1"/>
    <row r="449" ht="14.1" customHeight="1"/>
    <row r="450" ht="14.1" customHeight="1"/>
    <row r="451" ht="14.1" customHeight="1"/>
    <row r="452" ht="14.1" customHeight="1"/>
    <row r="453" ht="14.1" customHeight="1"/>
    <row r="454" ht="14.1" customHeight="1"/>
    <row r="455" ht="14.1" customHeight="1"/>
    <row r="456" ht="14.1" customHeight="1"/>
    <row r="457" ht="14.1" customHeight="1"/>
    <row r="458" ht="14.1" customHeight="1"/>
    <row r="459" ht="14.1" customHeight="1"/>
    <row r="460" ht="14.1" customHeight="1"/>
    <row r="461" ht="14.1" customHeight="1"/>
    <row r="462" ht="14.1" customHeight="1"/>
    <row r="463" ht="14.1" customHeight="1"/>
    <row r="464" ht="14.1" customHeight="1"/>
    <row r="465" ht="14.1" customHeight="1"/>
    <row r="466" ht="14.1" customHeight="1"/>
    <row r="467" ht="14.1" customHeight="1"/>
    <row r="468" ht="14.1" customHeight="1"/>
    <row r="469" ht="14.1" customHeight="1"/>
    <row r="470" ht="14.1" customHeight="1"/>
    <row r="471" ht="14.1" customHeight="1"/>
    <row r="472" ht="14.1" customHeight="1"/>
    <row r="473" ht="14.1" customHeight="1"/>
    <row r="474" ht="14.1" customHeight="1"/>
    <row r="475" ht="14.1" customHeight="1"/>
    <row r="476" ht="14.1" customHeight="1"/>
    <row r="477" ht="14.1" customHeight="1"/>
    <row r="478" ht="14.1" customHeight="1"/>
    <row r="479" ht="14.1" customHeight="1"/>
    <row r="480" ht="14.1" customHeight="1"/>
    <row r="481" ht="14.1" customHeight="1"/>
    <row r="482" ht="14.1" customHeight="1"/>
    <row r="483" ht="14.1" customHeight="1"/>
    <row r="484" ht="14.1" customHeight="1"/>
    <row r="485" ht="14.1" customHeight="1"/>
    <row r="486" ht="14.1" customHeight="1"/>
    <row r="487" ht="14.1" customHeight="1"/>
    <row r="488" ht="14.1" customHeight="1"/>
    <row r="489" ht="14.1" customHeight="1"/>
    <row r="490" ht="14.1" customHeight="1"/>
    <row r="491" ht="14.1" customHeight="1"/>
    <row r="492" ht="14.1" customHeight="1"/>
    <row r="493" ht="14.1" customHeight="1"/>
    <row r="494" ht="14.1" customHeight="1"/>
    <row r="495" ht="14.1" customHeight="1"/>
    <row r="496" ht="14.1" customHeight="1"/>
    <row r="497" ht="14.1" customHeight="1"/>
    <row r="498" ht="14.1" customHeight="1"/>
    <row r="499" ht="14.1" customHeight="1"/>
    <row r="500" ht="14.1" customHeight="1"/>
    <row r="501" ht="14.1" customHeight="1"/>
    <row r="502" ht="14.1" customHeight="1"/>
    <row r="503" ht="14.1" customHeight="1"/>
    <row r="504" ht="14.1" customHeight="1"/>
    <row r="505" ht="14.1" customHeight="1"/>
    <row r="506" ht="14.1" customHeight="1"/>
    <row r="507" ht="14.1" customHeight="1"/>
    <row r="508" ht="14.1" customHeight="1"/>
    <row r="509" ht="14.1" customHeight="1"/>
    <row r="510" ht="14.1" customHeight="1"/>
    <row r="511" ht="14.1" customHeight="1"/>
    <row r="512" ht="14.1" customHeight="1"/>
    <row r="513" ht="14.1" customHeight="1"/>
    <row r="514" ht="14.1" customHeight="1"/>
    <row r="515" ht="14.1" customHeight="1"/>
    <row r="516" ht="14.1" customHeight="1"/>
    <row r="517" ht="14.1" customHeight="1"/>
    <row r="518" ht="14.1" customHeight="1"/>
    <row r="519" ht="14.1" customHeight="1"/>
    <row r="520" ht="14.1" customHeight="1"/>
    <row r="521" ht="14.1" customHeight="1"/>
    <row r="522" ht="14.1" customHeight="1"/>
    <row r="523" ht="14.1" customHeight="1"/>
    <row r="524" ht="14.1" customHeight="1"/>
    <row r="525" ht="14.1" customHeight="1"/>
    <row r="526" ht="14.1" customHeight="1"/>
    <row r="527" ht="14.1" customHeight="1"/>
    <row r="528" ht="14.1" customHeight="1"/>
    <row r="529" ht="14.1" customHeight="1"/>
    <row r="530" ht="14.1" customHeight="1"/>
    <row r="531" ht="14.1" customHeight="1"/>
    <row r="532" ht="14.1" customHeight="1"/>
    <row r="533" ht="14.1" customHeight="1"/>
    <row r="534" ht="14.1" customHeight="1"/>
    <row r="535" ht="14.1" customHeight="1"/>
    <row r="536" ht="14.1" customHeight="1"/>
    <row r="537" ht="14.1" customHeight="1"/>
    <row r="538" ht="14.1" customHeight="1"/>
    <row r="539" ht="14.1" customHeight="1"/>
    <row r="540" ht="14.1" customHeight="1"/>
    <row r="541" ht="14.1" customHeight="1"/>
    <row r="542" ht="14.1" customHeight="1"/>
    <row r="543" ht="14.1" customHeight="1"/>
    <row r="544" ht="14.1" customHeight="1"/>
    <row r="545" ht="14.1" customHeight="1"/>
    <row r="546" ht="14.1" customHeight="1"/>
    <row r="547" ht="14.1" customHeight="1"/>
    <row r="548" ht="14.1" customHeight="1"/>
    <row r="549" ht="14.1" customHeight="1"/>
    <row r="550" ht="14.1" customHeight="1"/>
    <row r="551" ht="14.1" customHeight="1"/>
    <row r="552" ht="14.1" customHeight="1"/>
    <row r="553" ht="14.1" customHeight="1"/>
    <row r="554" ht="14.1" customHeight="1"/>
    <row r="555" ht="14.1" customHeight="1"/>
    <row r="556" ht="14.1" customHeight="1"/>
    <row r="557" ht="14.1" customHeight="1"/>
    <row r="558" ht="14.1" customHeight="1"/>
    <row r="559" ht="14.1" customHeight="1"/>
    <row r="560" ht="14.1" customHeight="1"/>
    <row r="561" ht="14.1" customHeight="1"/>
    <row r="562" ht="14.1" customHeight="1"/>
    <row r="563" ht="14.1" customHeight="1"/>
    <row r="564" ht="14.1" customHeight="1"/>
    <row r="565" ht="14.1" customHeight="1"/>
    <row r="566" ht="14.1" customHeight="1"/>
    <row r="567" ht="14.1" customHeight="1"/>
    <row r="568" ht="14.1" customHeight="1"/>
    <row r="569" ht="14.1" customHeight="1"/>
    <row r="570" ht="14.1" customHeight="1"/>
    <row r="571" ht="14.1" customHeight="1"/>
    <row r="572" ht="14.1" customHeight="1"/>
    <row r="573" ht="14.1" customHeight="1"/>
    <row r="574" ht="14.1" customHeight="1"/>
    <row r="575" ht="14.1" customHeight="1"/>
    <row r="576" ht="14.1" customHeight="1"/>
    <row r="577" ht="14.1" customHeight="1"/>
    <row r="578" ht="14.1" customHeight="1"/>
    <row r="579" ht="14.1" customHeight="1"/>
    <row r="580" ht="14.1" customHeight="1"/>
    <row r="581" ht="14.1" customHeight="1"/>
    <row r="582" ht="14.1" customHeight="1"/>
    <row r="583" ht="14.1" customHeight="1"/>
    <row r="584" ht="14.1" customHeight="1"/>
    <row r="585" ht="14.1" customHeight="1"/>
    <row r="586" ht="14.1" customHeight="1"/>
    <row r="587" ht="14.1" customHeight="1"/>
    <row r="588" ht="14.1" customHeight="1"/>
    <row r="589" ht="14.1" customHeight="1"/>
    <row r="590" ht="14.1" customHeight="1"/>
    <row r="591" ht="14.1" customHeight="1"/>
    <row r="592" ht="14.1" customHeight="1"/>
    <row r="593" ht="14.1" customHeight="1"/>
    <row r="594" ht="14.1" customHeight="1"/>
    <row r="595" ht="14.1" customHeight="1"/>
    <row r="596" ht="14.1" customHeight="1"/>
    <row r="597" ht="14.1" customHeight="1"/>
    <row r="598" ht="14.1" customHeight="1"/>
    <row r="599" ht="14.1" customHeight="1"/>
    <row r="600" ht="14.1" customHeight="1"/>
    <row r="601" ht="14.1" customHeight="1"/>
    <row r="602" ht="14.1" customHeight="1"/>
    <row r="603" ht="14.1" customHeight="1"/>
    <row r="604" ht="14.1" customHeight="1"/>
    <row r="605" ht="14.1" customHeight="1"/>
    <row r="606" ht="14.1" customHeight="1"/>
    <row r="607" ht="14.1" customHeight="1"/>
    <row r="608" ht="14.1" customHeight="1"/>
    <row r="609" ht="14.1" customHeight="1"/>
    <row r="610" ht="14.1" customHeight="1"/>
    <row r="611" ht="14.1" customHeight="1"/>
    <row r="612" ht="14.1" customHeight="1"/>
    <row r="613" ht="14.1" customHeight="1"/>
    <row r="614" ht="14.1" customHeight="1"/>
    <row r="615" ht="14.1" customHeight="1"/>
    <row r="616" ht="14.1" customHeight="1"/>
    <row r="617" ht="14.1" customHeight="1"/>
    <row r="618" ht="14.1" customHeight="1"/>
    <row r="619" ht="14.1" customHeight="1"/>
    <row r="620" ht="14.1" customHeight="1"/>
    <row r="621" ht="14.1" customHeight="1"/>
    <row r="622" ht="14.1" customHeight="1"/>
    <row r="623" ht="14.1" customHeight="1"/>
    <row r="624" ht="14.1" customHeight="1"/>
    <row r="625" ht="14.1" customHeight="1"/>
    <row r="626" ht="14.1" customHeight="1"/>
    <row r="627" ht="14.1" customHeight="1"/>
    <row r="628" ht="14.1" customHeight="1"/>
    <row r="629" ht="14.1" customHeight="1"/>
    <row r="630" ht="14.1" customHeight="1"/>
    <row r="631" ht="14.1" customHeight="1"/>
    <row r="632" ht="14.1" customHeight="1"/>
    <row r="633" ht="14.1" customHeight="1"/>
    <row r="634" ht="14.1" customHeight="1"/>
    <row r="635" ht="14.1" customHeight="1"/>
    <row r="636" ht="14.1" customHeight="1"/>
    <row r="637" ht="14.1" customHeight="1"/>
    <row r="638" ht="14.1" customHeight="1"/>
    <row r="639" ht="14.1" customHeight="1"/>
    <row r="640" ht="14.1" customHeight="1"/>
    <row r="641" ht="14.1" customHeight="1"/>
    <row r="642" ht="14.1" customHeight="1"/>
    <row r="643" ht="14.1" customHeight="1"/>
    <row r="644" ht="14.1" customHeight="1"/>
    <row r="645" ht="14.1" customHeight="1"/>
    <row r="646" ht="14.1" customHeight="1"/>
    <row r="647" ht="14.1" customHeight="1"/>
    <row r="648" ht="14.1" customHeight="1"/>
    <row r="649" ht="14.1" customHeight="1"/>
    <row r="650" ht="14.1" customHeight="1"/>
    <row r="651" ht="14.1" customHeight="1"/>
    <row r="652" ht="14.1" customHeight="1"/>
    <row r="653" ht="14.1" customHeight="1"/>
    <row r="654" ht="14.1" customHeight="1"/>
    <row r="655" ht="14.1" customHeight="1"/>
    <row r="656" ht="14.1" customHeight="1"/>
    <row r="657" ht="14.1" customHeight="1"/>
    <row r="658" ht="14.1" customHeight="1"/>
    <row r="659" ht="14.1" customHeight="1"/>
    <row r="660" ht="14.1" customHeight="1"/>
    <row r="661" ht="14.1" customHeight="1"/>
    <row r="662" ht="14.1" customHeight="1"/>
    <row r="663" ht="14.1" customHeight="1"/>
    <row r="664" ht="14.1" customHeight="1"/>
    <row r="665" ht="14.1" customHeight="1"/>
    <row r="666" ht="14.1" customHeight="1"/>
    <row r="667" ht="14.1" customHeight="1"/>
    <row r="668" ht="14.1" customHeight="1"/>
    <row r="669" ht="14.1" customHeight="1"/>
    <row r="670" ht="14.1" customHeight="1"/>
    <row r="671" ht="14.1" customHeight="1"/>
    <row r="672" ht="14.1" customHeight="1"/>
    <row r="673" ht="14.1" customHeight="1"/>
    <row r="674" ht="14.1" customHeight="1"/>
    <row r="675" ht="14.1" customHeight="1"/>
    <row r="676" ht="14.1" customHeight="1"/>
    <row r="677" ht="14.1" customHeight="1"/>
    <row r="678" ht="14.1" customHeight="1"/>
    <row r="679" ht="14.1" customHeight="1"/>
    <row r="680" ht="14.1" customHeight="1"/>
    <row r="681" ht="14.1" customHeight="1"/>
    <row r="682" ht="14.1" customHeight="1"/>
    <row r="683" ht="14.1" customHeight="1"/>
    <row r="684" ht="14.1" customHeight="1"/>
    <row r="685" ht="14.1" customHeight="1"/>
    <row r="686" ht="14.1" customHeight="1"/>
    <row r="687" ht="14.1" customHeight="1"/>
    <row r="688" ht="14.1" customHeight="1"/>
    <row r="689" ht="14.1" customHeight="1"/>
    <row r="690" ht="14.1" customHeight="1"/>
    <row r="691" ht="14.1" customHeight="1"/>
    <row r="692" ht="14.1" customHeight="1"/>
    <row r="693" ht="14.1" customHeight="1"/>
    <row r="694" ht="14.1" customHeight="1"/>
    <row r="695" ht="14.1" customHeight="1"/>
    <row r="696" ht="14.1" customHeight="1"/>
    <row r="697" ht="14.1" customHeight="1"/>
    <row r="698" ht="14.1" customHeight="1"/>
    <row r="699" ht="14.1" customHeight="1"/>
    <row r="700" ht="14.1" customHeight="1"/>
    <row r="701" ht="14.1" customHeight="1"/>
    <row r="702" ht="14.1" customHeight="1"/>
    <row r="703" ht="14.1" customHeight="1"/>
    <row r="704" ht="14.1" customHeight="1"/>
    <row r="705" ht="14.1" customHeight="1"/>
    <row r="706" ht="14.1" customHeight="1"/>
    <row r="707" ht="14.1" customHeight="1"/>
    <row r="708" ht="14.1" customHeight="1"/>
    <row r="709" ht="14.1" customHeight="1"/>
    <row r="710" ht="14.1" customHeight="1"/>
    <row r="711" ht="14.1" customHeight="1"/>
    <row r="712" ht="14.1" customHeight="1"/>
    <row r="713" ht="14.1" customHeight="1"/>
    <row r="714" ht="14.1" customHeight="1"/>
    <row r="715" ht="14.1" customHeight="1"/>
    <row r="716" ht="14.1" customHeight="1"/>
    <row r="717" ht="14.1" customHeight="1"/>
    <row r="718" ht="14.1" customHeight="1"/>
    <row r="719" ht="14.1" customHeight="1"/>
    <row r="720" ht="14.1" customHeight="1"/>
    <row r="721" ht="14.1" customHeight="1"/>
    <row r="722" ht="14.1" customHeight="1"/>
    <row r="723" ht="14.1" customHeight="1"/>
    <row r="724" ht="14.1" customHeight="1"/>
    <row r="725" ht="14.1" customHeight="1"/>
    <row r="726" ht="14.1" customHeight="1"/>
    <row r="727" ht="14.1" customHeight="1"/>
    <row r="728" ht="14.1" customHeight="1"/>
    <row r="729" ht="14.1" customHeight="1"/>
    <row r="730" ht="14.1" customHeight="1"/>
    <row r="731" ht="14.1" customHeight="1"/>
    <row r="732" ht="14.1" customHeight="1"/>
    <row r="733" ht="14.1" customHeight="1"/>
    <row r="734" ht="14.1" customHeight="1"/>
    <row r="735" ht="14.1" customHeight="1"/>
    <row r="736" ht="14.1" customHeight="1"/>
    <row r="737" ht="14.1" customHeight="1"/>
    <row r="738" ht="14.1" customHeight="1"/>
    <row r="739" ht="14.1" customHeight="1"/>
    <row r="740" ht="14.1" customHeight="1"/>
    <row r="741" ht="14.1" customHeight="1"/>
    <row r="742" ht="14.1" customHeight="1"/>
    <row r="743" ht="14.1" customHeight="1"/>
    <row r="744" ht="14.1" customHeight="1"/>
    <row r="745" ht="14.1" customHeight="1"/>
    <row r="746" ht="14.1" customHeight="1"/>
    <row r="747" ht="14.1" customHeight="1"/>
    <row r="748" ht="14.1" customHeight="1"/>
    <row r="749" ht="14.1" customHeight="1"/>
    <row r="750" ht="14.1" customHeight="1"/>
    <row r="751" ht="14.1" customHeight="1"/>
    <row r="752" ht="14.1" customHeight="1"/>
    <row r="753" ht="14.1" customHeight="1"/>
    <row r="754" ht="14.1" customHeight="1"/>
    <row r="755" ht="14.1" customHeight="1"/>
    <row r="756" ht="14.1" customHeight="1"/>
    <row r="757" ht="14.1" customHeight="1"/>
    <row r="758" ht="14.1" customHeight="1"/>
    <row r="759" ht="14.1" customHeight="1"/>
    <row r="760" ht="14.1" customHeight="1"/>
    <row r="761" ht="14.1" customHeight="1"/>
    <row r="762" ht="14.1" customHeight="1"/>
    <row r="763" ht="14.1" customHeight="1"/>
    <row r="764" ht="14.1" customHeight="1"/>
    <row r="765" ht="14.1" customHeight="1"/>
    <row r="766" ht="14.1" customHeight="1"/>
    <row r="767" ht="14.1" customHeight="1"/>
    <row r="768" ht="14.1" customHeight="1"/>
    <row r="769" ht="14.1" customHeight="1"/>
    <row r="770" ht="14.1" customHeight="1"/>
    <row r="771" ht="14.1" customHeight="1"/>
    <row r="772" ht="14.1" customHeight="1"/>
    <row r="773" ht="14.1" customHeight="1"/>
    <row r="774" ht="14.1" customHeight="1"/>
    <row r="775" ht="14.1" customHeight="1"/>
    <row r="776" ht="14.1" customHeight="1"/>
    <row r="777" ht="14.1" customHeight="1"/>
    <row r="778" ht="14.1" customHeight="1"/>
    <row r="779" ht="14.1" customHeight="1"/>
    <row r="780" ht="14.1" customHeight="1"/>
    <row r="781" ht="14.1" customHeight="1"/>
    <row r="782" ht="14.1" customHeight="1"/>
    <row r="783" ht="14.1" customHeight="1"/>
    <row r="784" ht="14.1" customHeight="1"/>
    <row r="785" ht="14.1" customHeight="1"/>
    <row r="786" ht="14.1" customHeight="1"/>
    <row r="787" ht="14.1" customHeight="1"/>
    <row r="788" ht="14.1" customHeight="1"/>
    <row r="789" ht="14.1" customHeight="1"/>
    <row r="790" ht="14.1" customHeight="1"/>
    <row r="791" ht="14.1" customHeight="1"/>
    <row r="792" ht="14.1" customHeight="1"/>
    <row r="793" ht="14.1" customHeight="1"/>
    <row r="794" ht="14.1" customHeight="1"/>
    <row r="795" ht="14.1" customHeight="1"/>
    <row r="796" ht="14.1" customHeight="1"/>
    <row r="797" ht="14.1" customHeight="1"/>
    <row r="798" ht="14.1" customHeight="1"/>
    <row r="799" ht="14.1" customHeight="1"/>
    <row r="800" ht="14.1" customHeight="1"/>
    <row r="801" ht="14.1" customHeight="1"/>
    <row r="802" ht="14.1" customHeight="1"/>
    <row r="803" ht="14.1" customHeight="1"/>
    <row r="804" ht="14.1" customHeight="1"/>
    <row r="805" ht="14.1" customHeight="1"/>
    <row r="806" ht="14.1" customHeight="1"/>
    <row r="807" ht="14.1" customHeight="1"/>
    <row r="808" ht="14.1" customHeight="1"/>
    <row r="809" ht="14.1" customHeight="1"/>
    <row r="810" ht="14.1" customHeight="1"/>
    <row r="811" ht="14.1" customHeight="1"/>
    <row r="812" ht="14.1" customHeight="1"/>
    <row r="813" ht="14.1" customHeight="1"/>
    <row r="814" ht="14.1" customHeight="1"/>
    <row r="815" ht="14.1" customHeight="1"/>
    <row r="816" ht="14.1" customHeight="1"/>
    <row r="817" ht="14.1" customHeight="1"/>
    <row r="818" ht="14.1" customHeight="1"/>
    <row r="819" ht="14.1" customHeight="1"/>
    <row r="820" ht="14.1" customHeight="1"/>
    <row r="821" ht="14.1" customHeight="1"/>
    <row r="822" ht="14.1" customHeight="1"/>
    <row r="823" ht="14.1" customHeight="1"/>
    <row r="824" ht="14.1" customHeight="1"/>
    <row r="825" ht="14.1" customHeight="1"/>
    <row r="826" ht="14.1" customHeight="1"/>
    <row r="827" ht="14.1" customHeight="1"/>
    <row r="828" ht="14.1" customHeight="1"/>
    <row r="829" ht="14.1" customHeight="1"/>
    <row r="830" ht="14.1" customHeight="1"/>
    <row r="831" ht="14.1" customHeight="1"/>
    <row r="832" ht="14.1" customHeight="1"/>
    <row r="833" ht="14.1" customHeight="1"/>
    <row r="834" ht="14.1" customHeight="1"/>
    <row r="835" ht="14.1" customHeight="1"/>
    <row r="836" ht="14.1" customHeight="1"/>
    <row r="837" ht="14.1" customHeight="1"/>
    <row r="838" ht="14.1" customHeight="1"/>
    <row r="839" ht="14.1" customHeight="1"/>
    <row r="840" ht="14.1" customHeight="1"/>
    <row r="841" ht="14.1" customHeight="1"/>
    <row r="842" ht="14.1" customHeight="1"/>
    <row r="843" ht="14.1" customHeight="1"/>
    <row r="844" ht="14.1" customHeight="1"/>
    <row r="845" ht="14.1" customHeight="1"/>
    <row r="846" ht="14.1" customHeight="1"/>
    <row r="847" ht="14.1" customHeight="1"/>
    <row r="848" ht="14.1" customHeight="1"/>
    <row r="849" ht="14.1" customHeight="1"/>
    <row r="850" ht="14.1" customHeight="1"/>
    <row r="851" ht="14.1" customHeight="1"/>
    <row r="852" ht="14.1" customHeight="1"/>
    <row r="853" ht="14.1" customHeight="1"/>
    <row r="854" ht="14.1" customHeight="1"/>
    <row r="855" ht="14.1" customHeight="1"/>
    <row r="856" ht="14.1" customHeight="1"/>
    <row r="857" ht="14.1" customHeight="1"/>
    <row r="858" ht="14.1" customHeight="1"/>
    <row r="859" ht="14.1" customHeight="1"/>
    <row r="860" ht="14.1" customHeight="1"/>
    <row r="861" ht="14.1" customHeight="1"/>
    <row r="862" ht="14.1" customHeight="1"/>
    <row r="863" ht="14.1" customHeight="1"/>
    <row r="864" ht="14.1" customHeight="1"/>
    <row r="865" ht="14.1" customHeight="1"/>
    <row r="866" ht="14.1" customHeight="1"/>
    <row r="867" ht="14.1" customHeight="1"/>
    <row r="868" ht="14.1" customHeight="1"/>
    <row r="869" ht="14.1" customHeight="1"/>
    <row r="870" ht="14.1" customHeight="1"/>
    <row r="871" ht="14.1" customHeight="1"/>
    <row r="872" ht="14.1" customHeight="1"/>
    <row r="873" ht="14.1" customHeight="1"/>
    <row r="874" ht="14.1" customHeight="1"/>
    <row r="875" ht="14.1" customHeight="1"/>
    <row r="876" ht="14.1" customHeight="1"/>
    <row r="877" ht="14.1" customHeight="1"/>
    <row r="878" ht="14.1" customHeight="1"/>
    <row r="879" ht="14.1" customHeight="1"/>
    <row r="880" ht="14.1" customHeight="1"/>
    <row r="881" ht="14.1" customHeight="1"/>
    <row r="882" ht="14.1" customHeight="1"/>
    <row r="883" ht="14.1" customHeight="1"/>
    <row r="884" ht="14.1" customHeight="1"/>
    <row r="885" ht="14.1" customHeight="1"/>
    <row r="886" ht="14.1" customHeight="1"/>
    <row r="887" ht="14.1" customHeight="1"/>
    <row r="888" ht="14.1" customHeight="1"/>
    <row r="889" ht="14.1" customHeight="1"/>
    <row r="890" ht="14.1" customHeight="1"/>
    <row r="891" ht="14.1" customHeight="1"/>
    <row r="892" ht="14.1" customHeight="1"/>
    <row r="893" ht="14.1" customHeight="1"/>
    <row r="894" ht="14.1" customHeight="1"/>
    <row r="895" ht="14.1" customHeight="1"/>
    <row r="896" ht="14.1" customHeight="1"/>
    <row r="897" ht="14.1" customHeight="1"/>
    <row r="898" ht="14.1" customHeight="1"/>
    <row r="899" ht="14.1" customHeight="1"/>
    <row r="900" ht="14.1" customHeight="1"/>
    <row r="901" ht="14.1" customHeight="1"/>
    <row r="902" ht="14.1" customHeight="1"/>
    <row r="903" ht="14.1" customHeight="1"/>
    <row r="904" ht="14.1" customHeight="1"/>
    <row r="905" ht="14.1" customHeight="1"/>
    <row r="906" ht="14.1" customHeight="1"/>
    <row r="907" ht="14.1" customHeight="1"/>
    <row r="908" ht="14.1" customHeight="1"/>
    <row r="909" ht="14.1" customHeight="1"/>
    <row r="910" ht="14.1" customHeight="1"/>
    <row r="911" ht="14.1" customHeight="1"/>
    <row r="912" ht="14.1" customHeight="1"/>
    <row r="913" ht="14.1" customHeight="1"/>
    <row r="914" ht="14.1" customHeight="1"/>
    <row r="915" ht="14.1" customHeight="1"/>
    <row r="916" ht="14.1" customHeight="1"/>
    <row r="917" ht="14.1" customHeight="1"/>
    <row r="918" ht="14.1" customHeight="1"/>
    <row r="919" ht="14.1" customHeight="1"/>
    <row r="920" ht="14.1" customHeight="1"/>
    <row r="921" ht="14.1" customHeight="1"/>
    <row r="922" ht="14.1" customHeight="1"/>
    <row r="923" ht="14.1" customHeight="1"/>
    <row r="924" ht="14.1" customHeight="1"/>
    <row r="925" ht="14.1" customHeight="1"/>
    <row r="926" ht="14.1" customHeight="1"/>
    <row r="927" ht="14.1" customHeight="1"/>
    <row r="928" ht="14.1" customHeight="1"/>
    <row r="929" ht="14.1" customHeight="1"/>
    <row r="930" ht="14.1" customHeight="1"/>
    <row r="931" ht="14.1" customHeight="1"/>
    <row r="932" ht="14.1" customHeight="1"/>
    <row r="933" ht="14.1" customHeight="1"/>
    <row r="934" ht="14.1" customHeight="1"/>
    <row r="935" ht="14.1" customHeight="1"/>
    <row r="936" ht="14.1" customHeight="1"/>
    <row r="937" ht="14.1" customHeight="1"/>
    <row r="938" ht="14.1" customHeight="1"/>
    <row r="939" ht="14.1" customHeight="1"/>
    <row r="940" ht="14.1" customHeight="1"/>
    <row r="941" ht="14.1" customHeight="1"/>
    <row r="942" ht="14.1" customHeight="1"/>
    <row r="943" ht="14.1" customHeight="1"/>
    <row r="944" ht="14.1" customHeight="1"/>
    <row r="945" ht="14.1" customHeight="1"/>
    <row r="946" ht="14.1" customHeight="1"/>
    <row r="947" ht="14.1" customHeight="1"/>
    <row r="948" ht="14.1" customHeight="1"/>
    <row r="949" ht="14.1" customHeight="1"/>
    <row r="950" ht="14.1" customHeight="1"/>
    <row r="951" ht="14.1" customHeight="1"/>
    <row r="952" ht="14.1" customHeight="1"/>
    <row r="953" ht="14.1" customHeight="1"/>
    <row r="954" ht="14.1" customHeight="1"/>
    <row r="955" ht="14.1" customHeight="1"/>
    <row r="956" ht="14.1" customHeight="1"/>
    <row r="957" ht="14.1" customHeight="1"/>
    <row r="958" ht="14.1" customHeight="1"/>
    <row r="959" ht="14.1" customHeight="1"/>
    <row r="960" ht="14.1" customHeight="1"/>
    <row r="961" ht="14.1" customHeight="1"/>
    <row r="962" ht="14.1" customHeight="1"/>
    <row r="963" ht="14.1" customHeight="1"/>
    <row r="964" ht="14.1" customHeight="1"/>
    <row r="965" ht="14.1" customHeight="1"/>
    <row r="966" ht="14.1" customHeight="1"/>
    <row r="967" ht="14.1" customHeight="1"/>
    <row r="968" ht="14.1" customHeight="1"/>
    <row r="969" ht="14.1" customHeight="1"/>
    <row r="970" ht="14.1" customHeight="1"/>
    <row r="971" ht="14.1" customHeight="1"/>
    <row r="972" ht="14.1" customHeight="1"/>
    <row r="973" ht="14.1" customHeight="1"/>
    <row r="974" ht="14.1" customHeight="1"/>
    <row r="975" ht="14.1" customHeight="1"/>
    <row r="976" ht="14.1" customHeight="1"/>
    <row r="977" ht="14.1" customHeight="1"/>
    <row r="978" ht="14.1" customHeight="1"/>
    <row r="979" ht="14.1" customHeight="1"/>
    <row r="980" ht="14.1" customHeight="1"/>
    <row r="981" ht="14.1" customHeight="1"/>
    <row r="982" ht="14.1" customHeight="1"/>
    <row r="983" ht="14.1" customHeight="1"/>
    <row r="984" ht="14.1" customHeight="1"/>
    <row r="985" ht="14.1" customHeight="1"/>
    <row r="986" ht="14.1" customHeight="1"/>
    <row r="987" ht="14.1" customHeight="1"/>
    <row r="988" ht="14.1" customHeight="1"/>
    <row r="989" ht="14.1" customHeight="1"/>
    <row r="990" ht="14.1" customHeight="1"/>
    <row r="991" ht="14.1" customHeight="1"/>
    <row r="992" ht="14.1" customHeight="1"/>
    <row r="993" ht="14.1" customHeight="1"/>
    <row r="994" ht="14.1" customHeight="1"/>
    <row r="995" ht="14.1" customHeight="1"/>
    <row r="996" ht="14.1" customHeight="1"/>
    <row r="997" ht="14.1" customHeight="1"/>
    <row r="998" ht="14.1" customHeight="1"/>
    <row r="999" ht="14.1" customHeight="1"/>
    <row r="1000" ht="14.1" customHeight="1"/>
    <row r="1001" ht="14.1" customHeight="1"/>
    <row r="1002" ht="14.1" customHeight="1"/>
    <row r="1003" ht="14.1" customHeight="1"/>
    <row r="1004" ht="14.1" customHeight="1"/>
    <row r="1005" ht="14.1" customHeight="1"/>
    <row r="1006" ht="14.1" customHeight="1"/>
    <row r="1007" ht="14.1" customHeight="1"/>
    <row r="1008" ht="14.1" customHeight="1"/>
    <row r="1009" ht="14.1" customHeight="1"/>
    <row r="1010" ht="14.1" customHeight="1"/>
    <row r="1011" ht="14.1" customHeight="1"/>
    <row r="1012" ht="14.1" customHeight="1"/>
    <row r="1013" ht="14.1" customHeight="1"/>
    <row r="1014" ht="14.1" customHeight="1"/>
    <row r="1015" ht="14.1" customHeight="1"/>
    <row r="1016" ht="14.1" customHeight="1"/>
    <row r="1017" ht="14.1" customHeight="1"/>
    <row r="1018" ht="14.1" customHeight="1"/>
    <row r="1019" ht="14.1" customHeight="1"/>
    <row r="1020" ht="14.1" customHeight="1"/>
    <row r="1021" ht="14.1" customHeight="1"/>
    <row r="1022" ht="14.1" customHeight="1"/>
    <row r="1023" ht="14.1" customHeight="1"/>
    <row r="1024" ht="14.1" customHeight="1"/>
    <row r="1025" ht="14.1" customHeight="1"/>
    <row r="1026" ht="14.1" customHeight="1"/>
    <row r="1027" ht="14.1" customHeight="1"/>
    <row r="1028" ht="14.1" customHeight="1"/>
    <row r="1029" ht="14.1" customHeight="1"/>
    <row r="1030" ht="14.1" customHeight="1"/>
    <row r="1031" ht="14.1" customHeight="1"/>
    <row r="1032" ht="14.1" customHeight="1"/>
    <row r="1033" ht="14.1" customHeight="1"/>
    <row r="1034" ht="14.1" customHeight="1"/>
    <row r="1035" ht="14.1" customHeight="1"/>
    <row r="1036" ht="14.1" customHeight="1"/>
    <row r="1037" ht="14.1" customHeight="1"/>
    <row r="1038" ht="14.1" customHeight="1"/>
    <row r="1039" ht="14.1" customHeight="1"/>
    <row r="1040" ht="14.1" customHeight="1"/>
    <row r="1041" ht="14.1" customHeight="1"/>
    <row r="1042" ht="14.1" customHeight="1"/>
    <row r="1043" ht="14.1" customHeight="1"/>
    <row r="1044" ht="14.1" customHeight="1"/>
    <row r="1045" ht="14.1" customHeight="1"/>
    <row r="1046" ht="14.1" customHeight="1"/>
    <row r="1047" ht="14.1" customHeight="1"/>
    <row r="1048" ht="14.1" customHeight="1"/>
    <row r="1049" ht="14.1" customHeight="1"/>
    <row r="1050" ht="14.1" customHeight="1"/>
    <row r="1051" ht="14.1" customHeight="1"/>
    <row r="1052" ht="14.1" customHeight="1"/>
    <row r="1053" ht="14.1" customHeight="1"/>
    <row r="1054" ht="14.1" customHeight="1"/>
    <row r="1055" ht="14.1" customHeight="1"/>
    <row r="1056" ht="14.1" customHeight="1"/>
    <row r="1057" ht="14.1" customHeight="1"/>
    <row r="1058" ht="14.1" customHeight="1"/>
    <row r="1059" ht="14.1" customHeight="1"/>
    <row r="1060" ht="14.1" customHeight="1"/>
    <row r="1061" ht="14.1" customHeight="1"/>
    <row r="1062" ht="14.1" customHeight="1"/>
    <row r="1063" ht="14.1" customHeight="1"/>
    <row r="1064" ht="14.1" customHeight="1"/>
    <row r="1065" ht="14.1" customHeight="1"/>
    <row r="1066" ht="14.1" customHeight="1"/>
    <row r="1067" ht="14.1" customHeight="1"/>
    <row r="1068" ht="14.1" customHeight="1"/>
    <row r="1069" ht="14.1" customHeight="1"/>
    <row r="1070" ht="14.1" customHeight="1"/>
    <row r="1071" ht="14.1" customHeight="1"/>
    <row r="1072" ht="14.1" customHeight="1"/>
    <row r="1073" ht="14.1" customHeight="1"/>
    <row r="1074" ht="14.1" customHeight="1"/>
    <row r="1075" ht="14.1" customHeight="1"/>
    <row r="1076" ht="14.1" customHeight="1"/>
    <row r="1077" ht="14.1" customHeight="1"/>
    <row r="1078" ht="14.1" customHeight="1"/>
    <row r="1079" ht="14.1" customHeight="1"/>
    <row r="1080" ht="14.1" customHeight="1"/>
    <row r="1081" ht="14.1" customHeight="1"/>
    <row r="1082" ht="14.1" customHeight="1"/>
    <row r="1083" ht="14.1" customHeight="1"/>
    <row r="1084" ht="14.1" customHeight="1"/>
    <row r="1085" ht="14.1" customHeight="1"/>
    <row r="1086" ht="14.1" customHeight="1"/>
    <row r="1087" ht="14.1" customHeight="1"/>
    <row r="1088" ht="14.1" customHeight="1"/>
    <row r="1089" ht="14.1" customHeight="1"/>
    <row r="1090" ht="14.1" customHeight="1"/>
    <row r="1091" ht="14.1" customHeight="1"/>
    <row r="1092" ht="14.1" customHeight="1"/>
    <row r="1093" ht="14.1" customHeight="1"/>
    <row r="1094" ht="14.1" customHeight="1"/>
    <row r="1095" ht="14.1" customHeight="1"/>
    <row r="1096" ht="14.1" customHeight="1"/>
    <row r="1097" ht="14.1" customHeight="1"/>
    <row r="1098" ht="14.1" customHeight="1"/>
    <row r="1099" ht="14.1" customHeight="1"/>
    <row r="1100" ht="14.1" customHeight="1"/>
    <row r="1101" ht="14.1" customHeight="1"/>
    <row r="1102" ht="14.1" customHeight="1"/>
    <row r="1103" ht="14.1" customHeight="1"/>
    <row r="1104" ht="14.1" customHeight="1"/>
    <row r="1105" ht="14.1" customHeight="1"/>
    <row r="1106" ht="14.1" customHeight="1"/>
    <row r="1107" ht="14.1" customHeight="1"/>
    <row r="1108" ht="14.1" customHeight="1"/>
    <row r="1109" ht="14.1" customHeight="1"/>
    <row r="1110" ht="14.1" customHeight="1"/>
    <row r="1111" ht="14.1" customHeight="1"/>
    <row r="1112" ht="14.1" customHeight="1"/>
    <row r="1113" ht="14.1" customHeight="1"/>
    <row r="1114" ht="14.1" customHeight="1"/>
    <row r="1115" ht="14.1" customHeight="1"/>
    <row r="1116" ht="14.1" customHeight="1"/>
    <row r="1117" ht="14.1" customHeight="1"/>
    <row r="1118" ht="14.1" customHeight="1"/>
    <row r="1119" ht="14.1" customHeight="1"/>
    <row r="1120" ht="14.1" customHeight="1"/>
    <row r="1121" ht="14.1" customHeight="1"/>
    <row r="1122" ht="14.1" customHeight="1"/>
    <row r="1123" ht="14.1" customHeight="1"/>
    <row r="1124" ht="14.1" customHeight="1"/>
    <row r="1125" ht="14.1" customHeight="1"/>
    <row r="1126" ht="14.1" customHeight="1"/>
    <row r="1127" ht="14.1" customHeight="1"/>
    <row r="1128" ht="14.1" customHeight="1"/>
    <row r="1129" ht="14.1" customHeight="1"/>
    <row r="1130" ht="14.1" customHeight="1"/>
    <row r="1131" ht="14.1" customHeight="1"/>
    <row r="1132" ht="14.1" customHeight="1"/>
    <row r="1133" ht="14.1" customHeight="1"/>
    <row r="1134" ht="14.1" customHeight="1"/>
    <row r="1135" ht="14.1" customHeight="1"/>
    <row r="1136" ht="14.1" customHeight="1"/>
    <row r="1137" ht="14.1" customHeight="1"/>
    <row r="1138" ht="14.1" customHeight="1"/>
    <row r="1139" ht="14.1" customHeight="1"/>
    <row r="1140" ht="14.1" customHeight="1"/>
    <row r="1141" ht="14.1" customHeight="1"/>
    <row r="1142" ht="14.1" customHeight="1"/>
    <row r="1143" ht="14.1" customHeight="1"/>
    <row r="1144" ht="14.1" customHeight="1"/>
    <row r="1145" ht="14.1" customHeight="1"/>
    <row r="1146" ht="14.1" customHeight="1"/>
    <row r="1147" ht="14.1" customHeight="1"/>
    <row r="1148" ht="14.1" customHeight="1"/>
    <row r="1149" ht="14.1" customHeight="1"/>
    <row r="1150" ht="14.1" customHeight="1"/>
    <row r="1151" ht="14.1" customHeight="1"/>
    <row r="1152" ht="14.1" customHeight="1"/>
    <row r="1153" ht="14.1" customHeight="1"/>
    <row r="1154" ht="14.1" customHeight="1"/>
    <row r="1155" ht="14.1" customHeight="1"/>
    <row r="1156" ht="14.1" customHeight="1"/>
    <row r="1157" ht="14.1" customHeight="1"/>
    <row r="1158" ht="14.1" customHeight="1"/>
    <row r="1159" ht="14.1" customHeight="1"/>
    <row r="1160" ht="14.1" customHeight="1"/>
    <row r="1161" ht="14.1" customHeight="1"/>
    <row r="1162" ht="14.1" customHeight="1"/>
    <row r="1163" ht="14.1" customHeight="1"/>
    <row r="1164" ht="14.1" customHeight="1"/>
    <row r="1165" ht="14.1" customHeight="1"/>
    <row r="1166" ht="14.1" customHeight="1"/>
    <row r="1167" ht="14.1" customHeight="1"/>
    <row r="1168" ht="14.1" customHeight="1"/>
    <row r="1169" ht="14.1" customHeight="1"/>
    <row r="1170" ht="14.1" customHeight="1"/>
    <row r="1171" ht="14.1" customHeight="1"/>
    <row r="1172" ht="14.1" customHeight="1"/>
    <row r="1173" ht="14.1" customHeight="1"/>
    <row r="1174" ht="14.1" customHeight="1"/>
    <row r="1175" ht="14.1" customHeight="1"/>
    <row r="1176" ht="14.1" customHeight="1"/>
    <row r="1177" ht="14.1" customHeight="1"/>
    <row r="1178" ht="14.1" customHeight="1"/>
    <row r="1179" ht="14.1" customHeight="1"/>
    <row r="1180" ht="14.1" customHeight="1"/>
    <row r="1181" ht="14.1" customHeight="1"/>
    <row r="1182" ht="14.1" customHeight="1"/>
    <row r="1183" ht="14.1" customHeight="1"/>
    <row r="1184" ht="14.1" customHeight="1"/>
    <row r="1185" ht="14.1" customHeight="1"/>
    <row r="1186" ht="14.1" customHeight="1"/>
    <row r="1187" ht="14.1" customHeight="1"/>
    <row r="1188" ht="14.1" customHeight="1"/>
    <row r="1189" ht="14.1" customHeight="1"/>
    <row r="1190" ht="14.1" customHeight="1"/>
    <row r="1191" ht="14.1" customHeight="1"/>
    <row r="1192" ht="14.1" customHeight="1"/>
    <row r="1193" ht="14.1" customHeight="1"/>
    <row r="1194" ht="14.1" customHeight="1"/>
    <row r="1195" ht="14.1" customHeight="1"/>
    <row r="1196" ht="14.1" customHeight="1"/>
    <row r="1197" ht="14.1" customHeight="1"/>
    <row r="1198" ht="14.1" customHeight="1"/>
    <row r="1199" ht="14.1" customHeight="1"/>
    <row r="1200" ht="14.1" customHeight="1"/>
    <row r="1201" ht="14.1" customHeight="1"/>
    <row r="1202" ht="14.1" customHeight="1"/>
    <row r="1203" ht="14.1" customHeight="1"/>
    <row r="1204" ht="14.1" customHeight="1"/>
    <row r="1205" ht="14.1" customHeight="1"/>
    <row r="1206" ht="14.1" customHeight="1"/>
    <row r="1207" ht="14.1" customHeight="1"/>
    <row r="1208" ht="14.1" customHeight="1"/>
    <row r="1209" ht="14.1" customHeight="1"/>
    <row r="1210" ht="14.1" customHeight="1"/>
    <row r="1211" ht="14.1" customHeight="1"/>
    <row r="1212" ht="14.1" customHeight="1"/>
    <row r="1213" ht="14.1" customHeight="1"/>
    <row r="1214" ht="14.1" customHeight="1"/>
    <row r="1215" ht="14.1" customHeight="1"/>
    <row r="1216" ht="14.1" customHeight="1"/>
    <row r="1217" ht="14.1" customHeight="1"/>
    <row r="1218" ht="14.1" customHeight="1"/>
    <row r="1219" ht="14.1" customHeight="1"/>
    <row r="1220" ht="14.1" customHeight="1"/>
    <row r="1221" ht="14.1" customHeight="1"/>
    <row r="1222" ht="14.1" customHeight="1"/>
    <row r="1223" ht="14.1" customHeight="1"/>
    <row r="1224" ht="14.1" customHeight="1"/>
    <row r="1225" ht="14.1" customHeight="1"/>
    <row r="1226" ht="14.1" customHeight="1"/>
    <row r="1227" ht="14.1" customHeight="1"/>
    <row r="1228" ht="14.1" customHeight="1"/>
    <row r="1229" ht="14.1" customHeight="1"/>
    <row r="1230" ht="14.1" customHeight="1"/>
    <row r="1231" ht="14.1" customHeight="1"/>
    <row r="1232" ht="14.1" customHeight="1"/>
    <row r="1233" ht="14.1" customHeight="1"/>
    <row r="1234" ht="14.1" customHeight="1"/>
    <row r="1235" ht="14.1" customHeight="1"/>
    <row r="1236" ht="14.1" customHeight="1"/>
    <row r="1237" ht="14.1" customHeight="1"/>
    <row r="1238" ht="14.1" customHeight="1"/>
    <row r="1239" ht="14.1" customHeight="1"/>
    <row r="1240" ht="14.1" customHeight="1"/>
    <row r="1241" ht="14.1" customHeight="1"/>
    <row r="1242" ht="14.1" customHeight="1"/>
    <row r="1243" ht="14.1" customHeight="1"/>
    <row r="1244" ht="14.1" customHeight="1"/>
    <row r="1245" ht="14.1" customHeight="1"/>
    <row r="1246" ht="14.1" customHeight="1"/>
    <row r="1247" ht="14.1" customHeight="1"/>
    <row r="1248" ht="14.1" customHeight="1"/>
    <row r="1249" ht="14.1" customHeight="1"/>
    <row r="1250" ht="14.1" customHeight="1"/>
    <row r="1251" ht="14.1" customHeight="1"/>
    <row r="1252" ht="14.1" customHeight="1"/>
    <row r="1253" ht="14.1" customHeight="1"/>
    <row r="1254" ht="14.1" customHeight="1"/>
    <row r="1255" ht="14.1" customHeight="1"/>
    <row r="1256" ht="14.1" customHeight="1"/>
    <row r="1257" ht="14.1" customHeight="1"/>
    <row r="1258" ht="14.1" customHeight="1"/>
    <row r="1259" ht="14.1" customHeight="1"/>
    <row r="1260" ht="14.1" customHeight="1"/>
    <row r="1261" ht="14.1" customHeight="1"/>
    <row r="1262" ht="14.1" customHeight="1"/>
    <row r="1263" ht="14.1" customHeight="1"/>
    <row r="1264" ht="14.1" customHeight="1"/>
    <row r="1265" ht="14.1" customHeight="1"/>
    <row r="1266" ht="14.1" customHeight="1"/>
    <row r="1267" ht="14.1" customHeight="1"/>
    <row r="1268" ht="14.1" customHeight="1"/>
    <row r="1269" ht="14.1" customHeight="1"/>
    <row r="1270" ht="14.1" customHeight="1"/>
    <row r="1271" ht="14.1" customHeight="1"/>
    <row r="1272" ht="14.1" customHeight="1"/>
    <row r="1273" ht="14.1" customHeight="1"/>
    <row r="1274" ht="14.1" customHeight="1"/>
    <row r="1275" ht="14.1" customHeight="1"/>
    <row r="1276" ht="14.1" customHeight="1"/>
    <row r="1277" ht="14.1" customHeight="1"/>
    <row r="1278" ht="14.1" customHeight="1"/>
    <row r="1279" ht="14.1" customHeight="1"/>
    <row r="1280" ht="14.1" customHeight="1"/>
    <row r="1281" ht="14.1" customHeight="1"/>
    <row r="1282" ht="14.1" customHeight="1"/>
    <row r="1283" ht="14.1" customHeight="1"/>
    <row r="1284" ht="14.1" customHeight="1"/>
    <row r="1285" ht="14.1" customHeight="1"/>
    <row r="1286" ht="14.1" customHeight="1"/>
    <row r="1287" ht="14.1" customHeight="1"/>
    <row r="1288" ht="14.1" customHeight="1"/>
    <row r="1289" ht="14.1" customHeight="1"/>
    <row r="1290" ht="14.1" customHeight="1"/>
    <row r="1291" ht="14.1" customHeight="1"/>
    <row r="1292" ht="14.1" customHeight="1"/>
    <row r="1293" ht="14.1" customHeight="1"/>
    <row r="1294" ht="14.1" customHeight="1"/>
    <row r="1295" ht="14.1" customHeight="1"/>
    <row r="1296" ht="14.1" customHeight="1"/>
    <row r="1297" ht="14.1" customHeight="1"/>
    <row r="1298" ht="14.1" customHeight="1"/>
    <row r="1299" ht="14.1" customHeight="1"/>
    <row r="1300" ht="14.1" customHeight="1"/>
    <row r="1301" ht="14.1" customHeight="1"/>
    <row r="1302" ht="14.1" customHeight="1"/>
    <row r="1303" ht="14.1" customHeight="1"/>
    <row r="1304" ht="14.1" customHeight="1"/>
    <row r="1305" ht="14.1" customHeight="1"/>
    <row r="1306" ht="14.1" customHeight="1"/>
    <row r="1307" ht="14.1" customHeight="1"/>
    <row r="1308" ht="14.1" customHeight="1"/>
    <row r="1309" ht="14.1" customHeight="1"/>
    <row r="1310" ht="14.1" customHeight="1"/>
    <row r="1311" ht="14.1" customHeight="1"/>
    <row r="1312" ht="14.1" customHeight="1"/>
    <row r="1313" ht="14.1" customHeight="1"/>
    <row r="1314" ht="14.1" customHeight="1"/>
    <row r="1315" ht="14.1" customHeight="1"/>
    <row r="1316" ht="14.1" customHeight="1"/>
    <row r="1317" ht="14.1" customHeight="1"/>
    <row r="1318" ht="14.1" customHeight="1"/>
    <row r="1319" ht="14.1" customHeight="1"/>
    <row r="1320" ht="14.1" customHeight="1"/>
    <row r="1321" ht="14.1" customHeight="1"/>
    <row r="1322" ht="14.1" customHeight="1"/>
    <row r="1323" ht="14.1" customHeight="1"/>
    <row r="1324" ht="14.1" customHeight="1"/>
    <row r="1325" ht="14.1" customHeight="1"/>
    <row r="1326" ht="14.1" customHeight="1"/>
    <row r="1327" ht="14.1" customHeight="1"/>
    <row r="1328" ht="14.1" customHeight="1"/>
    <row r="1329" ht="14.1" customHeight="1"/>
    <row r="1330" ht="14.1" customHeight="1"/>
    <row r="1331" ht="14.1" customHeight="1"/>
    <row r="1332" ht="14.1" customHeight="1"/>
    <row r="1333" ht="14.1" customHeight="1"/>
    <row r="1334" ht="14.1" customHeight="1"/>
    <row r="1335" ht="14.1" customHeight="1"/>
    <row r="1336" ht="14.1" customHeight="1"/>
    <row r="1337" ht="14.1" customHeight="1"/>
    <row r="1338" ht="14.1" customHeight="1"/>
    <row r="1339" ht="14.1" customHeight="1"/>
    <row r="1340" ht="14.1" customHeight="1"/>
    <row r="1341" ht="14.1" customHeight="1"/>
    <row r="1342" ht="14.1" customHeight="1"/>
    <row r="1343" ht="14.1" customHeight="1"/>
    <row r="1344" ht="14.1" customHeight="1"/>
    <row r="1345" ht="14.1" customHeight="1"/>
    <row r="1346" ht="14.1" customHeight="1"/>
    <row r="1347" ht="14.1" customHeight="1"/>
    <row r="1348" ht="14.1" customHeight="1"/>
    <row r="1349" ht="14.1" customHeight="1"/>
    <row r="1350" ht="14.1" customHeight="1"/>
    <row r="1351" ht="14.1" customHeight="1"/>
    <row r="1352" ht="14.1" customHeight="1"/>
    <row r="1353" ht="14.1" customHeight="1"/>
    <row r="1354" ht="14.1" customHeight="1"/>
    <row r="1355" ht="14.1" customHeight="1"/>
    <row r="1356" ht="14.1" customHeight="1"/>
    <row r="1357" ht="14.1" customHeight="1"/>
    <row r="1358" ht="14.1" customHeight="1"/>
    <row r="1359" ht="14.1" customHeight="1"/>
    <row r="1360" ht="14.1" customHeight="1"/>
    <row r="1361" ht="14.1" customHeight="1"/>
    <row r="1362" ht="14.1" customHeight="1"/>
    <row r="1363" ht="14.1" customHeight="1"/>
    <row r="1364" ht="14.1" customHeight="1"/>
    <row r="1365" ht="14.1" customHeight="1"/>
    <row r="1366" ht="14.1" customHeight="1"/>
    <row r="1367" ht="14.1" customHeight="1"/>
    <row r="1368" ht="14.1" customHeight="1"/>
    <row r="1369" ht="14.1" customHeight="1"/>
    <row r="1370" ht="14.1" customHeight="1"/>
    <row r="1371" ht="14.1" customHeight="1"/>
    <row r="1372" ht="14.1" customHeight="1"/>
    <row r="1373" ht="14.1" customHeight="1"/>
    <row r="1374" ht="14.1" customHeight="1"/>
    <row r="1375" ht="14.1" customHeight="1"/>
  </sheetData>
  <mergeCells count="16">
    <mergeCell ref="J112:M112"/>
    <mergeCell ref="A1:Z2"/>
    <mergeCell ref="A144:G144"/>
    <mergeCell ref="H144:L144"/>
    <mergeCell ref="J150:M150"/>
    <mergeCell ref="J41:M41"/>
    <mergeCell ref="A72:G72"/>
    <mergeCell ref="H72:L72"/>
    <mergeCell ref="J78:M78"/>
    <mergeCell ref="A106:G106"/>
    <mergeCell ref="H106:L106"/>
    <mergeCell ref="A3:G3"/>
    <mergeCell ref="J9:M9"/>
    <mergeCell ref="H3:L3"/>
    <mergeCell ref="A35:G35"/>
    <mergeCell ref="H35:L35"/>
  </mergeCells>
  <pageMargins left="0.39" right="0.22" top="0.25" bottom="0.26" header="0.3" footer="0.3"/>
  <pageSetup paperSize="9" scale="5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P2794"/>
  <sheetViews>
    <sheetView view="pageBreakPreview" topLeftCell="A1423" zoomScaleSheetLayoutView="100" workbookViewId="0">
      <selection activeCell="F1001" sqref="F1001"/>
    </sheetView>
  </sheetViews>
  <sheetFormatPr defaultRowHeight="15"/>
  <cols>
    <col min="1" max="1" width="14.42578125" customWidth="1"/>
    <col min="2" max="2" width="10.42578125" customWidth="1"/>
    <col min="3" max="3" width="9.7109375" customWidth="1"/>
    <col min="4" max="4" width="11.5703125" customWidth="1"/>
    <col min="5" max="5" width="9.7109375" customWidth="1"/>
    <col min="6" max="6" width="8" customWidth="1"/>
    <col min="7" max="8" width="9.7109375" customWidth="1"/>
    <col min="9" max="9" width="10.85546875" customWidth="1"/>
    <col min="10" max="12" width="9.7109375" customWidth="1"/>
    <col min="13" max="14" width="8.5703125" customWidth="1"/>
  </cols>
  <sheetData>
    <row r="1" spans="1:15" ht="24.75" customHeight="1">
      <c r="A1" s="183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5" ht="24.75" customHeight="1">
      <c r="A2" s="177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</row>
    <row r="3" spans="1:15" ht="18" customHeight="1">
      <c r="A3" s="184" t="s">
        <v>0</v>
      </c>
      <c r="B3" s="185"/>
      <c r="C3" s="185"/>
      <c r="D3" s="185"/>
      <c r="E3" s="185"/>
      <c r="F3" s="185"/>
      <c r="G3" s="20">
        <v>2100</v>
      </c>
      <c r="H3" s="1" t="s">
        <v>15</v>
      </c>
      <c r="I3" s="1"/>
      <c r="J3" s="33"/>
      <c r="K3" s="1"/>
      <c r="L3" s="1"/>
      <c r="M3" s="1"/>
      <c r="N3" s="1"/>
    </row>
    <row r="4" spans="1:15" ht="18" customHeight="1">
      <c r="A4" s="42" t="s">
        <v>1</v>
      </c>
      <c r="B4" s="82"/>
      <c r="C4" s="83">
        <v>0</v>
      </c>
      <c r="D4" s="84">
        <v>0.6</v>
      </c>
      <c r="E4" s="84">
        <v>0.7</v>
      </c>
      <c r="F4" s="85">
        <v>1.7</v>
      </c>
      <c r="G4" s="85">
        <v>2.7</v>
      </c>
      <c r="H4" s="84">
        <v>2.8</v>
      </c>
      <c r="I4" s="52">
        <v>3.6</v>
      </c>
      <c r="J4" s="52"/>
      <c r="K4" s="84"/>
      <c r="L4" s="86"/>
      <c r="M4" s="45"/>
      <c r="N4" s="47"/>
      <c r="O4" s="22"/>
    </row>
    <row r="5" spans="1:15" ht="18" customHeight="1">
      <c r="A5" s="42" t="s">
        <v>2</v>
      </c>
      <c r="B5" s="82"/>
      <c r="C5" s="83">
        <v>98.46</v>
      </c>
      <c r="D5" s="84">
        <v>97.26</v>
      </c>
      <c r="E5" s="84">
        <v>97.26</v>
      </c>
      <c r="F5" s="84">
        <v>97.26</v>
      </c>
      <c r="G5" s="84">
        <v>97.26</v>
      </c>
      <c r="H5" s="84">
        <v>97.26</v>
      </c>
      <c r="I5" s="84">
        <v>98.66</v>
      </c>
      <c r="J5" s="84"/>
      <c r="K5" s="84"/>
      <c r="L5" s="86"/>
      <c r="M5" s="45"/>
      <c r="N5" s="47"/>
      <c r="O5" s="21"/>
    </row>
    <row r="6" spans="1:15" ht="18" customHeight="1">
      <c r="A6" s="42" t="s">
        <v>1</v>
      </c>
      <c r="B6" s="82"/>
      <c r="C6" s="83">
        <v>0</v>
      </c>
      <c r="D6" s="84">
        <v>0.6</v>
      </c>
      <c r="E6" s="84">
        <v>0.7</v>
      </c>
      <c r="F6" s="85">
        <v>1.7</v>
      </c>
      <c r="G6" s="85">
        <v>2.7</v>
      </c>
      <c r="H6" s="84">
        <v>2.8</v>
      </c>
      <c r="I6" s="52">
        <v>3.6</v>
      </c>
      <c r="J6" s="52"/>
      <c r="K6" s="84"/>
      <c r="L6" s="86"/>
      <c r="M6" s="45"/>
      <c r="N6" s="47"/>
      <c r="O6" s="22"/>
    </row>
    <row r="7" spans="1:15" ht="18" customHeight="1">
      <c r="A7" s="42" t="s">
        <v>3</v>
      </c>
      <c r="B7" s="87"/>
      <c r="C7" s="83">
        <v>98.46</v>
      </c>
      <c r="D7" s="84">
        <v>97.748999999999995</v>
      </c>
      <c r="E7" s="84">
        <v>97.63</v>
      </c>
      <c r="F7" s="84">
        <v>97.63</v>
      </c>
      <c r="G7" s="84">
        <v>97.63</v>
      </c>
      <c r="H7" s="84">
        <v>97.747</v>
      </c>
      <c r="I7" s="84">
        <v>98.66</v>
      </c>
      <c r="J7" s="84"/>
      <c r="K7" s="84"/>
      <c r="L7" s="86"/>
      <c r="M7" s="45"/>
      <c r="N7" s="52"/>
      <c r="O7" s="23"/>
    </row>
    <row r="8" spans="1:15" ht="18" customHeight="1">
      <c r="A8" s="42" t="s">
        <v>18</v>
      </c>
      <c r="B8" s="87"/>
      <c r="C8" s="52">
        <f t="shared" ref="C8" si="0">C5-C7</f>
        <v>0</v>
      </c>
      <c r="D8" s="52">
        <f>D7-D5</f>
        <v>0.48899999999999011</v>
      </c>
      <c r="E8" s="52">
        <f t="shared" ref="E8:I8" si="1">E7-E5</f>
        <v>0.36999999999999034</v>
      </c>
      <c r="F8" s="52">
        <f t="shared" si="1"/>
        <v>0.36999999999999034</v>
      </c>
      <c r="G8" s="52">
        <f t="shared" si="1"/>
        <v>0.36999999999999034</v>
      </c>
      <c r="H8" s="52">
        <f t="shared" si="1"/>
        <v>0.48699999999999477</v>
      </c>
      <c r="I8" s="52">
        <f t="shared" si="1"/>
        <v>0</v>
      </c>
      <c r="J8" s="52"/>
      <c r="K8" s="52"/>
      <c r="L8" s="52"/>
      <c r="M8" s="47"/>
      <c r="N8" s="47"/>
      <c r="O8" s="21"/>
    </row>
    <row r="9" spans="1:15" ht="18" customHeight="1">
      <c r="A9" s="42" t="s">
        <v>5</v>
      </c>
      <c r="B9" s="87"/>
      <c r="C9" s="52">
        <f t="shared" ref="C9" si="2">(C8+B8)/2*(C4-B4)</f>
        <v>0</v>
      </c>
      <c r="D9" s="52">
        <f>(D8+C8)/2*(D4-C4)</f>
        <v>0.14669999999999703</v>
      </c>
      <c r="E9" s="52">
        <f t="shared" ref="E9:I9" si="3">(E8+D8)/2*(E4-D4)</f>
        <v>4.294999999999901E-2</v>
      </c>
      <c r="F9" s="52">
        <f t="shared" si="3"/>
        <v>0.36999999999999034</v>
      </c>
      <c r="G9" s="52">
        <f t="shared" si="3"/>
        <v>0.36999999999999039</v>
      </c>
      <c r="H9" s="52">
        <f t="shared" si="3"/>
        <v>4.2849999999999104E-2</v>
      </c>
      <c r="I9" s="52">
        <f t="shared" si="3"/>
        <v>0.19479999999999797</v>
      </c>
      <c r="J9" s="52"/>
      <c r="K9" s="52"/>
      <c r="L9" s="52"/>
      <c r="M9" s="47"/>
      <c r="N9" s="77">
        <f>SUM(B9:M9)</f>
        <v>1.1672999999999738</v>
      </c>
      <c r="O9" s="21"/>
    </row>
    <row r="10" spans="1:15" ht="18" customHeight="1">
      <c r="A10" s="2"/>
      <c r="B10" s="2"/>
      <c r="C10" s="30"/>
      <c r="D10" s="30"/>
      <c r="E10" s="4"/>
      <c r="F10" s="4"/>
      <c r="G10" s="4"/>
      <c r="H10" s="4"/>
      <c r="I10" s="4"/>
      <c r="J10" s="179" t="s">
        <v>6</v>
      </c>
      <c r="K10" s="179"/>
      <c r="L10" s="179"/>
      <c r="M10" s="179"/>
      <c r="N10" s="101">
        <f>N9</f>
        <v>1.1672999999999738</v>
      </c>
      <c r="O10" s="21"/>
    </row>
    <row r="11" spans="1:15" ht="18" customHeight="1">
      <c r="A11" s="24"/>
      <c r="B11" s="78"/>
      <c r="C11" s="18"/>
      <c r="D11" s="18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4.1" customHeight="1">
      <c r="A12" s="2"/>
      <c r="B12" s="2"/>
      <c r="C12" s="30"/>
      <c r="D12" s="30"/>
      <c r="E12" s="21"/>
      <c r="F12" s="21"/>
      <c r="G12" s="21"/>
      <c r="H12" s="21"/>
      <c r="I12" s="21"/>
      <c r="J12" s="30"/>
      <c r="K12" s="30"/>
      <c r="L12" s="30"/>
      <c r="M12" s="30"/>
      <c r="N12" s="30"/>
    </row>
    <row r="13" spans="1:15" ht="14.1" customHeight="1">
      <c r="A13" s="6"/>
      <c r="B13" s="6"/>
      <c r="C13" s="7"/>
      <c r="D13" s="7"/>
      <c r="E13" s="7"/>
      <c r="F13" s="7"/>
      <c r="G13" s="7"/>
      <c r="H13" s="7"/>
      <c r="I13" s="7"/>
      <c r="K13" s="7"/>
      <c r="L13" s="7"/>
      <c r="M13" s="7"/>
      <c r="N13" s="7"/>
    </row>
    <row r="14" spans="1:15" ht="14.1" customHeight="1">
      <c r="A14" s="6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5" ht="14.1" customHeight="1">
      <c r="A15" s="6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5" ht="14.1" customHeight="1">
      <c r="A16" s="6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ht="14.1" customHeight="1">
      <c r="A17" s="6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ht="14.1" customHeight="1">
      <c r="A18" s="6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ht="14.1" customHeight="1">
      <c r="A19" s="6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ht="14.1" customHeight="1">
      <c r="A20" s="6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ht="14.1" customHeight="1">
      <c r="A21" s="6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ht="14.1" customHeight="1">
      <c r="A22" s="6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 ht="14.1" customHeight="1">
      <c r="A23" s="6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 ht="14.1" customHeight="1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ht="14.1" customHeight="1">
      <c r="A25" s="6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ht="14.1" customHeight="1">
      <c r="A26" s="6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ht="14.1" customHeight="1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ht="14.1" customHeight="1">
      <c r="A28" s="6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ht="14.1" customHeight="1">
      <c r="A29" s="6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ht="14.1" customHeight="1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ht="14.1" customHeight="1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ht="14.1" customHeight="1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6" ht="14.1" customHeight="1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6" ht="14.1" customHeight="1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6" ht="14.1" customHeight="1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6" ht="14.1" customHeight="1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6" ht="14.1" customHeight="1">
      <c r="A37" s="6"/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6" ht="18.75" customHeight="1">
      <c r="A38" s="184" t="s">
        <v>0</v>
      </c>
      <c r="B38" s="185"/>
      <c r="C38" s="185"/>
      <c r="D38" s="185"/>
      <c r="E38" s="185"/>
      <c r="F38" s="186"/>
      <c r="G38" s="20">
        <v>2160</v>
      </c>
      <c r="H38" s="1" t="s">
        <v>15</v>
      </c>
      <c r="I38" s="1"/>
      <c r="J38" s="32"/>
      <c r="K38" s="1"/>
      <c r="L38" s="1"/>
      <c r="M38" s="1"/>
      <c r="N38" s="1"/>
    </row>
    <row r="39" spans="1:16" ht="18.75" customHeight="1">
      <c r="A39" s="42" t="s">
        <v>1</v>
      </c>
      <c r="B39" s="82"/>
      <c r="C39" s="83">
        <v>0</v>
      </c>
      <c r="D39" s="84">
        <v>0.6</v>
      </c>
      <c r="E39" s="84">
        <v>0.7</v>
      </c>
      <c r="F39" s="85">
        <v>1.7</v>
      </c>
      <c r="G39" s="85">
        <v>2.7</v>
      </c>
      <c r="H39" s="84">
        <v>2.8</v>
      </c>
      <c r="I39" s="52">
        <v>3.5</v>
      </c>
      <c r="J39" s="52"/>
      <c r="K39" s="84"/>
      <c r="L39" s="86"/>
      <c r="M39" s="45"/>
      <c r="N39" s="47"/>
      <c r="O39" s="22"/>
      <c r="P39" s="22"/>
    </row>
    <row r="40" spans="1:16" ht="18.75" customHeight="1">
      <c r="A40" s="42" t="s">
        <v>2</v>
      </c>
      <c r="B40" s="82"/>
      <c r="C40" s="83">
        <v>98.61</v>
      </c>
      <c r="D40" s="84">
        <v>97.24</v>
      </c>
      <c r="E40" s="84">
        <v>97.24</v>
      </c>
      <c r="F40" s="84">
        <v>97.24</v>
      </c>
      <c r="G40" s="84">
        <v>97.24</v>
      </c>
      <c r="H40" s="84">
        <v>97.24</v>
      </c>
      <c r="I40" s="84">
        <v>98.76</v>
      </c>
      <c r="J40" s="84"/>
      <c r="K40" s="84"/>
      <c r="L40" s="86"/>
      <c r="M40" s="45"/>
      <c r="N40" s="47"/>
      <c r="O40" s="21"/>
      <c r="P40" s="21"/>
    </row>
    <row r="41" spans="1:16" ht="18.75" customHeight="1">
      <c r="A41" s="42" t="s">
        <v>1</v>
      </c>
      <c r="B41" s="82"/>
      <c r="C41" s="83">
        <v>0</v>
      </c>
      <c r="D41" s="84">
        <v>0.6</v>
      </c>
      <c r="E41" s="84">
        <v>0.7</v>
      </c>
      <c r="F41" s="85">
        <v>1.7</v>
      </c>
      <c r="G41" s="85">
        <v>2.7</v>
      </c>
      <c r="H41" s="84">
        <v>2.8</v>
      </c>
      <c r="I41" s="52">
        <v>3.5</v>
      </c>
      <c r="J41" s="52"/>
      <c r="K41" s="84"/>
      <c r="L41" s="86"/>
      <c r="M41" s="45"/>
      <c r="N41" s="47"/>
      <c r="O41" s="22"/>
      <c r="P41" s="22"/>
    </row>
    <row r="42" spans="1:16" ht="18.75" customHeight="1">
      <c r="A42" s="42" t="s">
        <v>3</v>
      </c>
      <c r="B42" s="87"/>
      <c r="C42" s="83">
        <v>98.61</v>
      </c>
      <c r="D42" s="84">
        <v>97.915999999999997</v>
      </c>
      <c r="E42" s="84">
        <v>97.8</v>
      </c>
      <c r="F42" s="84">
        <v>97.8</v>
      </c>
      <c r="G42" s="84">
        <v>97.8</v>
      </c>
      <c r="H42" s="84">
        <v>97.92</v>
      </c>
      <c r="I42" s="84">
        <v>98.76</v>
      </c>
      <c r="J42" s="84"/>
      <c r="K42" s="84"/>
      <c r="L42" s="86"/>
      <c r="M42" s="45"/>
      <c r="N42" s="52"/>
      <c r="O42" s="23"/>
      <c r="P42" s="23"/>
    </row>
    <row r="43" spans="1:16" ht="18.75" customHeight="1">
      <c r="A43" s="42" t="s">
        <v>18</v>
      </c>
      <c r="B43" s="87"/>
      <c r="C43" s="52">
        <f t="shared" ref="C43" si="4">C40-C42</f>
        <v>0</v>
      </c>
      <c r="D43" s="52">
        <f>D42-D40</f>
        <v>0.67600000000000193</v>
      </c>
      <c r="E43" s="52">
        <f t="shared" ref="E43:I43" si="5">E42-E40</f>
        <v>0.56000000000000227</v>
      </c>
      <c r="F43" s="52">
        <f t="shared" si="5"/>
        <v>0.56000000000000227</v>
      </c>
      <c r="G43" s="52">
        <f t="shared" si="5"/>
        <v>0.56000000000000227</v>
      </c>
      <c r="H43" s="52">
        <f t="shared" si="5"/>
        <v>0.68000000000000682</v>
      </c>
      <c r="I43" s="52">
        <f t="shared" si="5"/>
        <v>0</v>
      </c>
      <c r="J43" s="52"/>
      <c r="K43" s="52"/>
      <c r="L43" s="52"/>
      <c r="M43" s="47"/>
      <c r="N43" s="47"/>
      <c r="O43" s="21"/>
      <c r="P43" s="21"/>
    </row>
    <row r="44" spans="1:16" ht="18.75" customHeight="1">
      <c r="A44" s="42" t="s">
        <v>5</v>
      </c>
      <c r="B44" s="87"/>
      <c r="C44" s="52">
        <f t="shared" ref="C44" si="6">(C43+B43)/2*(C39-B39)</f>
        <v>0</v>
      </c>
      <c r="D44" s="52">
        <f>(D43+C43)/2*(D39-C39)</f>
        <v>0.20280000000000056</v>
      </c>
      <c r="E44" s="52">
        <f t="shared" ref="E44" si="7">(E43+D43)/2*(E39-D39)</f>
        <v>6.1800000000000195E-2</v>
      </c>
      <c r="F44" s="52">
        <f t="shared" ref="F44" si="8">(F43+E43)/2*(F39-E39)</f>
        <v>0.56000000000000227</v>
      </c>
      <c r="G44" s="52">
        <f t="shared" ref="G44" si="9">(G43+F43)/2*(G39-F39)</f>
        <v>0.56000000000000238</v>
      </c>
      <c r="H44" s="52">
        <f t="shared" ref="H44" si="10">(H43+G43)/2*(H39-G39)</f>
        <v>6.2000000000000235E-2</v>
      </c>
      <c r="I44" s="52">
        <f t="shared" ref="I44" si="11">(I43+H43)/2*(I39-H39)</f>
        <v>0.23800000000000246</v>
      </c>
      <c r="J44" s="52"/>
      <c r="K44" s="52"/>
      <c r="L44" s="52"/>
      <c r="M44" s="47"/>
      <c r="N44" s="77">
        <f>SUM(B44:M44)</f>
        <v>1.6846000000000083</v>
      </c>
      <c r="O44" s="21"/>
      <c r="P44" s="21"/>
    </row>
    <row r="45" spans="1:16" ht="18.75" customHeight="1">
      <c r="A45" s="2"/>
      <c r="B45" s="2"/>
      <c r="C45" s="30"/>
      <c r="D45" s="30"/>
      <c r="E45" s="4"/>
      <c r="F45" s="4"/>
      <c r="G45" s="4"/>
      <c r="H45" s="4"/>
      <c r="I45" s="4"/>
      <c r="J45" s="179" t="s">
        <v>6</v>
      </c>
      <c r="K45" s="179"/>
      <c r="L45" s="179"/>
      <c r="M45" s="179"/>
      <c r="N45" s="101">
        <f>N44</f>
        <v>1.6846000000000083</v>
      </c>
      <c r="O45" s="21"/>
      <c r="P45" s="21"/>
    </row>
    <row r="46" spans="1:16" ht="18.75" customHeight="1">
      <c r="A46" s="24"/>
      <c r="B46" s="78"/>
      <c r="C46" s="18"/>
      <c r="D46" s="18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31"/>
      <c r="P46" s="21"/>
    </row>
    <row r="47" spans="1:16" ht="18.75" customHeight="1">
      <c r="A47" s="2"/>
      <c r="B47" s="2"/>
      <c r="C47" s="30"/>
      <c r="D47" s="30"/>
      <c r="E47" s="21"/>
      <c r="F47" s="21"/>
      <c r="G47" s="21"/>
      <c r="H47" s="21"/>
      <c r="I47" s="21"/>
      <c r="J47" s="30"/>
      <c r="K47" s="30"/>
      <c r="L47" s="30"/>
      <c r="M47" s="30"/>
      <c r="N47" s="30"/>
    </row>
    <row r="48" spans="1:16" ht="14.1" customHeight="1">
      <c r="A48" s="6"/>
      <c r="B48" s="6"/>
      <c r="C48" s="7"/>
      <c r="D48" s="7"/>
      <c r="E48" s="7"/>
      <c r="F48" s="7"/>
      <c r="G48" s="7"/>
      <c r="H48" s="7"/>
      <c r="I48" s="7"/>
      <c r="K48" s="7"/>
      <c r="L48" s="7"/>
      <c r="M48" s="7"/>
      <c r="N48" s="7"/>
    </row>
    <row r="49" spans="1:14" ht="14.1" customHeight="1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ht="14.1" customHeight="1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ht="14.1" customHeight="1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ht="14.1" customHeight="1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ht="14.1" customHeight="1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ht="14.1" customHeight="1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 ht="14.1" customHeight="1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 ht="14.1" customHeight="1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 ht="14.1" customHeight="1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1:14" ht="14.1" customHeight="1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 ht="14.1" customHeight="1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 ht="14.1" customHeight="1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4" ht="14.1" customHeight="1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 ht="14.1" customHeight="1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4" ht="14.1" customHeight="1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1:14" ht="14.1" customHeight="1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1:14" ht="14.1" customHeight="1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spans="1:14" ht="14.1" customHeight="1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1:14" ht="14.1" customHeight="1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1:14" ht="14.1" customHeight="1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1:14" ht="14.1" customHeight="1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1:14" ht="14.1" customHeight="1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1:14" ht="14.1" customHeight="1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spans="1:14" ht="14.1" customHeight="1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spans="1:14" ht="14.1" customHeight="1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spans="1:14" ht="14.1" customHeight="1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1:14" ht="14.1" customHeight="1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1:14" ht="14.1" customHeight="1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1:14" ht="14.1" customHeight="1">
      <c r="B77" s="181"/>
      <c r="C77" s="181"/>
      <c r="D77" s="181"/>
      <c r="E77" s="25"/>
      <c r="F77" s="25"/>
      <c r="G77" s="167"/>
      <c r="H77" s="167"/>
      <c r="I77" s="167"/>
      <c r="J77" s="7"/>
      <c r="K77" s="182"/>
      <c r="L77" s="182"/>
    </row>
    <row r="78" spans="1:14" ht="14.1" customHeight="1">
      <c r="B78" s="170"/>
      <c r="C78" s="170"/>
      <c r="D78" s="170"/>
      <c r="E78" s="26"/>
      <c r="F78" s="26"/>
      <c r="G78" s="170"/>
      <c r="H78" s="170"/>
      <c r="I78" s="170"/>
      <c r="J78" s="25"/>
      <c r="K78" s="171"/>
      <c r="L78" s="171"/>
    </row>
    <row r="79" spans="1:14" ht="14.1" customHeight="1">
      <c r="A79" s="6"/>
      <c r="B79" s="6"/>
      <c r="C79" s="7"/>
      <c r="D79" s="7"/>
      <c r="E79" s="7"/>
      <c r="F79" s="7"/>
      <c r="G79" s="7"/>
      <c r="H79" s="7"/>
      <c r="I79" s="7"/>
      <c r="J79" s="27"/>
      <c r="K79" s="7"/>
      <c r="L79" s="7"/>
      <c r="M79" s="7"/>
      <c r="N79" s="7"/>
    </row>
    <row r="80" spans="1:14" ht="14.1" customHeight="1">
      <c r="A80" s="6"/>
      <c r="B80" s="6"/>
      <c r="C80" s="7"/>
      <c r="D80" s="7"/>
      <c r="E80" s="7"/>
      <c r="F80" s="7"/>
      <c r="G80" s="7"/>
      <c r="H80" s="7"/>
      <c r="I80" s="7"/>
      <c r="J80" s="27"/>
      <c r="K80" s="7"/>
      <c r="L80" s="7"/>
      <c r="M80" s="7"/>
      <c r="N80" s="7"/>
    </row>
    <row r="81" spans="1:16" ht="14.1" customHeight="1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spans="1:16" ht="18" customHeight="1">
      <c r="A82" s="184" t="s">
        <v>0</v>
      </c>
      <c r="B82" s="185"/>
      <c r="C82" s="185"/>
      <c r="D82" s="185"/>
      <c r="E82" s="185"/>
      <c r="F82" s="185"/>
      <c r="G82" s="20">
        <v>2220</v>
      </c>
      <c r="H82" s="1" t="s">
        <v>15</v>
      </c>
      <c r="I82" s="1"/>
      <c r="J82" s="32"/>
      <c r="K82" s="1"/>
      <c r="L82" s="1"/>
      <c r="M82" s="1"/>
      <c r="N82" s="1"/>
    </row>
    <row r="83" spans="1:16" ht="18" customHeight="1">
      <c r="A83" s="42" t="s">
        <v>1</v>
      </c>
      <c r="B83" s="82"/>
      <c r="C83" s="83">
        <v>0</v>
      </c>
      <c r="D83" s="84">
        <v>0.6</v>
      </c>
      <c r="E83" s="84">
        <v>0.7</v>
      </c>
      <c r="F83" s="85">
        <v>1.7</v>
      </c>
      <c r="G83" s="85">
        <v>2.7</v>
      </c>
      <c r="H83" s="84">
        <v>2.8</v>
      </c>
      <c r="I83" s="52">
        <v>3.6</v>
      </c>
      <c r="J83" s="52"/>
      <c r="K83" s="84"/>
      <c r="L83" s="86"/>
      <c r="M83" s="45"/>
      <c r="N83" s="47"/>
      <c r="O83" s="22"/>
      <c r="P83" s="22"/>
    </row>
    <row r="84" spans="1:16" ht="18" customHeight="1">
      <c r="A84" s="42" t="s">
        <v>2</v>
      </c>
      <c r="B84" s="82"/>
      <c r="C84" s="83">
        <v>98.19</v>
      </c>
      <c r="D84" s="84">
        <v>97.24</v>
      </c>
      <c r="E84" s="84">
        <v>97.24</v>
      </c>
      <c r="F84" s="84">
        <v>97.24</v>
      </c>
      <c r="G84" s="84">
        <v>97.24</v>
      </c>
      <c r="H84" s="84">
        <v>97.24</v>
      </c>
      <c r="I84" s="84">
        <v>98.37</v>
      </c>
      <c r="J84" s="84"/>
      <c r="K84" s="84"/>
      <c r="L84" s="86"/>
      <c r="M84" s="45"/>
      <c r="N84" s="47"/>
      <c r="O84" s="21"/>
      <c r="P84" s="21"/>
    </row>
    <row r="85" spans="1:16" ht="18" customHeight="1">
      <c r="A85" s="42" t="s">
        <v>1</v>
      </c>
      <c r="B85" s="82"/>
      <c r="C85" s="83">
        <v>0</v>
      </c>
      <c r="D85" s="84">
        <v>0.6</v>
      </c>
      <c r="E85" s="84">
        <v>0.7</v>
      </c>
      <c r="F85" s="85">
        <v>1.7</v>
      </c>
      <c r="G85" s="85">
        <v>2.7</v>
      </c>
      <c r="H85" s="84">
        <v>2.8</v>
      </c>
      <c r="I85" s="52">
        <v>3.6</v>
      </c>
      <c r="J85" s="52"/>
      <c r="K85" s="84"/>
      <c r="L85" s="86"/>
      <c r="M85" s="45"/>
      <c r="N85" s="47"/>
      <c r="O85" s="22"/>
      <c r="P85" s="22"/>
    </row>
    <row r="86" spans="1:16" ht="18" customHeight="1">
      <c r="A86" s="42" t="s">
        <v>3</v>
      </c>
      <c r="B86" s="87"/>
      <c r="C86" s="83">
        <v>98.19</v>
      </c>
      <c r="D86" s="84">
        <v>97.718999999999994</v>
      </c>
      <c r="E86" s="84">
        <v>97.64</v>
      </c>
      <c r="F86" s="84">
        <v>97.64</v>
      </c>
      <c r="G86" s="84">
        <v>97.64</v>
      </c>
      <c r="H86" s="84">
        <v>97.721000000000004</v>
      </c>
      <c r="I86" s="84">
        <v>98.37</v>
      </c>
      <c r="J86" s="84"/>
      <c r="K86" s="84"/>
      <c r="L86" s="86"/>
      <c r="M86" s="45"/>
      <c r="N86" s="52"/>
      <c r="O86" s="23"/>
      <c r="P86" s="23"/>
    </row>
    <row r="87" spans="1:16" ht="18" customHeight="1">
      <c r="A87" s="42" t="s">
        <v>18</v>
      </c>
      <c r="B87" s="87"/>
      <c r="C87" s="52">
        <f t="shared" ref="C87" si="12">C84-C86</f>
        <v>0</v>
      </c>
      <c r="D87" s="52">
        <f>D86-D84</f>
        <v>0.4789999999999992</v>
      </c>
      <c r="E87" s="52">
        <f t="shared" ref="E87:I87" si="13">E86-E84</f>
        <v>0.40000000000000568</v>
      </c>
      <c r="F87" s="52">
        <f t="shared" si="13"/>
        <v>0.40000000000000568</v>
      </c>
      <c r="G87" s="52">
        <f t="shared" si="13"/>
        <v>0.40000000000000568</v>
      </c>
      <c r="H87" s="52">
        <f t="shared" si="13"/>
        <v>0.48100000000000875</v>
      </c>
      <c r="I87" s="52">
        <f t="shared" si="13"/>
        <v>0</v>
      </c>
      <c r="J87" s="52"/>
      <c r="K87" s="52"/>
      <c r="L87" s="52"/>
      <c r="M87" s="47"/>
      <c r="N87" s="47"/>
      <c r="O87" s="21"/>
      <c r="P87" s="21"/>
    </row>
    <row r="88" spans="1:16" ht="18" customHeight="1">
      <c r="A88" s="42" t="s">
        <v>5</v>
      </c>
      <c r="B88" s="87"/>
      <c r="C88" s="52">
        <f t="shared" ref="C88" si="14">(C87+B87)/2*(C83-B83)</f>
        <v>0</v>
      </c>
      <c r="D88" s="52">
        <f>(D87+C87)/2*(D83-C83)</f>
        <v>0.14369999999999974</v>
      </c>
      <c r="E88" s="52">
        <f t="shared" ref="E88" si="15">(E87+D87)/2*(E83-D83)</f>
        <v>4.3950000000000232E-2</v>
      </c>
      <c r="F88" s="52">
        <f t="shared" ref="F88" si="16">(F87+E87)/2*(F83-E83)</f>
        <v>0.40000000000000568</v>
      </c>
      <c r="G88" s="52">
        <f t="shared" ref="G88" si="17">(G87+F87)/2*(G83-F83)</f>
        <v>0.4000000000000058</v>
      </c>
      <c r="H88" s="52">
        <f t="shared" ref="H88" si="18">(H87+G87)/2*(H83-G83)</f>
        <v>4.4050000000000568E-2</v>
      </c>
      <c r="I88" s="52">
        <f t="shared" ref="I88" si="19">(I87+H87)/2*(I83-H83)</f>
        <v>0.19240000000000357</v>
      </c>
      <c r="J88" s="52"/>
      <c r="K88" s="52"/>
      <c r="L88" s="52"/>
      <c r="M88" s="47"/>
      <c r="N88" s="77">
        <f>SUM(B88:M88)</f>
        <v>1.2241000000000155</v>
      </c>
      <c r="O88" s="21"/>
      <c r="P88" s="21"/>
    </row>
    <row r="89" spans="1:16" ht="18" customHeight="1">
      <c r="A89" s="2"/>
      <c r="B89" s="2"/>
      <c r="C89" s="30"/>
      <c r="D89" s="30"/>
      <c r="E89" s="4"/>
      <c r="F89" s="4"/>
      <c r="G89" s="4"/>
      <c r="H89" s="4"/>
      <c r="I89" s="4"/>
      <c r="J89" s="179" t="s">
        <v>6</v>
      </c>
      <c r="K89" s="179"/>
      <c r="L89" s="179"/>
      <c r="M89" s="179"/>
      <c r="N89" s="101">
        <f>N88</f>
        <v>1.2241000000000155</v>
      </c>
      <c r="O89" s="21"/>
      <c r="P89" s="21"/>
    </row>
    <row r="90" spans="1:16" ht="18" customHeight="1">
      <c r="A90" s="24"/>
      <c r="B90" s="78"/>
      <c r="C90" s="18"/>
      <c r="D90" s="18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31"/>
      <c r="P90" s="21"/>
    </row>
    <row r="91" spans="1:16" ht="14.1" customHeight="1">
      <c r="A91" s="2"/>
      <c r="B91" s="2"/>
      <c r="C91" s="30"/>
      <c r="D91" s="30"/>
      <c r="E91" s="21"/>
      <c r="F91" s="21"/>
      <c r="G91" s="21"/>
      <c r="H91" s="21"/>
      <c r="I91" s="21"/>
      <c r="J91" s="30"/>
      <c r="K91" s="30"/>
      <c r="L91" s="30"/>
      <c r="M91" s="30"/>
      <c r="N91" s="30"/>
    </row>
    <row r="92" spans="1:16" ht="14.1" customHeight="1">
      <c r="A92" s="2"/>
      <c r="B92" s="2"/>
      <c r="C92" s="30"/>
      <c r="D92" s="30"/>
      <c r="E92" s="4"/>
      <c r="F92" s="4"/>
      <c r="G92" s="4"/>
      <c r="H92" s="4"/>
      <c r="I92" s="4"/>
      <c r="J92" s="30"/>
      <c r="K92" s="30"/>
      <c r="L92" s="30"/>
      <c r="M92" s="30"/>
      <c r="N92" s="30"/>
    </row>
    <row r="93" spans="1:16" ht="14.1" customHeight="1">
      <c r="A93" s="2"/>
      <c r="B93" s="2"/>
      <c r="C93" s="30"/>
      <c r="D93" s="30"/>
      <c r="E93" s="4"/>
      <c r="F93" s="4"/>
      <c r="G93" s="4"/>
      <c r="H93" s="4"/>
      <c r="I93" s="4"/>
      <c r="J93" s="30"/>
      <c r="K93" s="30"/>
      <c r="L93" s="30"/>
      <c r="M93" s="30"/>
      <c r="N93" s="30"/>
    </row>
    <row r="94" spans="1:16" ht="14.1" customHeight="1">
      <c r="A94" s="6"/>
      <c r="B94" s="6"/>
      <c r="C94" s="7"/>
      <c r="D94" s="7"/>
      <c r="E94" s="7"/>
      <c r="F94" s="7"/>
      <c r="G94" s="7"/>
      <c r="H94" s="7"/>
      <c r="I94" s="7"/>
      <c r="K94" s="7"/>
      <c r="L94" s="7"/>
      <c r="M94" s="7"/>
      <c r="N94" s="7"/>
    </row>
    <row r="95" spans="1:16" ht="14.1" customHeight="1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1:16" ht="14.1" customHeight="1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1:14" ht="14.1" customHeight="1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 spans="1:14" ht="14.1" customHeight="1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 spans="1:14" ht="14.1" customHeight="1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 spans="1:14" ht="14.1" customHeight="1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 spans="1:14" ht="14.1" customHeight="1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 spans="1:14" ht="14.1" customHeight="1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 spans="1:14" ht="14.1" customHeight="1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1:14" ht="14.1" customHeight="1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1:14" ht="14.1" customHeight="1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1:14" ht="14.1" customHeight="1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4" ht="14.1" customHeight="1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1:14" ht="14.1" customHeight="1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1:14" ht="14.1" customHeight="1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1:14" ht="14.1" customHeight="1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4" ht="14.1" customHeight="1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4" ht="14.1" customHeight="1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1:14" ht="14.1" customHeight="1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 ht="14.1" customHeight="1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ht="14.1" customHeight="1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 ht="14.1" customHeight="1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 ht="14.1" customHeight="1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 ht="14.1" customHeight="1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 ht="14.1" customHeight="1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 ht="18" customHeight="1">
      <c r="A120" s="184" t="s">
        <v>0</v>
      </c>
      <c r="B120" s="185"/>
      <c r="C120" s="185"/>
      <c r="D120" s="185"/>
      <c r="E120" s="185"/>
      <c r="F120" s="186"/>
      <c r="G120" s="20">
        <v>2280</v>
      </c>
      <c r="H120" s="1" t="s">
        <v>15</v>
      </c>
      <c r="I120" s="1"/>
      <c r="J120" s="32"/>
      <c r="K120" s="1"/>
      <c r="L120" s="1"/>
      <c r="M120" s="1"/>
      <c r="N120" s="1"/>
    </row>
    <row r="121" spans="1:14" ht="18" customHeight="1">
      <c r="A121" s="42" t="s">
        <v>1</v>
      </c>
      <c r="B121" s="82"/>
      <c r="C121" s="83">
        <v>0</v>
      </c>
      <c r="D121" s="84">
        <v>0.6</v>
      </c>
      <c r="E121" s="84">
        <v>0.7</v>
      </c>
      <c r="F121" s="85">
        <v>1.7</v>
      </c>
      <c r="G121" s="85">
        <v>2.7</v>
      </c>
      <c r="H121" s="84">
        <v>2.8</v>
      </c>
      <c r="I121" s="52">
        <v>3.5</v>
      </c>
      <c r="J121" s="52"/>
      <c r="K121" s="84"/>
      <c r="L121" s="86"/>
      <c r="M121" s="45"/>
      <c r="N121" s="47"/>
    </row>
    <row r="122" spans="1:14" ht="18" customHeight="1">
      <c r="A122" s="42" t="s">
        <v>2</v>
      </c>
      <c r="B122" s="82"/>
      <c r="C122" s="83">
        <v>98.82</v>
      </c>
      <c r="D122" s="84">
        <v>97.23</v>
      </c>
      <c r="E122" s="84">
        <v>97.23</v>
      </c>
      <c r="F122" s="84">
        <v>97.23</v>
      </c>
      <c r="G122" s="84">
        <v>97.23</v>
      </c>
      <c r="H122" s="84">
        <v>97.23</v>
      </c>
      <c r="I122" s="84">
        <v>98.99</v>
      </c>
      <c r="J122" s="84"/>
      <c r="K122" s="84"/>
      <c r="L122" s="86"/>
      <c r="M122" s="45"/>
      <c r="N122" s="47"/>
    </row>
    <row r="123" spans="1:14" ht="18" customHeight="1">
      <c r="A123" s="42" t="s">
        <v>1</v>
      </c>
      <c r="B123" s="82"/>
      <c r="C123" s="83">
        <v>0</v>
      </c>
      <c r="D123" s="84">
        <v>0.6</v>
      </c>
      <c r="E123" s="84">
        <v>0.7</v>
      </c>
      <c r="F123" s="85">
        <v>1.7</v>
      </c>
      <c r="G123" s="85">
        <v>2.7</v>
      </c>
      <c r="H123" s="84">
        <v>2.8</v>
      </c>
      <c r="I123" s="52">
        <v>3.5</v>
      </c>
      <c r="J123" s="52"/>
      <c r="K123" s="84"/>
      <c r="L123" s="86"/>
      <c r="M123" s="45"/>
      <c r="N123" s="47"/>
    </row>
    <row r="124" spans="1:14" ht="18" customHeight="1">
      <c r="A124" s="42" t="s">
        <v>3</v>
      </c>
      <c r="B124" s="87"/>
      <c r="C124" s="83">
        <v>98.82</v>
      </c>
      <c r="D124" s="84">
        <v>97.903000000000006</v>
      </c>
      <c r="E124" s="84">
        <v>97.75</v>
      </c>
      <c r="F124" s="84">
        <v>97.75</v>
      </c>
      <c r="G124" s="84">
        <v>97.75</v>
      </c>
      <c r="H124" s="84">
        <v>97.905000000000001</v>
      </c>
      <c r="I124" s="84">
        <v>98.99</v>
      </c>
      <c r="J124" s="84"/>
      <c r="K124" s="84"/>
      <c r="L124" s="86"/>
      <c r="M124" s="45"/>
      <c r="N124" s="52"/>
    </row>
    <row r="125" spans="1:14" ht="18" customHeight="1">
      <c r="A125" s="42" t="s">
        <v>18</v>
      </c>
      <c r="B125" s="87"/>
      <c r="C125" s="52">
        <f t="shared" ref="C125" si="20">C122-C124</f>
        <v>0</v>
      </c>
      <c r="D125" s="52">
        <f>D124-D122</f>
        <v>0.67300000000000182</v>
      </c>
      <c r="E125" s="52">
        <f t="shared" ref="E125:I125" si="21">E124-E122</f>
        <v>0.51999999999999602</v>
      </c>
      <c r="F125" s="52">
        <f t="shared" si="21"/>
        <v>0.51999999999999602</v>
      </c>
      <c r="G125" s="52">
        <f t="shared" si="21"/>
        <v>0.51999999999999602</v>
      </c>
      <c r="H125" s="52">
        <f t="shared" si="21"/>
        <v>0.67499999999999716</v>
      </c>
      <c r="I125" s="52">
        <f t="shared" si="21"/>
        <v>0</v>
      </c>
      <c r="J125" s="52"/>
      <c r="K125" s="52"/>
      <c r="L125" s="52"/>
      <c r="M125" s="47"/>
      <c r="N125" s="47"/>
    </row>
    <row r="126" spans="1:14" ht="18" customHeight="1">
      <c r="A126" s="42" t="s">
        <v>5</v>
      </c>
      <c r="B126" s="87"/>
      <c r="C126" s="52">
        <f t="shared" ref="C126" si="22">(C125+B125)/2*(C121-B121)</f>
        <v>0</v>
      </c>
      <c r="D126" s="52">
        <f>(D125+C125)/2*(D121-C121)</f>
        <v>0.20190000000000055</v>
      </c>
      <c r="E126" s="52">
        <f t="shared" ref="E126" si="23">(E125+D125)/2*(E121-D121)</f>
        <v>5.9649999999999877E-2</v>
      </c>
      <c r="F126" s="52">
        <f t="shared" ref="F126" si="24">(F125+E125)/2*(F121-E121)</f>
        <v>0.51999999999999602</v>
      </c>
      <c r="G126" s="52">
        <f t="shared" ref="G126" si="25">(G125+F125)/2*(G121-F121)</f>
        <v>0.51999999999999613</v>
      </c>
      <c r="H126" s="52">
        <f t="shared" ref="H126" si="26">(H125+G125)/2*(H121-G121)</f>
        <v>5.9749999999999449E-2</v>
      </c>
      <c r="I126" s="52">
        <f t="shared" ref="I126" si="27">(I125+H125)/2*(I121-H121)</f>
        <v>0.23624999999999907</v>
      </c>
      <c r="J126" s="52"/>
      <c r="K126" s="52"/>
      <c r="L126" s="52"/>
      <c r="M126" s="47"/>
      <c r="N126" s="77">
        <f>SUM(B126:M126)</f>
        <v>1.5975499999999911</v>
      </c>
    </row>
    <row r="127" spans="1:14" ht="18" customHeight="1">
      <c r="A127" s="2"/>
      <c r="B127" s="2"/>
      <c r="C127" s="30"/>
      <c r="D127" s="30"/>
      <c r="E127" s="4"/>
      <c r="F127" s="4"/>
      <c r="G127" s="4"/>
      <c r="H127" s="4"/>
      <c r="I127" s="4"/>
      <c r="J127" s="179" t="s">
        <v>6</v>
      </c>
      <c r="K127" s="179"/>
      <c r="L127" s="179"/>
      <c r="M127" s="179"/>
      <c r="N127" s="101">
        <f>N126</f>
        <v>1.5975499999999911</v>
      </c>
    </row>
    <row r="128" spans="1:14" ht="18" customHeight="1">
      <c r="A128" s="24"/>
      <c r="B128" s="78"/>
      <c r="C128" s="18"/>
      <c r="D128" s="18"/>
      <c r="E128" s="21"/>
      <c r="F128" s="21"/>
      <c r="G128" s="21"/>
      <c r="H128" s="21"/>
      <c r="I128" s="21"/>
      <c r="J128" s="21"/>
      <c r="K128" s="21"/>
      <c r="L128" s="21"/>
      <c r="M128" s="21"/>
      <c r="N128" s="21"/>
    </row>
    <row r="129" spans="1:14" ht="14.1" customHeight="1">
      <c r="A129" s="2"/>
      <c r="B129" s="2"/>
      <c r="C129" s="30"/>
      <c r="D129" s="30"/>
      <c r="E129" s="21"/>
      <c r="F129" s="21"/>
      <c r="G129" s="21"/>
      <c r="H129" s="21"/>
      <c r="I129" s="21"/>
      <c r="J129" s="30"/>
      <c r="K129" s="30"/>
      <c r="L129" s="30"/>
      <c r="M129" s="30"/>
      <c r="N129" s="30"/>
    </row>
    <row r="130" spans="1:14" ht="14.1" customHeight="1">
      <c r="A130" s="6"/>
      <c r="B130" s="6"/>
      <c r="C130" s="7"/>
      <c r="D130" s="7"/>
      <c r="E130" s="7"/>
      <c r="F130" s="7"/>
      <c r="G130" s="7"/>
      <c r="H130" s="7"/>
      <c r="I130" s="7"/>
      <c r="K130" s="7"/>
      <c r="L130" s="7"/>
      <c r="M130" s="7"/>
      <c r="N130" s="7"/>
    </row>
    <row r="131" spans="1:14" ht="14.1" customHeight="1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ht="14.1" customHeight="1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spans="1:14" ht="14.1" customHeight="1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spans="1:14" ht="14.1" customHeight="1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 spans="1:14" ht="14.1" customHeight="1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 spans="1:14" ht="14.1" customHeight="1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 spans="1:14" ht="14.1" customHeight="1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 spans="1:14" ht="14.1" customHeight="1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 spans="1:14" ht="14.1" customHeight="1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spans="1:14" ht="14.1" customHeight="1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 spans="1:14" ht="14.1" customHeight="1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 spans="1:14" ht="14.1" customHeight="1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 spans="1:14" ht="14.1" customHeight="1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 spans="1:14" ht="14.1" customHeight="1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 spans="1:14" ht="14.1" customHeight="1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 spans="1:14" ht="14.1" customHeight="1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 spans="1:14" ht="14.1" customHeight="1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 spans="1:14" ht="14.1" customHeight="1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 spans="1:14" ht="14.1" customHeight="1">
      <c r="A149" s="6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 spans="1:14" ht="14.1" customHeight="1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 spans="1:14" ht="14.1" customHeight="1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 spans="1:14" ht="14.1" customHeight="1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 spans="1:14" ht="14.1" customHeight="1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 spans="1:14" ht="14.1" customHeight="1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 spans="1:14" ht="14.1" customHeight="1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 spans="1:14" ht="14.1" customHeight="1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 spans="1:14" ht="14.1" customHeight="1">
      <c r="B157" s="181"/>
      <c r="C157" s="181"/>
      <c r="D157" s="181"/>
      <c r="E157" s="25"/>
      <c r="F157" s="25"/>
      <c r="G157" s="167"/>
      <c r="H157" s="167"/>
      <c r="I157" s="167"/>
      <c r="J157" s="7"/>
      <c r="K157" s="182"/>
      <c r="L157" s="182"/>
    </row>
    <row r="158" spans="1:14" ht="14.1" customHeight="1">
      <c r="B158" s="170"/>
      <c r="C158" s="170"/>
      <c r="D158" s="170"/>
      <c r="E158" s="26"/>
      <c r="F158" s="26"/>
      <c r="G158" s="170"/>
      <c r="H158" s="170"/>
      <c r="I158" s="170"/>
      <c r="J158" s="25"/>
      <c r="K158" s="171"/>
      <c r="L158" s="171"/>
    </row>
    <row r="159" spans="1:14" ht="14.1" customHeight="1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 spans="1:14" ht="14.1" customHeight="1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 spans="1:15" ht="14.1" customHeight="1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 spans="1:15" ht="14.1" customHeight="1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 spans="1:15" ht="14.1" customHeight="1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 spans="1:15" ht="14.1" customHeight="1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 spans="1:15" ht="18" customHeight="1">
      <c r="A165" s="184" t="s">
        <v>0</v>
      </c>
      <c r="B165" s="185"/>
      <c r="C165" s="185"/>
      <c r="D165" s="185"/>
      <c r="E165" s="185"/>
      <c r="F165" s="185"/>
      <c r="G165" s="20">
        <v>2340</v>
      </c>
      <c r="H165" s="1" t="s">
        <v>15</v>
      </c>
      <c r="I165" s="1"/>
      <c r="J165" s="32"/>
      <c r="K165" s="1"/>
      <c r="L165" s="1"/>
      <c r="M165" s="1"/>
      <c r="N165" s="1"/>
    </row>
    <row r="166" spans="1:15" ht="18" customHeight="1">
      <c r="A166" s="42" t="s">
        <v>1</v>
      </c>
      <c r="B166" s="82"/>
      <c r="C166" s="83">
        <v>0</v>
      </c>
      <c r="D166" s="84">
        <v>0.6</v>
      </c>
      <c r="E166" s="84">
        <v>0.7</v>
      </c>
      <c r="F166" s="85">
        <v>1.7</v>
      </c>
      <c r="G166" s="85">
        <v>2.7</v>
      </c>
      <c r="H166" s="84">
        <v>2.8</v>
      </c>
      <c r="I166" s="52">
        <v>3.6</v>
      </c>
      <c r="J166" s="52"/>
      <c r="K166" s="84"/>
      <c r="L166" s="86"/>
      <c r="M166" s="45"/>
      <c r="N166" s="47"/>
      <c r="O166" s="18"/>
    </row>
    <row r="167" spans="1:15" ht="18" customHeight="1">
      <c r="A167" s="42" t="s">
        <v>2</v>
      </c>
      <c r="B167" s="82"/>
      <c r="C167" s="83">
        <v>98.58</v>
      </c>
      <c r="D167" s="84">
        <v>97.22</v>
      </c>
      <c r="E167" s="84">
        <v>97.22</v>
      </c>
      <c r="F167" s="84">
        <v>97.22</v>
      </c>
      <c r="G167" s="84">
        <v>97.22</v>
      </c>
      <c r="H167" s="84">
        <v>97.22</v>
      </c>
      <c r="I167" s="84">
        <v>98.78</v>
      </c>
      <c r="J167" s="84"/>
      <c r="K167" s="84"/>
      <c r="L167" s="86"/>
      <c r="M167" s="45"/>
      <c r="N167" s="47"/>
      <c r="O167" s="18"/>
    </row>
    <row r="168" spans="1:15" ht="18" customHeight="1">
      <c r="A168" s="42" t="s">
        <v>1</v>
      </c>
      <c r="B168" s="82"/>
      <c r="C168" s="83">
        <v>0</v>
      </c>
      <c r="D168" s="84">
        <v>0.6</v>
      </c>
      <c r="E168" s="84">
        <v>0.7</v>
      </c>
      <c r="F168" s="85">
        <v>1.7</v>
      </c>
      <c r="G168" s="85">
        <v>2.7</v>
      </c>
      <c r="H168" s="84">
        <v>2.8</v>
      </c>
      <c r="I168" s="52">
        <v>3.6</v>
      </c>
      <c r="J168" s="52"/>
      <c r="K168" s="84"/>
      <c r="L168" s="86"/>
      <c r="M168" s="45"/>
      <c r="N168" s="47"/>
      <c r="O168" s="18"/>
    </row>
    <row r="169" spans="1:15" ht="18" customHeight="1">
      <c r="A169" s="42" t="s">
        <v>3</v>
      </c>
      <c r="B169" s="87"/>
      <c r="C169" s="83">
        <v>98.58</v>
      </c>
      <c r="D169" s="84">
        <v>97.825999999999993</v>
      </c>
      <c r="E169" s="84">
        <v>97.7</v>
      </c>
      <c r="F169" s="84">
        <v>97.7</v>
      </c>
      <c r="G169" s="84">
        <v>97.7</v>
      </c>
      <c r="H169" s="84">
        <v>97.82</v>
      </c>
      <c r="I169" s="84">
        <v>98.78</v>
      </c>
      <c r="J169" s="84"/>
      <c r="K169" s="84"/>
      <c r="L169" s="86"/>
      <c r="M169" s="45"/>
      <c r="N169" s="52"/>
      <c r="O169" s="18"/>
    </row>
    <row r="170" spans="1:15" ht="18" customHeight="1">
      <c r="A170" s="42" t="s">
        <v>18</v>
      </c>
      <c r="B170" s="87"/>
      <c r="C170" s="52">
        <f t="shared" ref="C170" si="28">C167-C169</f>
        <v>0</v>
      </c>
      <c r="D170" s="52">
        <f>D169-D167</f>
        <v>0.60599999999999454</v>
      </c>
      <c r="E170" s="52">
        <f t="shared" ref="E170:I170" si="29">E169-E167</f>
        <v>0.48000000000000398</v>
      </c>
      <c r="F170" s="52">
        <f t="shared" si="29"/>
        <v>0.48000000000000398</v>
      </c>
      <c r="G170" s="52">
        <f t="shared" si="29"/>
        <v>0.48000000000000398</v>
      </c>
      <c r="H170" s="52">
        <f t="shared" si="29"/>
        <v>0.59999999999999432</v>
      </c>
      <c r="I170" s="52">
        <f t="shared" si="29"/>
        <v>0</v>
      </c>
      <c r="J170" s="52"/>
      <c r="K170" s="52"/>
      <c r="L170" s="52"/>
      <c r="M170" s="47"/>
      <c r="N170" s="47"/>
      <c r="O170" s="18"/>
    </row>
    <row r="171" spans="1:15" ht="18" customHeight="1">
      <c r="A171" s="42" t="s">
        <v>5</v>
      </c>
      <c r="B171" s="87"/>
      <c r="C171" s="52">
        <f t="shared" ref="C171" si="30">(C170+B170)/2*(C166-B166)</f>
        <v>0</v>
      </c>
      <c r="D171" s="52">
        <f>(D170+C170)/2*(D166-C166)</f>
        <v>0.18179999999999835</v>
      </c>
      <c r="E171" s="52">
        <f t="shared" ref="E171" si="31">(E170+D170)/2*(E166-D166)</f>
        <v>5.4299999999999911E-2</v>
      </c>
      <c r="F171" s="52">
        <f t="shared" ref="F171" si="32">(F170+E170)/2*(F166-E166)</f>
        <v>0.48000000000000398</v>
      </c>
      <c r="G171" s="52">
        <f t="shared" ref="G171" si="33">(G170+F170)/2*(G166-F166)</f>
        <v>0.48000000000000409</v>
      </c>
      <c r="H171" s="52">
        <f t="shared" ref="H171" si="34">(H170+G170)/2*(H166-G166)</f>
        <v>5.3999999999999722E-2</v>
      </c>
      <c r="I171" s="52">
        <f t="shared" ref="I171" si="35">(I170+H170)/2*(I166-H166)</f>
        <v>0.2399999999999978</v>
      </c>
      <c r="J171" s="52"/>
      <c r="K171" s="52"/>
      <c r="L171" s="52"/>
      <c r="M171" s="47"/>
      <c r="N171" s="77">
        <f>SUM(B171:M171)</f>
        <v>1.4901000000000038</v>
      </c>
      <c r="O171" s="18"/>
    </row>
    <row r="172" spans="1:15" ht="18" customHeight="1">
      <c r="A172" s="2"/>
      <c r="B172" s="2"/>
      <c r="C172" s="30"/>
      <c r="D172" s="30"/>
      <c r="E172" s="4"/>
      <c r="F172" s="4"/>
      <c r="G172" s="4"/>
      <c r="H172" s="4"/>
      <c r="I172" s="4"/>
      <c r="J172" s="179" t="s">
        <v>6</v>
      </c>
      <c r="K172" s="179"/>
      <c r="L172" s="179"/>
      <c r="M172" s="179"/>
      <c r="N172" s="101">
        <f>N171</f>
        <v>1.4901000000000038</v>
      </c>
      <c r="O172" s="18"/>
    </row>
    <row r="173" spans="1:15" ht="18" customHeight="1">
      <c r="A173" s="24"/>
      <c r="B173" s="78"/>
      <c r="C173" s="18"/>
      <c r="D173" s="18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1:15" ht="14.1" customHeight="1">
      <c r="A174" s="2"/>
      <c r="B174" s="2"/>
      <c r="C174" s="30"/>
      <c r="D174" s="30"/>
      <c r="E174" s="21"/>
      <c r="F174" s="21"/>
      <c r="G174" s="21"/>
      <c r="H174" s="21"/>
      <c r="I174" s="21"/>
      <c r="J174" s="30"/>
      <c r="K174" s="30"/>
      <c r="L174" s="30"/>
      <c r="M174" s="30"/>
      <c r="N174" s="30"/>
    </row>
    <row r="175" spans="1:15" ht="14.1" customHeight="1">
      <c r="A175" s="6"/>
      <c r="B175" s="6"/>
      <c r="C175" s="7"/>
      <c r="D175" s="7"/>
      <c r="E175" s="7"/>
      <c r="F175" s="7"/>
      <c r="G175" s="7"/>
      <c r="H175" s="7"/>
      <c r="I175" s="7"/>
      <c r="K175" s="7"/>
      <c r="L175" s="7"/>
      <c r="M175" s="7"/>
      <c r="N175" s="7"/>
    </row>
    <row r="176" spans="1:15" ht="14.1" customHeight="1">
      <c r="A176" s="6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</row>
    <row r="177" spans="1:14" ht="14.1" customHeight="1">
      <c r="A177" s="6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</row>
    <row r="178" spans="1:14" ht="14.1" customHeight="1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</row>
    <row r="179" spans="1:14" ht="14.1" customHeight="1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</row>
    <row r="180" spans="1:14" ht="14.1" customHeight="1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</row>
    <row r="181" spans="1:14" ht="14.1" customHeight="1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</row>
    <row r="182" spans="1:14" ht="14.1" customHeight="1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</row>
    <row r="183" spans="1:14" ht="14.1" customHeight="1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</row>
    <row r="184" spans="1:14" ht="14.1" customHeight="1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</row>
    <row r="185" spans="1:14" ht="14.1" customHeight="1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</row>
    <row r="186" spans="1:14" ht="14.1" customHeight="1">
      <c r="A186" s="6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</row>
    <row r="187" spans="1:14" ht="14.1" customHeight="1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</row>
    <row r="188" spans="1:14" ht="14.1" customHeight="1">
      <c r="A188" s="6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</row>
    <row r="189" spans="1:14" ht="14.1" customHeight="1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</row>
    <row r="190" spans="1:14" ht="14.1" customHeight="1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</row>
    <row r="191" spans="1:14" ht="14.1" customHeight="1">
      <c r="A191" s="6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</row>
    <row r="192" spans="1:14" ht="14.1" customHeight="1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</row>
    <row r="193" spans="1:15" ht="14.1" customHeight="1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</row>
    <row r="194" spans="1:15" ht="14.1" customHeight="1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</row>
    <row r="195" spans="1:15" ht="14.1" customHeight="1">
      <c r="A195" s="6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</row>
    <row r="196" spans="1:15" ht="14.1" customHeight="1">
      <c r="A196" s="6"/>
      <c r="B196" s="6"/>
      <c r="C196" s="7"/>
      <c r="D196" s="7"/>
      <c r="E196" s="7"/>
      <c r="F196" s="7"/>
      <c r="G196" s="7"/>
      <c r="H196" s="7"/>
      <c r="I196" s="7"/>
      <c r="J196" s="36"/>
      <c r="K196" s="7"/>
      <c r="L196" s="7"/>
      <c r="M196" s="7"/>
      <c r="N196" s="7"/>
    </row>
    <row r="197" spans="1:15" ht="14.1" customHeight="1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</row>
    <row r="198" spans="1:15" ht="14.1" customHeight="1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</row>
    <row r="199" spans="1:15" ht="14.1" customHeight="1">
      <c r="A199" s="6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</row>
    <row r="200" spans="1:15" ht="14.1" customHeight="1">
      <c r="A200" s="24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</row>
    <row r="201" spans="1:15" ht="14.1" customHeight="1"/>
    <row r="202" spans="1:15" ht="14.1" customHeight="1"/>
    <row r="203" spans="1:15" ht="14.1" customHeight="1"/>
    <row r="204" spans="1:15" ht="14.1" customHeight="1"/>
    <row r="205" spans="1:15" ht="18" customHeight="1">
      <c r="A205" s="184" t="s">
        <v>0</v>
      </c>
      <c r="B205" s="185"/>
      <c r="C205" s="185"/>
      <c r="D205" s="185"/>
      <c r="E205" s="185"/>
      <c r="F205" s="185"/>
      <c r="G205" s="20">
        <v>2400</v>
      </c>
      <c r="H205" s="1" t="s">
        <v>15</v>
      </c>
      <c r="I205" s="1"/>
      <c r="J205" s="32"/>
      <c r="K205" s="1"/>
      <c r="L205" s="1"/>
      <c r="M205" s="1"/>
      <c r="N205" s="1"/>
    </row>
    <row r="206" spans="1:15" ht="18" customHeight="1">
      <c r="A206" s="42" t="s">
        <v>1</v>
      </c>
      <c r="B206" s="82"/>
      <c r="C206" s="83">
        <v>0</v>
      </c>
      <c r="D206" s="84">
        <v>0.6</v>
      </c>
      <c r="E206" s="84">
        <v>1.7</v>
      </c>
      <c r="F206" s="85">
        <v>2.8</v>
      </c>
      <c r="G206" s="85">
        <v>2.8</v>
      </c>
      <c r="H206" s="84"/>
      <c r="I206" s="52"/>
      <c r="J206" s="52"/>
      <c r="K206" s="84"/>
      <c r="L206" s="86"/>
      <c r="M206" s="45"/>
      <c r="N206" s="47"/>
      <c r="O206" s="18"/>
    </row>
    <row r="207" spans="1:15" ht="18" customHeight="1">
      <c r="A207" s="42" t="s">
        <v>2</v>
      </c>
      <c r="B207" s="82"/>
      <c r="C207" s="83">
        <v>98.19</v>
      </c>
      <c r="D207" s="84">
        <v>97.18</v>
      </c>
      <c r="E207" s="84">
        <v>97.18</v>
      </c>
      <c r="F207" s="84">
        <v>97.18</v>
      </c>
      <c r="G207" s="84">
        <v>98.34</v>
      </c>
      <c r="H207" s="84"/>
      <c r="I207" s="84"/>
      <c r="J207" s="84"/>
      <c r="K207" s="84"/>
      <c r="L207" s="86"/>
      <c r="M207" s="45"/>
      <c r="N207" s="47"/>
      <c r="O207" s="18"/>
    </row>
    <row r="208" spans="1:15" ht="18" customHeight="1">
      <c r="A208" s="42" t="s">
        <v>1</v>
      </c>
      <c r="B208" s="82"/>
      <c r="C208" s="83">
        <v>0</v>
      </c>
      <c r="D208" s="84">
        <v>0.6</v>
      </c>
      <c r="E208" s="84">
        <v>1.7</v>
      </c>
      <c r="F208" s="85">
        <v>2.8</v>
      </c>
      <c r="G208" s="85">
        <v>2.8</v>
      </c>
      <c r="H208" s="84"/>
      <c r="I208" s="52"/>
      <c r="J208" s="52"/>
      <c r="K208" s="84"/>
      <c r="L208" s="86"/>
      <c r="M208" s="45"/>
      <c r="N208" s="47"/>
      <c r="O208" s="18"/>
    </row>
    <row r="209" spans="1:15" ht="18" customHeight="1">
      <c r="A209" s="42" t="s">
        <v>3</v>
      </c>
      <c r="B209" s="87"/>
      <c r="C209" s="83">
        <v>98.19</v>
      </c>
      <c r="D209" s="84">
        <v>97.5</v>
      </c>
      <c r="E209" s="84">
        <v>97.5</v>
      </c>
      <c r="F209" s="84">
        <v>97.5</v>
      </c>
      <c r="G209" s="84">
        <v>98.34</v>
      </c>
      <c r="H209" s="84"/>
      <c r="I209" s="84"/>
      <c r="J209" s="84"/>
      <c r="K209" s="84"/>
      <c r="L209" s="86"/>
      <c r="M209" s="45"/>
      <c r="N209" s="52"/>
      <c r="O209" s="18"/>
    </row>
    <row r="210" spans="1:15" ht="18" customHeight="1">
      <c r="A210" s="42" t="s">
        <v>18</v>
      </c>
      <c r="B210" s="87"/>
      <c r="C210" s="52">
        <f t="shared" ref="C210" si="36">C207-C209</f>
        <v>0</v>
      </c>
      <c r="D210" s="52">
        <f>D209-D207</f>
        <v>0.31999999999999318</v>
      </c>
      <c r="E210" s="52">
        <f t="shared" ref="E210:G210" si="37">E209-E207</f>
        <v>0.31999999999999318</v>
      </c>
      <c r="F210" s="52">
        <f t="shared" si="37"/>
        <v>0.31999999999999318</v>
      </c>
      <c r="G210" s="52">
        <f t="shared" si="37"/>
        <v>0</v>
      </c>
      <c r="H210" s="52"/>
      <c r="I210" s="52"/>
      <c r="J210" s="52"/>
      <c r="K210" s="52"/>
      <c r="L210" s="52"/>
      <c r="M210" s="47"/>
      <c r="N210" s="47"/>
      <c r="O210" s="18"/>
    </row>
    <row r="211" spans="1:15" ht="18" customHeight="1">
      <c r="A211" s="42" t="s">
        <v>5</v>
      </c>
      <c r="B211" s="87"/>
      <c r="C211" s="52">
        <f t="shared" ref="C211" si="38">(C210+B210)/2*(C206-B206)</f>
        <v>0</v>
      </c>
      <c r="D211" s="52">
        <f>(D210+C210)/2*(D206-C206)</f>
        <v>9.5999999999997948E-2</v>
      </c>
      <c r="E211" s="52">
        <f t="shared" ref="E211" si="39">(E210+D210)/2*(E206-D206)</f>
        <v>0.35199999999999254</v>
      </c>
      <c r="F211" s="52">
        <f t="shared" ref="F211" si="40">(F210+E210)/2*(F206-E206)</f>
        <v>0.35199999999999243</v>
      </c>
      <c r="G211" s="52">
        <f t="shared" ref="G211" si="41">(G210+F210)/2*(G206-F206)</f>
        <v>0</v>
      </c>
      <c r="H211" s="52"/>
      <c r="I211" s="52"/>
      <c r="J211" s="52"/>
      <c r="K211" s="52"/>
      <c r="L211" s="52"/>
      <c r="M211" s="47"/>
      <c r="N211" s="77">
        <f>SUM(B211:M211)</f>
        <v>0.79999999999998295</v>
      </c>
      <c r="O211" s="18"/>
    </row>
    <row r="212" spans="1:15" ht="18" customHeight="1">
      <c r="A212" s="2"/>
      <c r="B212" s="2"/>
      <c r="C212" s="30"/>
      <c r="D212" s="30"/>
      <c r="E212" s="4"/>
      <c r="F212" s="4"/>
      <c r="G212" s="4"/>
      <c r="H212" s="4"/>
      <c r="I212" s="4"/>
      <c r="J212" s="179" t="s">
        <v>6</v>
      </c>
      <c r="K212" s="179"/>
      <c r="L212" s="179"/>
      <c r="M212" s="179"/>
      <c r="N212" s="101">
        <f>N211</f>
        <v>0.79999999999998295</v>
      </c>
      <c r="O212" s="18"/>
    </row>
    <row r="213" spans="1:15" ht="18" customHeight="1">
      <c r="A213" s="24"/>
      <c r="B213" s="78"/>
      <c r="C213" s="18"/>
      <c r="D213" s="18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spans="1:15" ht="14.1" customHeight="1">
      <c r="A214" s="2"/>
      <c r="B214" s="2"/>
      <c r="C214" s="30"/>
      <c r="D214" s="30"/>
      <c r="E214" s="21"/>
      <c r="F214" s="21"/>
      <c r="G214" s="21"/>
      <c r="H214" s="21"/>
      <c r="I214" s="21"/>
      <c r="J214" s="30"/>
      <c r="K214" s="30"/>
      <c r="L214" s="30"/>
      <c r="M214" s="30"/>
      <c r="N214" s="30"/>
    </row>
    <row r="215" spans="1:15" ht="14.1" customHeight="1">
      <c r="A215" s="6"/>
      <c r="B215" s="6"/>
      <c r="C215" s="7"/>
      <c r="D215" s="7"/>
      <c r="E215" s="7"/>
      <c r="F215" s="7"/>
      <c r="G215" s="7"/>
      <c r="H215" s="7"/>
      <c r="I215" s="7"/>
      <c r="K215" s="7"/>
      <c r="L215" s="7"/>
      <c r="M215" s="7"/>
      <c r="N215" s="7"/>
    </row>
    <row r="216" spans="1:15" ht="14.1" customHeight="1">
      <c r="A216" s="6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 spans="1:15" ht="14.1" customHeight="1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 spans="1:15" ht="14.1" customHeight="1">
      <c r="A218" s="6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 spans="1:15" ht="14.1" customHeight="1">
      <c r="A219" s="6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1:15" ht="14.1" customHeight="1">
      <c r="A220" s="6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 spans="1:15" ht="14.1" customHeight="1">
      <c r="A221" s="6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 spans="1:15" ht="14.1" customHeight="1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 spans="1:15" ht="14.1" customHeight="1">
      <c r="A223" s="6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 spans="1:15" ht="14.1" customHeight="1">
      <c r="A224" s="6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 spans="1:14" ht="14.1" customHeight="1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 spans="1:14" ht="14.1" customHeight="1">
      <c r="A226" s="6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 spans="1:14" ht="14.1" customHeight="1">
      <c r="A227" s="6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 spans="1:14" ht="14.1" customHeight="1">
      <c r="A228" s="6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 spans="1:14" ht="14.1" customHeight="1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 spans="1:14" ht="14.1" customHeight="1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 spans="1:14" ht="14.1" customHeight="1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 spans="1:14" ht="14.1" customHeight="1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 spans="1:14" ht="14.1" customHeight="1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 spans="1:14" ht="14.1" customHeight="1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 spans="1:14" ht="14.1" customHeight="1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 spans="1:14" ht="14.1" customHeight="1">
      <c r="A236" s="6"/>
      <c r="B236" s="6"/>
      <c r="C236" s="7"/>
      <c r="D236" s="7"/>
      <c r="E236" s="7"/>
      <c r="F236" s="7"/>
      <c r="G236" s="7"/>
      <c r="H236" s="7"/>
      <c r="I236" s="7"/>
      <c r="J236" s="30"/>
      <c r="K236" s="7"/>
      <c r="L236" s="7"/>
      <c r="M236" s="7"/>
      <c r="N236" s="7"/>
    </row>
    <row r="237" spans="1:14" ht="14.1" customHeight="1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 spans="1:14" ht="14.1" customHeight="1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 spans="1:14" ht="14.1" customHeight="1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 spans="1:14" ht="14.1" customHeight="1">
      <c r="A240" s="24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</row>
    <row r="241" spans="1:15" ht="14.1" customHeight="1"/>
    <row r="242" spans="1:15" ht="14.1" customHeight="1"/>
    <row r="243" spans="1:15" ht="14.1" customHeight="1">
      <c r="B243" s="181"/>
      <c r="C243" s="181"/>
      <c r="D243" s="181"/>
      <c r="E243" s="25"/>
      <c r="F243" s="25"/>
      <c r="G243" s="167"/>
      <c r="H243" s="167"/>
      <c r="I243" s="167"/>
      <c r="J243" s="7"/>
      <c r="K243" s="182"/>
      <c r="L243" s="182"/>
    </row>
    <row r="244" spans="1:15" ht="14.1" customHeight="1">
      <c r="B244" s="170"/>
      <c r="C244" s="170"/>
      <c r="D244" s="170"/>
      <c r="E244" s="26"/>
      <c r="F244" s="26"/>
      <c r="G244" s="170"/>
      <c r="H244" s="170"/>
      <c r="I244" s="170"/>
      <c r="J244" s="25"/>
      <c r="K244" s="171"/>
      <c r="L244" s="171"/>
    </row>
    <row r="245" spans="1:15" ht="14.1" customHeight="1"/>
    <row r="246" spans="1:15" ht="14.1" customHeight="1"/>
    <row r="247" spans="1:15" ht="14.1" customHeight="1"/>
    <row r="248" spans="1:15" ht="18" customHeight="1">
      <c r="A248" s="184" t="s">
        <v>0</v>
      </c>
      <c r="B248" s="185"/>
      <c r="C248" s="185"/>
      <c r="D248" s="185"/>
      <c r="E248" s="185"/>
      <c r="F248" s="185"/>
      <c r="G248" s="20">
        <v>2460</v>
      </c>
      <c r="H248" s="1" t="s">
        <v>15</v>
      </c>
      <c r="I248" s="1"/>
      <c r="J248" s="32"/>
      <c r="K248" s="1"/>
      <c r="L248" s="1"/>
      <c r="M248" s="1"/>
      <c r="N248" s="1"/>
    </row>
    <row r="249" spans="1:15" ht="18" customHeight="1">
      <c r="A249" s="42" t="s">
        <v>1</v>
      </c>
      <c r="B249" s="82"/>
      <c r="C249" s="83">
        <v>0</v>
      </c>
      <c r="D249" s="84">
        <v>0.6</v>
      </c>
      <c r="E249" s="84">
        <v>0.7</v>
      </c>
      <c r="F249" s="85">
        <v>1.7</v>
      </c>
      <c r="G249" s="85">
        <v>2.7</v>
      </c>
      <c r="H249" s="84">
        <v>2.8</v>
      </c>
      <c r="I249" s="52">
        <v>2.8</v>
      </c>
      <c r="J249" s="52"/>
      <c r="K249" s="84"/>
      <c r="L249" s="86"/>
      <c r="M249" s="45"/>
      <c r="N249" s="47"/>
      <c r="O249" s="18"/>
    </row>
    <row r="250" spans="1:15" ht="18" customHeight="1">
      <c r="A250" s="42" t="s">
        <v>2</v>
      </c>
      <c r="B250" s="82"/>
      <c r="C250" s="83">
        <v>98.6</v>
      </c>
      <c r="D250" s="84">
        <v>97.16</v>
      </c>
      <c r="E250" s="84">
        <v>97.16</v>
      </c>
      <c r="F250" s="84">
        <v>97.16</v>
      </c>
      <c r="G250" s="84">
        <v>97.16</v>
      </c>
      <c r="H250" s="84">
        <v>97.16</v>
      </c>
      <c r="I250" s="84">
        <v>98.5</v>
      </c>
      <c r="J250" s="84"/>
      <c r="K250" s="84"/>
      <c r="L250" s="86"/>
      <c r="M250" s="45"/>
      <c r="N250" s="47"/>
      <c r="O250" s="18"/>
    </row>
    <row r="251" spans="1:15" ht="18" customHeight="1">
      <c r="A251" s="42" t="s">
        <v>1</v>
      </c>
      <c r="B251" s="82"/>
      <c r="C251" s="83">
        <v>0</v>
      </c>
      <c r="D251" s="84">
        <v>0.6</v>
      </c>
      <c r="E251" s="84">
        <v>0.7</v>
      </c>
      <c r="F251" s="85">
        <v>1.7</v>
      </c>
      <c r="G251" s="85">
        <v>2.7</v>
      </c>
      <c r="H251" s="84">
        <v>2.8</v>
      </c>
      <c r="I251" s="52">
        <v>2.8</v>
      </c>
      <c r="J251" s="52"/>
      <c r="K251" s="84"/>
      <c r="L251" s="86"/>
      <c r="M251" s="45"/>
      <c r="N251" s="47"/>
      <c r="O251" s="18"/>
    </row>
    <row r="252" spans="1:15" ht="18" customHeight="1">
      <c r="A252" s="42" t="s">
        <v>3</v>
      </c>
      <c r="B252" s="87"/>
      <c r="C252" s="83">
        <v>98.6</v>
      </c>
      <c r="D252" s="84">
        <v>97.725999999999999</v>
      </c>
      <c r="E252" s="84">
        <v>97.58</v>
      </c>
      <c r="F252" s="84">
        <v>97.58</v>
      </c>
      <c r="G252" s="84">
        <v>97.58</v>
      </c>
      <c r="H252" s="84">
        <v>97.58</v>
      </c>
      <c r="I252" s="84">
        <v>98.5</v>
      </c>
      <c r="J252" s="84"/>
      <c r="K252" s="84"/>
      <c r="L252" s="86"/>
      <c r="M252" s="45"/>
      <c r="N252" s="52"/>
      <c r="O252" s="18"/>
    </row>
    <row r="253" spans="1:15" ht="18" customHeight="1">
      <c r="A253" s="42" t="s">
        <v>18</v>
      </c>
      <c r="B253" s="87"/>
      <c r="C253" s="52">
        <f t="shared" ref="C253" si="42">C250-C252</f>
        <v>0</v>
      </c>
      <c r="D253" s="52">
        <f>D252-D250</f>
        <v>0.5660000000000025</v>
      </c>
      <c r="E253" s="52">
        <f t="shared" ref="E253:I253" si="43">E252-E250</f>
        <v>0.42000000000000171</v>
      </c>
      <c r="F253" s="52">
        <f t="shared" si="43"/>
        <v>0.42000000000000171</v>
      </c>
      <c r="G253" s="52">
        <f t="shared" si="43"/>
        <v>0.42000000000000171</v>
      </c>
      <c r="H253" s="52">
        <f t="shared" si="43"/>
        <v>0.42000000000000171</v>
      </c>
      <c r="I253" s="52">
        <f t="shared" si="43"/>
        <v>0</v>
      </c>
      <c r="J253" s="52"/>
      <c r="K253" s="52"/>
      <c r="L253" s="52"/>
      <c r="M253" s="47"/>
      <c r="N253" s="47"/>
      <c r="O253" s="18"/>
    </row>
    <row r="254" spans="1:15" ht="18" customHeight="1">
      <c r="A254" s="42" t="s">
        <v>5</v>
      </c>
      <c r="B254" s="87"/>
      <c r="C254" s="52">
        <f t="shared" ref="C254" si="44">(C253+B253)/2*(C249-B249)</f>
        <v>0</v>
      </c>
      <c r="D254" s="52">
        <f>(D253+C253)/2*(D249-C249)</f>
        <v>0.16980000000000076</v>
      </c>
      <c r="E254" s="52">
        <f t="shared" ref="E254" si="45">(E253+D253)/2*(E249-D249)</f>
        <v>4.9300000000000198E-2</v>
      </c>
      <c r="F254" s="52">
        <f t="shared" ref="F254" si="46">(F253+E253)/2*(F249-E249)</f>
        <v>0.42000000000000171</v>
      </c>
      <c r="G254" s="52">
        <f t="shared" ref="G254" si="47">(G253+F253)/2*(G249-F249)</f>
        <v>0.42000000000000182</v>
      </c>
      <c r="H254" s="52">
        <f t="shared" ref="H254" si="48">(H253+G253)/2*(H249-G249)</f>
        <v>4.2000000000000023E-2</v>
      </c>
      <c r="I254" s="52">
        <f t="shared" ref="I254" si="49">(I253+H253)/2*(I249-H249)</f>
        <v>0</v>
      </c>
      <c r="J254" s="52"/>
      <c r="K254" s="52"/>
      <c r="L254" s="52"/>
      <c r="M254" s="47"/>
      <c r="N254" s="77">
        <f>SUM(B254:M254)</f>
        <v>1.1011000000000044</v>
      </c>
      <c r="O254" s="18"/>
    </row>
    <row r="255" spans="1:15" ht="18" customHeight="1">
      <c r="A255" s="2"/>
      <c r="B255" s="2"/>
      <c r="C255" s="30"/>
      <c r="D255" s="30"/>
      <c r="E255" s="4"/>
      <c r="F255" s="4"/>
      <c r="G255" s="4"/>
      <c r="H255" s="4"/>
      <c r="I255" s="4"/>
      <c r="J255" s="179" t="s">
        <v>6</v>
      </c>
      <c r="K255" s="179"/>
      <c r="L255" s="179"/>
      <c r="M255" s="179"/>
      <c r="N255" s="101">
        <f>N254</f>
        <v>1.1011000000000044</v>
      </c>
      <c r="O255" s="18"/>
    </row>
    <row r="256" spans="1:15" ht="18" customHeight="1">
      <c r="A256" s="24"/>
      <c r="B256" s="78"/>
      <c r="C256" s="18"/>
      <c r="D256" s="18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</row>
    <row r="257" spans="1:14" ht="14.1" customHeight="1">
      <c r="A257" s="2"/>
      <c r="B257" s="2"/>
      <c r="C257" s="30"/>
      <c r="D257" s="30"/>
      <c r="E257" s="21"/>
      <c r="F257" s="21"/>
      <c r="G257" s="21"/>
      <c r="H257" s="21"/>
      <c r="I257" s="21"/>
      <c r="J257" s="30"/>
      <c r="K257" s="30"/>
      <c r="L257" s="30"/>
      <c r="M257" s="30"/>
      <c r="N257" s="30"/>
    </row>
    <row r="258" spans="1:14" ht="14.1" customHeight="1">
      <c r="A258" s="6"/>
      <c r="B258" s="6"/>
      <c r="C258" s="7"/>
      <c r="D258" s="7"/>
      <c r="E258" s="7"/>
      <c r="F258" s="7"/>
      <c r="G258" s="7"/>
      <c r="H258" s="7"/>
      <c r="I258" s="7"/>
      <c r="K258" s="7"/>
      <c r="L258" s="7"/>
      <c r="M258" s="7"/>
      <c r="N258" s="7"/>
    </row>
    <row r="259" spans="1:14" ht="14.1" customHeight="1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</row>
    <row r="260" spans="1:14" ht="14.1" customHeight="1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</row>
    <row r="261" spans="1:14" ht="14.1" customHeight="1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</row>
    <row r="262" spans="1:14" ht="14.1" customHeight="1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</row>
    <row r="263" spans="1:14" ht="14.1" customHeight="1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</row>
    <row r="264" spans="1:14" ht="14.1" customHeight="1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</row>
    <row r="265" spans="1:14" ht="14.1" customHeight="1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</row>
    <row r="266" spans="1:14" ht="14.1" customHeight="1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</row>
    <row r="267" spans="1:14" ht="14.1" customHeight="1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</row>
    <row r="268" spans="1:14" ht="14.1" customHeight="1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</row>
    <row r="269" spans="1:14" ht="14.1" customHeight="1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</row>
    <row r="270" spans="1:14" ht="14.1" customHeight="1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</row>
    <row r="271" spans="1:14" ht="14.1" customHeight="1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</row>
    <row r="272" spans="1:14" ht="14.1" customHeight="1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</row>
    <row r="273" spans="1:15" ht="14.1" customHeight="1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</row>
    <row r="274" spans="1:15" ht="14.1" customHeight="1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</row>
    <row r="275" spans="1:15" ht="14.1" customHeight="1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</row>
    <row r="276" spans="1:15" ht="14.1" customHeight="1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</row>
    <row r="277" spans="1:15" ht="14.1" customHeight="1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</row>
    <row r="278" spans="1:15" ht="14.1" customHeight="1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</row>
    <row r="279" spans="1:15" ht="14.1" customHeight="1">
      <c r="A279" s="6"/>
      <c r="B279" s="6"/>
      <c r="C279" s="7"/>
      <c r="D279" s="7"/>
      <c r="E279" s="7"/>
      <c r="F279" s="7"/>
      <c r="G279" s="7"/>
      <c r="H279" s="7"/>
      <c r="I279" s="7"/>
      <c r="J279" s="36"/>
      <c r="K279" s="7"/>
      <c r="L279" s="7"/>
      <c r="M279" s="7"/>
      <c r="N279" s="7"/>
    </row>
    <row r="280" spans="1:15" ht="14.1" customHeight="1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</row>
    <row r="281" spans="1:15" ht="14.1" customHeight="1"/>
    <row r="282" spans="1:15" ht="14.1" customHeight="1"/>
    <row r="283" spans="1:15" ht="18" customHeight="1">
      <c r="A283" s="184" t="s">
        <v>0</v>
      </c>
      <c r="B283" s="185"/>
      <c r="C283" s="185"/>
      <c r="D283" s="185"/>
      <c r="E283" s="185"/>
      <c r="F283" s="185"/>
      <c r="G283" s="20">
        <v>2520</v>
      </c>
      <c r="H283" s="1" t="s">
        <v>15</v>
      </c>
      <c r="I283" s="1"/>
      <c r="J283" s="33"/>
      <c r="K283" s="1"/>
      <c r="L283" s="1"/>
      <c r="M283" s="1"/>
      <c r="N283" s="1"/>
    </row>
    <row r="284" spans="1:15" ht="18" customHeight="1">
      <c r="A284" s="42" t="s">
        <v>1</v>
      </c>
      <c r="B284" s="82"/>
      <c r="C284" s="83">
        <v>0</v>
      </c>
      <c r="D284" s="84">
        <v>0.6</v>
      </c>
      <c r="E284" s="84">
        <v>0.7</v>
      </c>
      <c r="F284" s="85">
        <v>1.7</v>
      </c>
      <c r="G284" s="85">
        <v>2.7</v>
      </c>
      <c r="H284" s="84">
        <v>2.8</v>
      </c>
      <c r="I284" s="52">
        <v>2.8</v>
      </c>
      <c r="J284" s="52"/>
      <c r="K284" s="84"/>
      <c r="L284" s="86"/>
      <c r="M284" s="45"/>
      <c r="N284" s="47"/>
      <c r="O284" s="22"/>
    </row>
    <row r="285" spans="1:15" ht="18" customHeight="1">
      <c r="A285" s="42" t="s">
        <v>2</v>
      </c>
      <c r="B285" s="82"/>
      <c r="C285" s="83">
        <v>98.01</v>
      </c>
      <c r="D285" s="84">
        <v>97.11</v>
      </c>
      <c r="E285" s="84">
        <v>97.11</v>
      </c>
      <c r="F285" s="84">
        <v>97.11</v>
      </c>
      <c r="G285" s="84">
        <v>97.11</v>
      </c>
      <c r="H285" s="84">
        <v>97.11</v>
      </c>
      <c r="I285" s="84">
        <v>98.18</v>
      </c>
      <c r="J285" s="84"/>
      <c r="K285" s="84"/>
      <c r="L285" s="86"/>
      <c r="M285" s="45"/>
      <c r="N285" s="47"/>
      <c r="O285" s="21"/>
    </row>
    <row r="286" spans="1:15" ht="18" customHeight="1">
      <c r="A286" s="42" t="s">
        <v>1</v>
      </c>
      <c r="B286" s="82"/>
      <c r="C286" s="83">
        <v>0</v>
      </c>
      <c r="D286" s="84">
        <v>0.6</v>
      </c>
      <c r="E286" s="84">
        <v>0.7</v>
      </c>
      <c r="F286" s="85">
        <v>1.7</v>
      </c>
      <c r="G286" s="85">
        <v>2.7</v>
      </c>
      <c r="H286" s="84">
        <v>2.8</v>
      </c>
      <c r="I286" s="52">
        <v>2.8</v>
      </c>
      <c r="J286" s="52"/>
      <c r="K286" s="84"/>
      <c r="L286" s="86"/>
      <c r="M286" s="45"/>
      <c r="N286" s="47"/>
      <c r="O286" s="22"/>
    </row>
    <row r="287" spans="1:15" ht="18" customHeight="1">
      <c r="A287" s="42" t="s">
        <v>3</v>
      </c>
      <c r="B287" s="87"/>
      <c r="C287" s="83">
        <v>98.01</v>
      </c>
      <c r="D287" s="84">
        <v>97.53</v>
      </c>
      <c r="E287" s="84">
        <v>97.45</v>
      </c>
      <c r="F287" s="84">
        <v>97.45</v>
      </c>
      <c r="G287" s="84">
        <v>97.45</v>
      </c>
      <c r="H287" s="84">
        <v>97.45</v>
      </c>
      <c r="I287" s="84">
        <v>98.18</v>
      </c>
      <c r="J287" s="84"/>
      <c r="K287" s="84"/>
      <c r="L287" s="86"/>
      <c r="M287" s="45"/>
      <c r="N287" s="52"/>
      <c r="O287" s="23"/>
    </row>
    <row r="288" spans="1:15" ht="18" customHeight="1">
      <c r="A288" s="42" t="s">
        <v>18</v>
      </c>
      <c r="B288" s="87"/>
      <c r="C288" s="52">
        <f t="shared" ref="C288" si="50">C285-C287</f>
        <v>0</v>
      </c>
      <c r="D288" s="52">
        <f>D287-D285</f>
        <v>0.42000000000000171</v>
      </c>
      <c r="E288" s="52">
        <f t="shared" ref="E288:I288" si="51">E287-E285</f>
        <v>0.34000000000000341</v>
      </c>
      <c r="F288" s="52">
        <f t="shared" si="51"/>
        <v>0.34000000000000341</v>
      </c>
      <c r="G288" s="52">
        <f t="shared" si="51"/>
        <v>0.34000000000000341</v>
      </c>
      <c r="H288" s="52">
        <f t="shared" si="51"/>
        <v>0.34000000000000341</v>
      </c>
      <c r="I288" s="52">
        <f t="shared" si="51"/>
        <v>0</v>
      </c>
      <c r="J288" s="52"/>
      <c r="K288" s="52"/>
      <c r="L288" s="52"/>
      <c r="M288" s="47"/>
      <c r="N288" s="47"/>
      <c r="O288" s="21"/>
    </row>
    <row r="289" spans="1:15" ht="18" customHeight="1">
      <c r="A289" s="42" t="s">
        <v>5</v>
      </c>
      <c r="B289" s="87"/>
      <c r="C289" s="52">
        <f t="shared" ref="C289" si="52">(C288+B288)/2*(C284-B284)</f>
        <v>0</v>
      </c>
      <c r="D289" s="52">
        <f>(D288+C288)/2*(D284-C284)</f>
        <v>0.1260000000000005</v>
      </c>
      <c r="E289" s="52">
        <f t="shared" ref="E289" si="53">(E288+D288)/2*(E284-D284)</f>
        <v>3.8000000000000249E-2</v>
      </c>
      <c r="F289" s="52">
        <f t="shared" ref="F289" si="54">(F288+E288)/2*(F284-E284)</f>
        <v>0.34000000000000341</v>
      </c>
      <c r="G289" s="52">
        <f t="shared" ref="G289" si="55">(G288+F288)/2*(G284-F284)</f>
        <v>0.34000000000000347</v>
      </c>
      <c r="H289" s="52">
        <f t="shared" ref="H289" si="56">(H288+G288)/2*(H284-G284)</f>
        <v>3.4000000000000218E-2</v>
      </c>
      <c r="I289" s="52">
        <f t="shared" ref="I289" si="57">(I288+H288)/2*(I284-H284)</f>
        <v>0</v>
      </c>
      <c r="J289" s="52"/>
      <c r="K289" s="52"/>
      <c r="L289" s="52"/>
      <c r="M289" s="47"/>
      <c r="N289" s="77">
        <f>SUM(B289:M289)</f>
        <v>0.87800000000000789</v>
      </c>
      <c r="O289" s="21"/>
    </row>
    <row r="290" spans="1:15" ht="18" customHeight="1">
      <c r="A290" s="2"/>
      <c r="B290" s="2"/>
      <c r="C290" s="30"/>
      <c r="D290" s="30"/>
      <c r="E290" s="4"/>
      <c r="F290" s="4"/>
      <c r="G290" s="4"/>
      <c r="H290" s="4"/>
      <c r="I290" s="4"/>
      <c r="J290" s="179" t="s">
        <v>6</v>
      </c>
      <c r="K290" s="179"/>
      <c r="L290" s="179"/>
      <c r="M290" s="179"/>
      <c r="N290" s="101">
        <f>N289</f>
        <v>0.87800000000000789</v>
      </c>
      <c r="O290" s="21"/>
    </row>
    <row r="291" spans="1:15" ht="18" customHeight="1">
      <c r="A291" s="24"/>
      <c r="B291" s="78"/>
      <c r="C291" s="18"/>
      <c r="D291" s="18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</row>
    <row r="292" spans="1:15" ht="14.1" customHeight="1">
      <c r="A292" s="2"/>
      <c r="B292" s="2"/>
      <c r="C292" s="30"/>
      <c r="D292" s="30"/>
      <c r="E292" s="21"/>
      <c r="F292" s="21"/>
      <c r="G292" s="21"/>
      <c r="H292" s="21"/>
      <c r="I292" s="21"/>
      <c r="J292" s="30"/>
      <c r="K292" s="30"/>
      <c r="L292" s="30"/>
      <c r="M292" s="30"/>
      <c r="N292" s="30"/>
    </row>
    <row r="293" spans="1:15" ht="14.1" customHeight="1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</row>
    <row r="294" spans="1:15" ht="14.1" customHeight="1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</row>
    <row r="295" spans="1:15" ht="14.1" customHeight="1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</row>
    <row r="296" spans="1:15" ht="14.1" customHeight="1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</row>
    <row r="297" spans="1:15" ht="14.1" customHeight="1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</row>
    <row r="298" spans="1:15" ht="14.1" customHeight="1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</row>
    <row r="299" spans="1:15" ht="14.1" customHeight="1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</row>
    <row r="300" spans="1:15" ht="14.1" customHeight="1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</row>
    <row r="301" spans="1:15" ht="14.1" customHeight="1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</row>
    <row r="302" spans="1:15" ht="14.1" customHeight="1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</row>
    <row r="303" spans="1:15" ht="14.1" customHeight="1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</row>
    <row r="304" spans="1:15" ht="14.1" customHeight="1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</row>
    <row r="305" spans="1:14" ht="14.1" customHeight="1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</row>
    <row r="306" spans="1:14" ht="14.1" customHeight="1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</row>
    <row r="307" spans="1:14" ht="14.1" customHeight="1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</row>
    <row r="308" spans="1:14" ht="14.1" customHeight="1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</row>
    <row r="309" spans="1:14" ht="14.1" customHeight="1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</row>
    <row r="310" spans="1:14" ht="14.1" customHeight="1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</row>
    <row r="311" spans="1:14" ht="14.1" customHeight="1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</row>
    <row r="312" spans="1:14" ht="14.1" customHeight="1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</row>
    <row r="313" spans="1:14" ht="14.1" customHeight="1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</row>
    <row r="314" spans="1:14" ht="14.1" customHeight="1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</row>
    <row r="315" spans="1:14" ht="14.1" customHeight="1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</row>
    <row r="316" spans="1:14" ht="14.1" customHeight="1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</row>
    <row r="317" spans="1:14" ht="14.1" customHeight="1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</row>
    <row r="318" spans="1:14" ht="14.1" customHeight="1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</row>
    <row r="319" spans="1:14" ht="14.1" customHeight="1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</row>
    <row r="320" spans="1:14" ht="14.1" customHeight="1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</row>
    <row r="321" spans="1:16" ht="14.1" customHeight="1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</row>
    <row r="322" spans="1:16" ht="14.1" customHeight="1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</row>
    <row r="323" spans="1:16" ht="14.1" customHeight="1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</row>
    <row r="324" spans="1:16" ht="14.1" customHeight="1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</row>
    <row r="325" spans="1:16" ht="14.1" customHeight="1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</row>
    <row r="326" spans="1:16" ht="14.1" customHeight="1">
      <c r="A326" s="6"/>
      <c r="B326" s="181"/>
      <c r="C326" s="181"/>
      <c r="D326" s="181"/>
      <c r="E326" s="25"/>
      <c r="F326" s="25"/>
      <c r="G326" s="167"/>
      <c r="H326" s="167"/>
      <c r="I326" s="167"/>
      <c r="J326" s="7"/>
      <c r="K326" s="182"/>
      <c r="L326" s="182"/>
      <c r="M326" s="7"/>
      <c r="N326" s="7"/>
    </row>
    <row r="327" spans="1:16" ht="14.1" customHeight="1">
      <c r="A327" s="6"/>
      <c r="B327" s="170"/>
      <c r="C327" s="170"/>
      <c r="D327" s="170"/>
      <c r="E327" s="26"/>
      <c r="F327" s="26"/>
      <c r="G327" s="170"/>
      <c r="H327" s="170"/>
      <c r="I327" s="170"/>
      <c r="J327" s="25"/>
      <c r="K327" s="171"/>
      <c r="L327" s="171"/>
      <c r="M327" s="7"/>
      <c r="N327" s="7"/>
    </row>
    <row r="328" spans="1:16" ht="14.1" customHeight="1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</row>
    <row r="329" spans="1:16" ht="14.1" customHeight="1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</row>
    <row r="330" spans="1:16" ht="14.1" customHeight="1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</row>
    <row r="331" spans="1:16" ht="18.75" customHeight="1">
      <c r="A331" s="184" t="s">
        <v>0</v>
      </c>
      <c r="B331" s="185"/>
      <c r="C331" s="185"/>
      <c r="D331" s="185"/>
      <c r="E331" s="185"/>
      <c r="F331" s="185"/>
      <c r="G331" s="20">
        <v>2580</v>
      </c>
      <c r="H331" s="1" t="s">
        <v>15</v>
      </c>
      <c r="I331" s="1"/>
      <c r="J331" s="32"/>
      <c r="K331" s="1"/>
      <c r="L331" s="1"/>
      <c r="M331" s="1"/>
      <c r="N331" s="1"/>
    </row>
    <row r="332" spans="1:16" ht="18.75" customHeight="1">
      <c r="A332" s="42" t="s">
        <v>1</v>
      </c>
      <c r="B332" s="82"/>
      <c r="C332" s="83">
        <v>0</v>
      </c>
      <c r="D332" s="84">
        <v>0.6</v>
      </c>
      <c r="E332" s="84">
        <v>0.7</v>
      </c>
      <c r="F332" s="85">
        <v>1.7</v>
      </c>
      <c r="G332" s="85">
        <v>2.7</v>
      </c>
      <c r="H332" s="84">
        <v>2.8</v>
      </c>
      <c r="I332" s="52">
        <v>3.6</v>
      </c>
      <c r="J332" s="52"/>
      <c r="K332" s="84"/>
      <c r="L332" s="86"/>
      <c r="M332" s="45"/>
      <c r="N332" s="47"/>
      <c r="O332" s="22"/>
      <c r="P332" s="22"/>
    </row>
    <row r="333" spans="1:16" ht="18.75" customHeight="1">
      <c r="A333" s="42" t="s">
        <v>2</v>
      </c>
      <c r="B333" s="82"/>
      <c r="C333" s="83">
        <v>98.11</v>
      </c>
      <c r="D333" s="84">
        <v>97.07</v>
      </c>
      <c r="E333" s="84">
        <v>97.07</v>
      </c>
      <c r="F333" s="84">
        <v>97.07</v>
      </c>
      <c r="G333" s="84">
        <v>97.07</v>
      </c>
      <c r="H333" s="84">
        <v>97.07</v>
      </c>
      <c r="I333" s="84">
        <v>98.31</v>
      </c>
      <c r="J333" s="84"/>
      <c r="K333" s="84"/>
      <c r="L333" s="86"/>
      <c r="M333" s="45"/>
      <c r="N333" s="47"/>
      <c r="O333" s="21"/>
      <c r="P333" s="21"/>
    </row>
    <row r="334" spans="1:16" ht="18.75" customHeight="1">
      <c r="A334" s="42" t="s">
        <v>1</v>
      </c>
      <c r="B334" s="82"/>
      <c r="C334" s="83">
        <v>0</v>
      </c>
      <c r="D334" s="84">
        <v>0.6</v>
      </c>
      <c r="E334" s="84">
        <v>0.7</v>
      </c>
      <c r="F334" s="85">
        <v>1.7</v>
      </c>
      <c r="G334" s="85">
        <v>2.7</v>
      </c>
      <c r="H334" s="84">
        <v>2.8</v>
      </c>
      <c r="I334" s="52">
        <v>3.6</v>
      </c>
      <c r="J334" s="52"/>
      <c r="K334" s="84"/>
      <c r="L334" s="86"/>
      <c r="M334" s="45"/>
      <c r="N334" s="47"/>
      <c r="O334" s="22"/>
      <c r="P334" s="22"/>
    </row>
    <row r="335" spans="1:16" ht="18.75" customHeight="1">
      <c r="A335" s="42" t="s">
        <v>3</v>
      </c>
      <c r="B335" s="87"/>
      <c r="C335" s="83">
        <v>98.11</v>
      </c>
      <c r="D335" s="84">
        <v>97.561000000000007</v>
      </c>
      <c r="E335" s="84">
        <v>97.47</v>
      </c>
      <c r="F335" s="84">
        <v>97.47</v>
      </c>
      <c r="G335" s="84">
        <v>97.47</v>
      </c>
      <c r="H335" s="84">
        <v>97.563000000000002</v>
      </c>
      <c r="I335" s="84">
        <v>98.31</v>
      </c>
      <c r="J335" s="84"/>
      <c r="K335" s="84"/>
      <c r="L335" s="86"/>
      <c r="M335" s="45"/>
      <c r="N335" s="52"/>
      <c r="O335" s="23"/>
      <c r="P335" s="23"/>
    </row>
    <row r="336" spans="1:16" ht="18.75" customHeight="1">
      <c r="A336" s="42" t="s">
        <v>18</v>
      </c>
      <c r="B336" s="87"/>
      <c r="C336" s="52">
        <f t="shared" ref="C336" si="58">C333-C335</f>
        <v>0</v>
      </c>
      <c r="D336" s="52">
        <f>D335-D333</f>
        <v>0.49100000000001387</v>
      </c>
      <c r="E336" s="52">
        <f t="shared" ref="E336:I336" si="59">E335-E333</f>
        <v>0.40000000000000568</v>
      </c>
      <c r="F336" s="52">
        <f t="shared" si="59"/>
        <v>0.40000000000000568</v>
      </c>
      <c r="G336" s="52">
        <f t="shared" si="59"/>
        <v>0.40000000000000568</v>
      </c>
      <c r="H336" s="52">
        <f t="shared" si="59"/>
        <v>0.49300000000000921</v>
      </c>
      <c r="I336" s="52">
        <f t="shared" si="59"/>
        <v>0</v>
      </c>
      <c r="J336" s="52"/>
      <c r="K336" s="52"/>
      <c r="L336" s="52"/>
      <c r="M336" s="47"/>
      <c r="N336" s="47"/>
      <c r="O336" s="21"/>
      <c r="P336" s="21"/>
    </row>
    <row r="337" spans="1:16" ht="18.75" customHeight="1">
      <c r="A337" s="42" t="s">
        <v>5</v>
      </c>
      <c r="B337" s="87"/>
      <c r="C337" s="52">
        <f t="shared" ref="C337" si="60">(C336+B336)/2*(C332-B332)</f>
        <v>0</v>
      </c>
      <c r="D337" s="52">
        <f>(D336+C336)/2*(D332-C332)</f>
        <v>0.14730000000000415</v>
      </c>
      <c r="E337" s="52">
        <f t="shared" ref="E337" si="61">(E336+D336)/2*(E332-D332)</f>
        <v>4.4550000000000971E-2</v>
      </c>
      <c r="F337" s="52">
        <f t="shared" ref="F337" si="62">(F336+E336)/2*(F332-E332)</f>
        <v>0.40000000000000568</v>
      </c>
      <c r="G337" s="52">
        <f t="shared" ref="G337" si="63">(G336+F336)/2*(G332-F332)</f>
        <v>0.4000000000000058</v>
      </c>
      <c r="H337" s="52">
        <f t="shared" ref="H337" si="64">(H336+G336)/2*(H332-G332)</f>
        <v>4.4650000000000585E-2</v>
      </c>
      <c r="I337" s="52">
        <f t="shared" ref="I337" si="65">(I336+H336)/2*(I332-H332)</f>
        <v>0.19720000000000376</v>
      </c>
      <c r="J337" s="52"/>
      <c r="K337" s="52"/>
      <c r="L337" s="52"/>
      <c r="M337" s="47"/>
      <c r="N337" s="77">
        <f>SUM(B337:M337)</f>
        <v>1.2337000000000211</v>
      </c>
      <c r="O337" s="21"/>
      <c r="P337" s="21"/>
    </row>
    <row r="338" spans="1:16" ht="18.75" customHeight="1">
      <c r="A338" s="2"/>
      <c r="B338" s="2"/>
      <c r="C338" s="30"/>
      <c r="D338" s="30"/>
      <c r="E338" s="4"/>
      <c r="F338" s="4"/>
      <c r="G338" s="4"/>
      <c r="H338" s="4"/>
      <c r="I338" s="4"/>
      <c r="J338" s="179" t="s">
        <v>6</v>
      </c>
      <c r="K338" s="179"/>
      <c r="L338" s="179"/>
      <c r="M338" s="179"/>
      <c r="N338" s="101">
        <f>N337</f>
        <v>1.2337000000000211</v>
      </c>
      <c r="O338" s="21"/>
      <c r="P338" s="21"/>
    </row>
    <row r="339" spans="1:16" ht="18.75" customHeight="1">
      <c r="A339" s="24"/>
      <c r="B339" s="78"/>
      <c r="C339" s="18"/>
      <c r="D339" s="18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31"/>
      <c r="P339" s="21"/>
    </row>
    <row r="340" spans="1:16" ht="18.75" customHeight="1">
      <c r="A340" s="2"/>
      <c r="B340" s="2"/>
      <c r="C340" s="30"/>
      <c r="D340" s="30"/>
      <c r="E340" s="21"/>
      <c r="F340" s="21"/>
      <c r="G340" s="21"/>
      <c r="H340" s="21"/>
      <c r="I340" s="21"/>
      <c r="J340" s="30"/>
      <c r="K340" s="30"/>
      <c r="L340" s="30"/>
      <c r="M340" s="30"/>
      <c r="N340" s="30"/>
    </row>
    <row r="341" spans="1:16" ht="14.1" customHeight="1">
      <c r="A341" s="6"/>
      <c r="B341" s="6"/>
      <c r="C341" s="7"/>
      <c r="D341" s="7"/>
      <c r="E341" s="7"/>
      <c r="F341" s="7"/>
      <c r="G341" s="7"/>
      <c r="H341" s="7"/>
      <c r="I341" s="7"/>
      <c r="K341" s="7"/>
      <c r="L341" s="7"/>
      <c r="M341" s="7"/>
      <c r="N341" s="7"/>
    </row>
    <row r="342" spans="1:16" ht="14.1" customHeight="1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</row>
    <row r="343" spans="1:16" ht="14.1" customHeight="1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</row>
    <row r="344" spans="1:16" ht="14.1" customHeight="1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</row>
    <row r="345" spans="1:16" ht="14.1" customHeight="1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</row>
    <row r="346" spans="1:16" ht="14.1" customHeight="1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</row>
    <row r="347" spans="1:16" ht="14.1" customHeight="1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</row>
    <row r="348" spans="1:16" ht="14.1" customHeight="1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</row>
    <row r="349" spans="1:16" ht="14.1" customHeight="1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</row>
    <row r="350" spans="1:16" ht="14.1" customHeight="1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</row>
    <row r="351" spans="1:16" ht="14.1" customHeight="1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</row>
    <row r="352" spans="1:16" ht="14.1" customHeight="1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</row>
    <row r="353" spans="1:16" ht="14.1" customHeight="1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</row>
    <row r="354" spans="1:16" ht="14.1" customHeight="1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</row>
    <row r="355" spans="1:16" ht="14.1" customHeight="1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</row>
    <row r="356" spans="1:16" ht="14.1" customHeight="1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</row>
    <row r="357" spans="1:16" ht="14.1" customHeight="1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</row>
    <row r="358" spans="1:16" ht="14.1" customHeight="1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</row>
    <row r="359" spans="1:16" ht="14.1" customHeight="1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</row>
    <row r="360" spans="1:16" ht="14.1" customHeight="1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</row>
    <row r="361" spans="1:16" ht="14.1" customHeight="1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</row>
    <row r="362" spans="1:16" ht="14.1" customHeight="1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</row>
    <row r="363" spans="1:16" ht="14.1" customHeight="1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</row>
    <row r="364" spans="1:16" ht="14.1" customHeight="1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</row>
    <row r="365" spans="1:16" ht="14.1" customHeight="1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</row>
    <row r="366" spans="1:16" ht="14.1" customHeight="1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</row>
    <row r="367" spans="1:16" ht="18" customHeight="1">
      <c r="A367" s="184" t="s">
        <v>0</v>
      </c>
      <c r="B367" s="185"/>
      <c r="C367" s="185"/>
      <c r="D367" s="185"/>
      <c r="E367" s="185"/>
      <c r="F367" s="185"/>
      <c r="G367" s="20">
        <v>2640</v>
      </c>
      <c r="H367" s="1" t="s">
        <v>15</v>
      </c>
      <c r="I367" s="1"/>
      <c r="J367" s="32"/>
      <c r="K367" s="1"/>
      <c r="L367" s="1"/>
      <c r="M367" s="1"/>
      <c r="N367" s="1"/>
    </row>
    <row r="368" spans="1:16" ht="18" customHeight="1">
      <c r="A368" s="42" t="s">
        <v>1</v>
      </c>
      <c r="B368" s="82"/>
      <c r="C368" s="83">
        <v>0</v>
      </c>
      <c r="D368" s="84">
        <v>0.6</v>
      </c>
      <c r="E368" s="84">
        <v>0.7</v>
      </c>
      <c r="F368" s="85">
        <v>1.7</v>
      </c>
      <c r="G368" s="85">
        <v>2.7</v>
      </c>
      <c r="H368" s="84">
        <v>2.8</v>
      </c>
      <c r="I368" s="52">
        <v>3.5</v>
      </c>
      <c r="J368" s="52"/>
      <c r="K368" s="84"/>
      <c r="L368" s="86"/>
      <c r="M368" s="45"/>
      <c r="N368" s="47"/>
      <c r="O368" s="22"/>
      <c r="P368" s="22"/>
    </row>
    <row r="369" spans="1:16" ht="18" customHeight="1">
      <c r="A369" s="42" t="s">
        <v>2</v>
      </c>
      <c r="B369" s="82"/>
      <c r="C369" s="83">
        <v>97.98</v>
      </c>
      <c r="D369" s="84">
        <v>96.98</v>
      </c>
      <c r="E369" s="84">
        <v>96.98</v>
      </c>
      <c r="F369" s="84">
        <v>96.98</v>
      </c>
      <c r="G369" s="84">
        <v>96.98</v>
      </c>
      <c r="H369" s="84">
        <v>96.98</v>
      </c>
      <c r="I369" s="84">
        <v>98.13</v>
      </c>
      <c r="J369" s="84"/>
      <c r="K369" s="84"/>
      <c r="L369" s="86"/>
      <c r="M369" s="45"/>
      <c r="N369" s="47"/>
      <c r="O369" s="21"/>
      <c r="P369" s="21"/>
    </row>
    <row r="370" spans="1:16" ht="18" customHeight="1">
      <c r="A370" s="42" t="s">
        <v>1</v>
      </c>
      <c r="B370" s="82"/>
      <c r="C370" s="83">
        <v>0</v>
      </c>
      <c r="D370" s="84">
        <v>0.6</v>
      </c>
      <c r="E370" s="84">
        <v>0.7</v>
      </c>
      <c r="F370" s="85">
        <v>1.7</v>
      </c>
      <c r="G370" s="85">
        <v>2.7</v>
      </c>
      <c r="H370" s="84">
        <v>2.8</v>
      </c>
      <c r="I370" s="52">
        <v>3.5</v>
      </c>
      <c r="J370" s="52"/>
      <c r="K370" s="84"/>
      <c r="L370" s="86"/>
      <c r="M370" s="45"/>
      <c r="N370" s="47"/>
      <c r="O370" s="22"/>
      <c r="P370" s="22"/>
    </row>
    <row r="371" spans="1:16" ht="18" customHeight="1">
      <c r="A371" s="42" t="s">
        <v>3</v>
      </c>
      <c r="B371" s="87"/>
      <c r="C371" s="83">
        <v>97.98</v>
      </c>
      <c r="D371" s="84">
        <v>97.484999999999999</v>
      </c>
      <c r="E371" s="84">
        <v>97.4</v>
      </c>
      <c r="F371" s="84">
        <v>97.4</v>
      </c>
      <c r="G371" s="84">
        <v>97.4</v>
      </c>
      <c r="H371" s="84">
        <v>97.491</v>
      </c>
      <c r="I371" s="84">
        <v>98.13</v>
      </c>
      <c r="J371" s="84"/>
      <c r="K371" s="84"/>
      <c r="L371" s="86"/>
      <c r="M371" s="45"/>
      <c r="N371" s="52"/>
      <c r="O371" s="23"/>
      <c r="P371" s="23"/>
    </row>
    <row r="372" spans="1:16" ht="18" customHeight="1">
      <c r="A372" s="42" t="s">
        <v>18</v>
      </c>
      <c r="B372" s="87"/>
      <c r="C372" s="52">
        <f t="shared" ref="C372" si="66">C369-C371</f>
        <v>0</v>
      </c>
      <c r="D372" s="52">
        <f>D371-D369</f>
        <v>0.50499999999999545</v>
      </c>
      <c r="E372" s="52">
        <f t="shared" ref="E372:I372" si="67">E371-E369</f>
        <v>0.42000000000000171</v>
      </c>
      <c r="F372" s="52">
        <f t="shared" si="67"/>
        <v>0.42000000000000171</v>
      </c>
      <c r="G372" s="52">
        <f t="shared" si="67"/>
        <v>0.42000000000000171</v>
      </c>
      <c r="H372" s="52">
        <f t="shared" si="67"/>
        <v>0.51099999999999568</v>
      </c>
      <c r="I372" s="52">
        <f t="shared" si="67"/>
        <v>0</v>
      </c>
      <c r="J372" s="52"/>
      <c r="K372" s="52"/>
      <c r="L372" s="52"/>
      <c r="M372" s="47"/>
      <c r="N372" s="47"/>
      <c r="O372" s="21"/>
      <c r="P372" s="21"/>
    </row>
    <row r="373" spans="1:16" ht="18" customHeight="1">
      <c r="A373" s="42" t="s">
        <v>5</v>
      </c>
      <c r="B373" s="87"/>
      <c r="C373" s="52">
        <f t="shared" ref="C373" si="68">(C372+B372)/2*(C368-B368)</f>
        <v>0</v>
      </c>
      <c r="D373" s="52">
        <f>(D372+C372)/2*(D368-C368)</f>
        <v>0.15149999999999864</v>
      </c>
      <c r="E373" s="52">
        <f t="shared" ref="E373" si="69">(E372+D372)/2*(E368-D368)</f>
        <v>4.6249999999999847E-2</v>
      </c>
      <c r="F373" s="52">
        <f t="shared" ref="F373" si="70">(F372+E372)/2*(F368-E368)</f>
        <v>0.42000000000000171</v>
      </c>
      <c r="G373" s="52">
        <f t="shared" ref="G373" si="71">(G372+F372)/2*(G368-F368)</f>
        <v>0.42000000000000182</v>
      </c>
      <c r="H373" s="52">
        <f t="shared" ref="H373" si="72">(H372+G372)/2*(H368-G368)</f>
        <v>4.6549999999999703E-2</v>
      </c>
      <c r="I373" s="52">
        <f t="shared" ref="I373" si="73">(I372+H372)/2*(I368-H368)</f>
        <v>0.17884999999999854</v>
      </c>
      <c r="J373" s="52"/>
      <c r="K373" s="52"/>
      <c r="L373" s="52"/>
      <c r="M373" s="47"/>
      <c r="N373" s="77">
        <f>SUM(B373:M373)</f>
        <v>1.2631500000000004</v>
      </c>
      <c r="O373" s="21"/>
      <c r="P373" s="21"/>
    </row>
    <row r="374" spans="1:16" ht="18" customHeight="1">
      <c r="A374" s="2"/>
      <c r="B374" s="2"/>
      <c r="C374" s="30"/>
      <c r="D374" s="30"/>
      <c r="E374" s="4"/>
      <c r="F374" s="4"/>
      <c r="G374" s="4"/>
      <c r="H374" s="4"/>
      <c r="I374" s="4"/>
      <c r="J374" s="179" t="s">
        <v>6</v>
      </c>
      <c r="K374" s="179"/>
      <c r="L374" s="179"/>
      <c r="M374" s="179"/>
      <c r="N374" s="101">
        <f>N373</f>
        <v>1.2631500000000004</v>
      </c>
      <c r="O374" s="21"/>
      <c r="P374" s="21"/>
    </row>
    <row r="375" spans="1:16" ht="18" customHeight="1">
      <c r="A375" s="24"/>
      <c r="B375" s="78"/>
      <c r="C375" s="18"/>
      <c r="D375" s="18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31"/>
      <c r="P375" s="21"/>
    </row>
    <row r="376" spans="1:16" ht="14.1" customHeight="1">
      <c r="A376" s="2"/>
      <c r="B376" s="2"/>
      <c r="C376" s="30"/>
      <c r="D376" s="30"/>
      <c r="E376" s="21"/>
      <c r="F376" s="21"/>
      <c r="G376" s="21"/>
      <c r="H376" s="21"/>
      <c r="I376" s="21"/>
      <c r="J376" s="30"/>
      <c r="K376" s="30"/>
      <c r="L376" s="30"/>
      <c r="M376" s="30"/>
      <c r="N376" s="30"/>
    </row>
    <row r="377" spans="1:16" ht="14.1" customHeight="1">
      <c r="A377" s="2"/>
      <c r="B377" s="2"/>
      <c r="C377" s="30"/>
      <c r="D377" s="30"/>
      <c r="E377" s="4"/>
      <c r="F377" s="4"/>
      <c r="G377" s="4"/>
      <c r="H377" s="4"/>
      <c r="I377" s="4"/>
      <c r="J377" s="30"/>
      <c r="K377" s="30"/>
      <c r="L377" s="30"/>
      <c r="M377" s="30"/>
      <c r="N377" s="30"/>
    </row>
    <row r="378" spans="1:16" ht="14.1" customHeight="1">
      <c r="A378" s="2"/>
      <c r="B378" s="2"/>
      <c r="C378" s="30"/>
      <c r="D378" s="30"/>
      <c r="E378" s="4"/>
      <c r="F378" s="4"/>
      <c r="G378" s="4"/>
      <c r="H378" s="4"/>
      <c r="I378" s="4"/>
      <c r="J378" s="30"/>
      <c r="K378" s="30"/>
      <c r="L378" s="30"/>
      <c r="M378" s="30"/>
      <c r="N378" s="30"/>
    </row>
    <row r="379" spans="1:16" ht="14.1" customHeight="1">
      <c r="A379" s="6"/>
      <c r="B379" s="6"/>
      <c r="C379" s="7"/>
      <c r="D379" s="7"/>
      <c r="E379" s="7"/>
      <c r="F379" s="7"/>
      <c r="G379" s="7"/>
      <c r="H379" s="7"/>
      <c r="I379" s="7"/>
      <c r="K379" s="7"/>
      <c r="L379" s="7"/>
      <c r="M379" s="7"/>
      <c r="N379" s="7"/>
    </row>
    <row r="380" spans="1:16" ht="14.1" customHeight="1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</row>
    <row r="381" spans="1:16" ht="14.1" customHeight="1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</row>
    <row r="382" spans="1:16" ht="14.1" customHeight="1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</row>
    <row r="383" spans="1:16" ht="14.1" customHeight="1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</row>
    <row r="384" spans="1:16" ht="14.1" customHeight="1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</row>
    <row r="385" spans="1:14" ht="14.1" customHeight="1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</row>
    <row r="386" spans="1:14" ht="14.1" customHeight="1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</row>
    <row r="387" spans="1:14" ht="14.1" customHeight="1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</row>
    <row r="388" spans="1:14" ht="14.1" customHeight="1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</row>
    <row r="389" spans="1:14" ht="14.1" customHeight="1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</row>
    <row r="390" spans="1:14" ht="14.1" customHeight="1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</row>
    <row r="391" spans="1:14" ht="14.1" customHeight="1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</row>
    <row r="392" spans="1:14" ht="14.1" customHeight="1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</row>
    <row r="393" spans="1:14" ht="14.1" customHeight="1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</row>
    <row r="394" spans="1:14" ht="14.1" customHeight="1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</row>
    <row r="395" spans="1:14" ht="14.1" customHeight="1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</row>
    <row r="396" spans="1:14" ht="14.1" customHeight="1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</row>
    <row r="397" spans="1:14" ht="14.1" customHeight="1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</row>
    <row r="398" spans="1:14" ht="14.1" customHeight="1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</row>
    <row r="399" spans="1:14" ht="14.1" customHeight="1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</row>
    <row r="400" spans="1:14" ht="14.1" customHeight="1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</row>
    <row r="401" spans="1:14" ht="14.1" customHeight="1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</row>
    <row r="402" spans="1:14" ht="14.1" customHeight="1">
      <c r="A402" s="6"/>
      <c r="B402" s="181"/>
      <c r="C402" s="181"/>
      <c r="D402" s="181"/>
      <c r="E402" s="25"/>
      <c r="F402" s="25"/>
      <c r="G402" s="167"/>
      <c r="H402" s="167"/>
      <c r="I402" s="167"/>
      <c r="J402" s="7"/>
      <c r="K402" s="182"/>
      <c r="L402" s="182"/>
      <c r="M402" s="7"/>
      <c r="N402" s="7"/>
    </row>
    <row r="403" spans="1:14" ht="14.1" customHeight="1">
      <c r="A403" s="6"/>
      <c r="B403" s="170"/>
      <c r="C403" s="170"/>
      <c r="D403" s="170"/>
      <c r="E403" s="26"/>
      <c r="F403" s="26"/>
      <c r="G403" s="170"/>
      <c r="H403" s="170"/>
      <c r="I403" s="170"/>
      <c r="J403" s="25"/>
      <c r="K403" s="171"/>
      <c r="L403" s="171"/>
      <c r="M403" s="7"/>
      <c r="N403" s="7"/>
    </row>
    <row r="404" spans="1:14" ht="14.1" customHeight="1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</row>
    <row r="405" spans="1:14" ht="14.1" customHeight="1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</row>
    <row r="406" spans="1:14" ht="14.1" customHeight="1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</row>
    <row r="407" spans="1:14" ht="14.1" customHeight="1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</row>
    <row r="408" spans="1:14" ht="14.1" customHeight="1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</row>
    <row r="409" spans="1:14" ht="14.1" customHeight="1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</row>
    <row r="410" spans="1:14" ht="14.1" customHeight="1">
      <c r="A410" s="6"/>
      <c r="B410" s="181"/>
      <c r="C410" s="181"/>
      <c r="D410" s="181"/>
      <c r="E410" s="25"/>
      <c r="F410" s="25"/>
      <c r="G410" s="167"/>
      <c r="H410" s="167"/>
      <c r="I410" s="167"/>
      <c r="J410" s="7"/>
      <c r="K410" s="182"/>
      <c r="L410" s="182"/>
      <c r="M410" s="7"/>
      <c r="N410" s="7"/>
    </row>
    <row r="411" spans="1:14" ht="14.1" customHeight="1">
      <c r="A411" s="6"/>
      <c r="B411" s="170"/>
      <c r="C411" s="170"/>
      <c r="D411" s="170"/>
      <c r="E411" s="26"/>
      <c r="F411" s="26"/>
      <c r="G411" s="170"/>
      <c r="H411" s="170"/>
      <c r="I411" s="170"/>
      <c r="J411" s="25"/>
      <c r="K411" s="171"/>
      <c r="L411" s="171"/>
      <c r="M411" s="7"/>
      <c r="N411" s="7"/>
    </row>
    <row r="412" spans="1:14" ht="14.1" customHeight="1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</row>
    <row r="413" spans="1:14" ht="14.1" customHeight="1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</row>
    <row r="414" spans="1:14" ht="18" customHeight="1">
      <c r="A414" s="184" t="s">
        <v>0</v>
      </c>
      <c r="B414" s="185"/>
      <c r="C414" s="185"/>
      <c r="D414" s="185"/>
      <c r="E414" s="185"/>
      <c r="F414" s="185"/>
      <c r="G414" s="20">
        <v>2700</v>
      </c>
      <c r="H414" s="1" t="s">
        <v>15</v>
      </c>
      <c r="I414" s="1"/>
      <c r="J414" s="32"/>
      <c r="K414" s="1"/>
      <c r="L414" s="1"/>
      <c r="M414" s="1"/>
      <c r="N414" s="1"/>
    </row>
    <row r="415" spans="1:14" ht="18" customHeight="1">
      <c r="A415" s="42" t="s">
        <v>1</v>
      </c>
      <c r="B415" s="82"/>
      <c r="C415" s="83">
        <v>0</v>
      </c>
      <c r="D415" s="84">
        <v>0.6</v>
      </c>
      <c r="E415" s="84">
        <v>0.7</v>
      </c>
      <c r="F415" s="85">
        <v>1.7</v>
      </c>
      <c r="G415" s="85">
        <v>2.7</v>
      </c>
      <c r="H415" s="84">
        <v>2.8</v>
      </c>
      <c r="I415" s="52">
        <v>3.6</v>
      </c>
      <c r="J415" s="52"/>
      <c r="K415" s="84"/>
      <c r="L415" s="86"/>
      <c r="M415" s="45"/>
      <c r="N415" s="47"/>
    </row>
    <row r="416" spans="1:14" ht="18" customHeight="1">
      <c r="A416" s="42" t="s">
        <v>2</v>
      </c>
      <c r="B416" s="82"/>
      <c r="C416" s="83">
        <v>98.07</v>
      </c>
      <c r="D416" s="84">
        <v>96.89</v>
      </c>
      <c r="E416" s="84">
        <v>96.89</v>
      </c>
      <c r="F416" s="84">
        <v>96.89</v>
      </c>
      <c r="G416" s="84">
        <v>96.89</v>
      </c>
      <c r="H416" s="84">
        <v>96.89</v>
      </c>
      <c r="I416" s="84">
        <v>98.25</v>
      </c>
      <c r="J416" s="84"/>
      <c r="K416" s="84"/>
      <c r="L416" s="86"/>
      <c r="M416" s="45"/>
      <c r="N416" s="47"/>
    </row>
    <row r="417" spans="1:15" ht="18" customHeight="1">
      <c r="A417" s="42" t="s">
        <v>1</v>
      </c>
      <c r="B417" s="82"/>
      <c r="C417" s="83">
        <v>0</v>
      </c>
      <c r="D417" s="84">
        <v>0.6</v>
      </c>
      <c r="E417" s="84">
        <v>0.7</v>
      </c>
      <c r="F417" s="85">
        <v>1.7</v>
      </c>
      <c r="G417" s="85">
        <v>2.7</v>
      </c>
      <c r="H417" s="84">
        <v>2.8</v>
      </c>
      <c r="I417" s="52">
        <v>3.6</v>
      </c>
      <c r="J417" s="52"/>
      <c r="K417" s="84"/>
      <c r="L417" s="86"/>
      <c r="M417" s="45"/>
      <c r="N417" s="47"/>
    </row>
    <row r="418" spans="1:15" ht="18" customHeight="1">
      <c r="A418" s="42" t="s">
        <v>3</v>
      </c>
      <c r="B418" s="87"/>
      <c r="C418" s="83">
        <v>98.07</v>
      </c>
      <c r="D418" s="84">
        <v>97.424999999999997</v>
      </c>
      <c r="E418" s="84">
        <v>97.32</v>
      </c>
      <c r="F418" s="84">
        <v>97.32</v>
      </c>
      <c r="G418" s="84">
        <v>97.32</v>
      </c>
      <c r="H418" s="84">
        <v>97.423000000000002</v>
      </c>
      <c r="I418" s="84">
        <v>98.25</v>
      </c>
      <c r="J418" s="84"/>
      <c r="K418" s="84"/>
      <c r="L418" s="86"/>
      <c r="M418" s="45"/>
      <c r="N418" s="52"/>
    </row>
    <row r="419" spans="1:15" ht="18" customHeight="1">
      <c r="A419" s="42" t="s">
        <v>18</v>
      </c>
      <c r="B419" s="87"/>
      <c r="C419" s="52">
        <f t="shared" ref="C419" si="74">C416-C418</f>
        <v>0</v>
      </c>
      <c r="D419" s="52">
        <f>D418-D416</f>
        <v>0.53499999999999659</v>
      </c>
      <c r="E419" s="52">
        <f t="shared" ref="E419:I419" si="75">E418-E416</f>
        <v>0.42999999999999261</v>
      </c>
      <c r="F419" s="52">
        <f t="shared" si="75"/>
        <v>0.42999999999999261</v>
      </c>
      <c r="G419" s="52">
        <f t="shared" si="75"/>
        <v>0.42999999999999261</v>
      </c>
      <c r="H419" s="52">
        <f t="shared" si="75"/>
        <v>0.53300000000000125</v>
      </c>
      <c r="I419" s="52">
        <f t="shared" si="75"/>
        <v>0</v>
      </c>
      <c r="J419" s="52"/>
      <c r="K419" s="52"/>
      <c r="L419" s="52"/>
      <c r="M419" s="47"/>
      <c r="N419" s="47"/>
    </row>
    <row r="420" spans="1:15" ht="18" customHeight="1">
      <c r="A420" s="42" t="s">
        <v>5</v>
      </c>
      <c r="B420" s="87"/>
      <c r="C420" s="52">
        <f t="shared" ref="C420" si="76">(C419+B419)/2*(C415-B415)</f>
        <v>0</v>
      </c>
      <c r="D420" s="52">
        <f>(D419+C419)/2*(D415-C415)</f>
        <v>0.16049999999999898</v>
      </c>
      <c r="E420" s="52">
        <f t="shared" ref="E420" si="77">(E419+D419)/2*(E415-D415)</f>
        <v>4.8249999999999446E-2</v>
      </c>
      <c r="F420" s="52">
        <f t="shared" ref="F420" si="78">(F419+E419)/2*(F415-E415)</f>
        <v>0.42999999999999261</v>
      </c>
      <c r="G420" s="52">
        <f t="shared" ref="G420" si="79">(G419+F419)/2*(G415-F415)</f>
        <v>0.42999999999999272</v>
      </c>
      <c r="H420" s="52">
        <f t="shared" ref="H420" si="80">(H419+G419)/2*(H415-G415)</f>
        <v>4.814999999999952E-2</v>
      </c>
      <c r="I420" s="52">
        <f t="shared" ref="I420" si="81">(I419+H419)/2*(I415-H415)</f>
        <v>0.21320000000000058</v>
      </c>
      <c r="J420" s="52"/>
      <c r="K420" s="52"/>
      <c r="L420" s="52"/>
      <c r="M420" s="47"/>
      <c r="N420" s="77">
        <f>SUM(B420:M420)</f>
        <v>1.3300999999999836</v>
      </c>
    </row>
    <row r="421" spans="1:15" ht="18" customHeight="1">
      <c r="A421" s="2"/>
      <c r="B421" s="2"/>
      <c r="C421" s="30"/>
      <c r="D421" s="30"/>
      <c r="E421" s="4"/>
      <c r="F421" s="4"/>
      <c r="G421" s="4"/>
      <c r="H421" s="4"/>
      <c r="I421" s="4"/>
      <c r="J421" s="179" t="s">
        <v>6</v>
      </c>
      <c r="K421" s="179"/>
      <c r="L421" s="179"/>
      <c r="M421" s="179"/>
      <c r="N421" s="101">
        <f>N420</f>
        <v>1.3300999999999836</v>
      </c>
      <c r="O421" s="31"/>
    </row>
    <row r="422" spans="1:15" ht="18" customHeight="1">
      <c r="A422" s="24"/>
      <c r="B422" s="78"/>
      <c r="C422" s="18"/>
      <c r="D422" s="18"/>
      <c r="E422" s="21"/>
      <c r="F422" s="21"/>
      <c r="G422" s="21"/>
      <c r="H422" s="21"/>
      <c r="I422" s="21"/>
      <c r="J422" s="21"/>
      <c r="K422" s="21"/>
      <c r="L422" s="21"/>
      <c r="M422" s="21"/>
      <c r="N422" s="21"/>
    </row>
    <row r="423" spans="1:15" ht="14.1" customHeight="1">
      <c r="A423" s="2"/>
      <c r="B423" s="2"/>
      <c r="C423" s="30"/>
      <c r="D423" s="30"/>
      <c r="E423" s="21"/>
      <c r="F423" s="21"/>
      <c r="G423" s="21"/>
      <c r="H423" s="21"/>
      <c r="I423" s="21"/>
      <c r="J423" s="30"/>
      <c r="K423" s="30"/>
      <c r="L423" s="30"/>
      <c r="M423" s="30"/>
      <c r="N423" s="30"/>
    </row>
    <row r="424" spans="1:15" ht="14.1" customHeight="1">
      <c r="A424" s="6"/>
      <c r="B424" s="6"/>
      <c r="C424" s="7"/>
      <c r="D424" s="7"/>
      <c r="E424" s="7"/>
      <c r="F424" s="7"/>
      <c r="G424" s="7"/>
      <c r="H424" s="7"/>
      <c r="I424" s="7"/>
      <c r="K424" s="7"/>
      <c r="L424" s="7"/>
      <c r="M424" s="7"/>
      <c r="N424" s="7"/>
    </row>
    <row r="425" spans="1:15" ht="14.1" customHeight="1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</row>
    <row r="426" spans="1:15" ht="14.1" customHeight="1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</row>
    <row r="427" spans="1:15" ht="14.1" customHeight="1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</row>
    <row r="428" spans="1:15" ht="14.1" customHeight="1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</row>
    <row r="429" spans="1:15" ht="14.1" customHeight="1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</row>
    <row r="430" spans="1:15" ht="14.1" customHeight="1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</row>
    <row r="431" spans="1:15" ht="14.1" customHeight="1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</row>
    <row r="432" spans="1:15" ht="14.1" customHeight="1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</row>
    <row r="433" spans="1:14" ht="14.1" customHeight="1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</row>
    <row r="434" spans="1:14" ht="14.1" customHeight="1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</row>
    <row r="435" spans="1:14" ht="14.1" customHeight="1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</row>
    <row r="436" spans="1:14" ht="14.1" customHeight="1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</row>
    <row r="437" spans="1:14" ht="14.1" customHeight="1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</row>
    <row r="438" spans="1:14" ht="14.1" customHeight="1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</row>
    <row r="439" spans="1:14" ht="14.1" customHeight="1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</row>
    <row r="440" spans="1:14" ht="14.1" customHeight="1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</row>
    <row r="441" spans="1:14" ht="14.1" customHeight="1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</row>
    <row r="442" spans="1:14" ht="14.1" customHeight="1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</row>
    <row r="443" spans="1:14" ht="14.1" customHeight="1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</row>
    <row r="444" spans="1:14" ht="14.1" customHeight="1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</row>
    <row r="445" spans="1:14" ht="14.1" customHeight="1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</row>
    <row r="446" spans="1:14" ht="14.1" customHeight="1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</row>
    <row r="447" spans="1:14" ht="14.1" customHeight="1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</row>
    <row r="448" spans="1:14" ht="14.1" customHeight="1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</row>
    <row r="449" spans="1:15" ht="14.1" customHeight="1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</row>
    <row r="450" spans="1:15" ht="14.1" customHeight="1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</row>
    <row r="451" spans="1:15" ht="14.1" customHeight="1">
      <c r="B451" s="181"/>
      <c r="C451" s="181"/>
      <c r="D451" s="181"/>
      <c r="E451" s="25"/>
      <c r="F451" s="25"/>
      <c r="G451" s="167"/>
      <c r="H451" s="167"/>
      <c r="I451" s="167"/>
      <c r="J451" s="7"/>
      <c r="K451" s="182"/>
      <c r="L451" s="182"/>
    </row>
    <row r="452" spans="1:15" ht="14.1" customHeight="1">
      <c r="B452" s="170"/>
      <c r="C452" s="170"/>
      <c r="D452" s="170"/>
      <c r="E452" s="26"/>
      <c r="F452" s="26"/>
      <c r="G452" s="170"/>
      <c r="H452" s="170"/>
      <c r="I452" s="170"/>
      <c r="J452" s="25"/>
      <c r="K452" s="171"/>
      <c r="L452" s="171"/>
    </row>
    <row r="453" spans="1:15" ht="14.1" customHeight="1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</row>
    <row r="454" spans="1:15" ht="14.1" customHeight="1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</row>
    <row r="455" spans="1:15" ht="14.1" customHeight="1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</row>
    <row r="456" spans="1:15" ht="14.1" customHeight="1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</row>
    <row r="457" spans="1:15" ht="14.1" customHeight="1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</row>
    <row r="458" spans="1:15" ht="14.1" customHeight="1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</row>
    <row r="459" spans="1:15" ht="14.1" customHeight="1"/>
    <row r="460" spans="1:15" ht="14.1" customHeight="1"/>
    <row r="461" spans="1:15" ht="14.1" customHeight="1"/>
    <row r="462" spans="1:15" ht="14.1" customHeight="1"/>
    <row r="463" spans="1:15" ht="18" customHeight="1">
      <c r="A463" s="184" t="s">
        <v>0</v>
      </c>
      <c r="B463" s="185"/>
      <c r="C463" s="185"/>
      <c r="D463" s="185"/>
      <c r="E463" s="185"/>
      <c r="F463" s="185"/>
      <c r="G463" s="20">
        <v>2760</v>
      </c>
      <c r="H463" s="1" t="s">
        <v>15</v>
      </c>
      <c r="I463" s="1"/>
      <c r="J463" s="33"/>
      <c r="K463" s="1"/>
      <c r="L463" s="1"/>
      <c r="M463" s="1"/>
      <c r="N463" s="1"/>
    </row>
    <row r="464" spans="1:15" ht="18" customHeight="1">
      <c r="A464" s="42" t="s">
        <v>1</v>
      </c>
      <c r="B464" s="82"/>
      <c r="C464" s="83">
        <v>0</v>
      </c>
      <c r="D464" s="84">
        <v>0.6</v>
      </c>
      <c r="E464" s="84">
        <v>0.7</v>
      </c>
      <c r="F464" s="85">
        <v>1.7</v>
      </c>
      <c r="G464" s="85">
        <v>2.7</v>
      </c>
      <c r="H464" s="84">
        <v>2.8</v>
      </c>
      <c r="I464" s="52">
        <v>3.5</v>
      </c>
      <c r="J464" s="52"/>
      <c r="K464" s="84"/>
      <c r="L464" s="86"/>
      <c r="M464" s="45"/>
      <c r="N464" s="47"/>
      <c r="O464" s="22"/>
    </row>
    <row r="465" spans="1:15" ht="18" customHeight="1">
      <c r="A465" s="42" t="s">
        <v>2</v>
      </c>
      <c r="B465" s="82"/>
      <c r="C465" s="83">
        <v>98.33</v>
      </c>
      <c r="D465" s="84">
        <v>96.88</v>
      </c>
      <c r="E465" s="84">
        <v>96.88</v>
      </c>
      <c r="F465" s="84">
        <v>96.88</v>
      </c>
      <c r="G465" s="84">
        <v>96.88</v>
      </c>
      <c r="H465" s="84">
        <v>96.88</v>
      </c>
      <c r="I465" s="84">
        <v>98.5</v>
      </c>
      <c r="J465" s="84"/>
      <c r="K465" s="84"/>
      <c r="L465" s="86"/>
      <c r="M465" s="45"/>
      <c r="N465" s="47"/>
      <c r="O465" s="21"/>
    </row>
    <row r="466" spans="1:15" ht="18" customHeight="1">
      <c r="A466" s="42" t="s">
        <v>1</v>
      </c>
      <c r="B466" s="82"/>
      <c r="C466" s="83">
        <v>0</v>
      </c>
      <c r="D466" s="84">
        <v>0.6</v>
      </c>
      <c r="E466" s="84">
        <v>0.7</v>
      </c>
      <c r="F466" s="85">
        <v>1.7</v>
      </c>
      <c r="G466" s="85">
        <v>2.7</v>
      </c>
      <c r="H466" s="84">
        <v>2.8</v>
      </c>
      <c r="I466" s="52">
        <v>3.5</v>
      </c>
      <c r="J466" s="52"/>
      <c r="K466" s="84"/>
      <c r="L466" s="86"/>
      <c r="M466" s="45"/>
      <c r="N466" s="47"/>
      <c r="O466" s="22"/>
    </row>
    <row r="467" spans="1:15" ht="18" customHeight="1">
      <c r="A467" s="42" t="s">
        <v>3</v>
      </c>
      <c r="B467" s="87"/>
      <c r="C467" s="83">
        <v>98.33</v>
      </c>
      <c r="D467" s="84">
        <v>97.447999999999993</v>
      </c>
      <c r="E467" s="84">
        <v>97.3</v>
      </c>
      <c r="F467" s="84">
        <v>97.3</v>
      </c>
      <c r="G467" s="84">
        <v>97.3</v>
      </c>
      <c r="H467" s="84">
        <v>97.45</v>
      </c>
      <c r="I467" s="84">
        <v>98.5</v>
      </c>
      <c r="J467" s="84"/>
      <c r="K467" s="84"/>
      <c r="L467" s="86"/>
      <c r="M467" s="45"/>
      <c r="N467" s="52"/>
      <c r="O467" s="23"/>
    </row>
    <row r="468" spans="1:15" ht="18" customHeight="1">
      <c r="A468" s="42" t="s">
        <v>18</v>
      </c>
      <c r="B468" s="87"/>
      <c r="C468" s="52">
        <f t="shared" ref="C468" si="82">C465-C467</f>
        <v>0</v>
      </c>
      <c r="D468" s="52">
        <f>D467-D465</f>
        <v>0.56799999999999784</v>
      </c>
      <c r="E468" s="52">
        <f t="shared" ref="E468:I468" si="83">E467-E465</f>
        <v>0.42000000000000171</v>
      </c>
      <c r="F468" s="52">
        <f t="shared" si="83"/>
        <v>0.42000000000000171</v>
      </c>
      <c r="G468" s="52">
        <f t="shared" si="83"/>
        <v>0.42000000000000171</v>
      </c>
      <c r="H468" s="52">
        <f t="shared" si="83"/>
        <v>0.57000000000000739</v>
      </c>
      <c r="I468" s="52">
        <f t="shared" si="83"/>
        <v>0</v>
      </c>
      <c r="J468" s="52"/>
      <c r="K468" s="52"/>
      <c r="L468" s="52"/>
      <c r="M468" s="47"/>
      <c r="N468" s="47"/>
      <c r="O468" s="21"/>
    </row>
    <row r="469" spans="1:15" ht="18" customHeight="1">
      <c r="A469" s="42" t="s">
        <v>5</v>
      </c>
      <c r="B469" s="87"/>
      <c r="C469" s="52">
        <f t="shared" ref="C469" si="84">(C468+B468)/2*(C464-B464)</f>
        <v>0</v>
      </c>
      <c r="D469" s="52">
        <f>(D468+C468)/2*(D464-C464)</f>
        <v>0.17039999999999936</v>
      </c>
      <c r="E469" s="52">
        <f t="shared" ref="E469" si="85">(E468+D468)/2*(E464-D464)</f>
        <v>4.9399999999999965E-2</v>
      </c>
      <c r="F469" s="52">
        <f t="shared" ref="F469" si="86">(F468+E468)/2*(F464-E464)</f>
        <v>0.42000000000000171</v>
      </c>
      <c r="G469" s="52">
        <f t="shared" ref="G469" si="87">(G468+F468)/2*(G464-F464)</f>
        <v>0.42000000000000182</v>
      </c>
      <c r="H469" s="52">
        <f t="shared" ref="H469" si="88">(H468+G468)/2*(H464-G464)</f>
        <v>4.950000000000028E-2</v>
      </c>
      <c r="I469" s="52">
        <f t="shared" ref="I469" si="89">(I468+H468)/2*(I464-H464)</f>
        <v>0.19950000000000265</v>
      </c>
      <c r="J469" s="52"/>
      <c r="K469" s="52"/>
      <c r="L469" s="52"/>
      <c r="M469" s="47"/>
      <c r="N469" s="77">
        <f>SUM(B469:M469)</f>
        <v>1.3088000000000057</v>
      </c>
      <c r="O469" s="21"/>
    </row>
    <row r="470" spans="1:15" ht="18" customHeight="1">
      <c r="A470" s="2"/>
      <c r="B470" s="2"/>
      <c r="C470" s="30"/>
      <c r="D470" s="30"/>
      <c r="E470" s="4"/>
      <c r="F470" s="4"/>
      <c r="G470" s="4"/>
      <c r="H470" s="4"/>
      <c r="I470" s="4"/>
      <c r="J470" s="179" t="s">
        <v>6</v>
      </c>
      <c r="K470" s="179"/>
      <c r="L470" s="179"/>
      <c r="M470" s="179"/>
      <c r="N470" s="101">
        <f>N469</f>
        <v>1.3088000000000057</v>
      </c>
      <c r="O470" s="21"/>
    </row>
    <row r="471" spans="1:15" ht="18" customHeight="1">
      <c r="A471" s="24"/>
      <c r="B471" s="78"/>
      <c r="C471" s="18"/>
      <c r="D471" s="18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</row>
    <row r="472" spans="1:15" ht="14.1" customHeight="1">
      <c r="A472" s="2"/>
      <c r="B472" s="2"/>
      <c r="C472" s="30"/>
      <c r="D472" s="30"/>
      <c r="E472" s="21"/>
      <c r="F472" s="21"/>
      <c r="G472" s="21"/>
      <c r="H472" s="21"/>
      <c r="I472" s="21"/>
      <c r="J472" s="30"/>
      <c r="K472" s="30"/>
      <c r="L472" s="30"/>
      <c r="M472" s="30"/>
      <c r="N472" s="30"/>
    </row>
    <row r="473" spans="1:15" ht="14.1" customHeight="1">
      <c r="A473" s="6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</row>
    <row r="474" spans="1:15" ht="14.1" customHeight="1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</row>
    <row r="475" spans="1:15" ht="14.1" customHeight="1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</row>
    <row r="476" spans="1:15" ht="14.1" customHeight="1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</row>
    <row r="477" spans="1:15" ht="14.1" customHeight="1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</row>
    <row r="478" spans="1:15" ht="14.1" customHeight="1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</row>
    <row r="479" spans="1:15" ht="14.1" customHeight="1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</row>
    <row r="480" spans="1:15" ht="14.1" customHeight="1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</row>
    <row r="481" spans="1:14" ht="14.1" customHeight="1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</row>
    <row r="482" spans="1:14" ht="14.1" customHeight="1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</row>
    <row r="483" spans="1:14" ht="14.1" customHeight="1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</row>
    <row r="484" spans="1:14" ht="14.1" customHeight="1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</row>
    <row r="485" spans="1:14" ht="14.1" customHeight="1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</row>
    <row r="486" spans="1:14" ht="14.1" customHeight="1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</row>
    <row r="487" spans="1:14" ht="14.1" customHeight="1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</row>
    <row r="488" spans="1:14" ht="14.1" customHeight="1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</row>
    <row r="489" spans="1:14" ht="14.1" customHeight="1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</row>
    <row r="490" spans="1:14" ht="14.1" customHeight="1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</row>
    <row r="491" spans="1:14" ht="14.1" customHeight="1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</row>
    <row r="492" spans="1:14" ht="14.1" customHeight="1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</row>
    <row r="493" spans="1:14" ht="14.1" customHeight="1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</row>
    <row r="494" spans="1:14" ht="14.1" customHeight="1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</row>
    <row r="495" spans="1:14" ht="14.1" customHeight="1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</row>
    <row r="496" spans="1:14" ht="14.1" customHeight="1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</row>
    <row r="497" spans="1:16" ht="14.1" customHeight="1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</row>
    <row r="498" spans="1:16" ht="18.75" customHeight="1">
      <c r="A498" s="184" t="s">
        <v>0</v>
      </c>
      <c r="B498" s="185"/>
      <c r="C498" s="185"/>
      <c r="D498" s="185"/>
      <c r="E498" s="185"/>
      <c r="F498" s="185"/>
      <c r="G498" s="20">
        <v>2820</v>
      </c>
      <c r="H498" s="1" t="s">
        <v>15</v>
      </c>
      <c r="I498" s="1"/>
      <c r="J498" s="32"/>
      <c r="K498" s="1"/>
      <c r="L498" s="1"/>
      <c r="M498" s="1"/>
      <c r="N498" s="1"/>
    </row>
    <row r="499" spans="1:16" ht="18.75" customHeight="1">
      <c r="A499" s="42" t="s">
        <v>1</v>
      </c>
      <c r="B499" s="82"/>
      <c r="C499" s="83">
        <v>0</v>
      </c>
      <c r="D499" s="84">
        <v>0.6</v>
      </c>
      <c r="E499" s="84">
        <v>0.7</v>
      </c>
      <c r="F499" s="85">
        <v>1.7</v>
      </c>
      <c r="G499" s="85">
        <v>2.7</v>
      </c>
      <c r="H499" s="84">
        <v>2.8</v>
      </c>
      <c r="I499" s="52">
        <v>3.6</v>
      </c>
      <c r="J499" s="52"/>
      <c r="K499" s="84"/>
      <c r="L499" s="86"/>
      <c r="M499" s="45"/>
      <c r="N499" s="47"/>
      <c r="O499" s="22"/>
      <c r="P499" s="22"/>
    </row>
    <row r="500" spans="1:16" ht="18.75" customHeight="1">
      <c r="A500" s="42" t="s">
        <v>2</v>
      </c>
      <c r="B500" s="82"/>
      <c r="C500" s="83">
        <v>98.4</v>
      </c>
      <c r="D500" s="84">
        <v>96.87</v>
      </c>
      <c r="E500" s="84">
        <v>96.87</v>
      </c>
      <c r="F500" s="84">
        <v>96.87</v>
      </c>
      <c r="G500" s="84">
        <v>96.87</v>
      </c>
      <c r="H500" s="84">
        <v>96.87</v>
      </c>
      <c r="I500" s="84">
        <v>98.6</v>
      </c>
      <c r="J500" s="84"/>
      <c r="K500" s="84"/>
      <c r="L500" s="86"/>
      <c r="M500" s="45"/>
      <c r="N500" s="47"/>
      <c r="O500" s="21"/>
      <c r="P500" s="21"/>
    </row>
    <row r="501" spans="1:16" ht="18.75" customHeight="1">
      <c r="A501" s="42" t="s">
        <v>1</v>
      </c>
      <c r="B501" s="82"/>
      <c r="C501" s="83">
        <v>0</v>
      </c>
      <c r="D501" s="84">
        <v>0.6</v>
      </c>
      <c r="E501" s="84">
        <v>0.7</v>
      </c>
      <c r="F501" s="85">
        <v>1.7</v>
      </c>
      <c r="G501" s="85">
        <v>2.7</v>
      </c>
      <c r="H501" s="84">
        <v>2.8</v>
      </c>
      <c r="I501" s="52">
        <v>3.6</v>
      </c>
      <c r="J501" s="52"/>
      <c r="K501" s="84"/>
      <c r="L501" s="86"/>
      <c r="M501" s="45"/>
      <c r="N501" s="47"/>
      <c r="O501" s="22"/>
      <c r="P501" s="22"/>
    </row>
    <row r="502" spans="1:16" ht="18.75" customHeight="1">
      <c r="A502" s="42" t="s">
        <v>3</v>
      </c>
      <c r="B502" s="87"/>
      <c r="C502" s="83">
        <v>98.4</v>
      </c>
      <c r="D502" s="84">
        <v>97.448999999999998</v>
      </c>
      <c r="E502" s="84">
        <v>97.29</v>
      </c>
      <c r="F502" s="84">
        <v>97.29</v>
      </c>
      <c r="G502" s="84">
        <v>97.29</v>
      </c>
      <c r="H502" s="84">
        <v>97.436000000000007</v>
      </c>
      <c r="I502" s="84">
        <v>98.6</v>
      </c>
      <c r="J502" s="84"/>
      <c r="K502" s="84"/>
      <c r="L502" s="86"/>
      <c r="M502" s="45"/>
      <c r="N502" s="52"/>
      <c r="O502" s="23"/>
      <c r="P502" s="23"/>
    </row>
    <row r="503" spans="1:16" ht="18.75" customHeight="1">
      <c r="A503" s="42" t="s">
        <v>18</v>
      </c>
      <c r="B503" s="87"/>
      <c r="C503" s="52">
        <f t="shared" ref="C503" si="90">C500-C502</f>
        <v>0</v>
      </c>
      <c r="D503" s="52">
        <f>D502-D500</f>
        <v>0.57899999999999352</v>
      </c>
      <c r="E503" s="52">
        <f t="shared" ref="E503:I503" si="91">E502-E500</f>
        <v>0.42000000000000171</v>
      </c>
      <c r="F503" s="52">
        <f t="shared" si="91"/>
        <v>0.42000000000000171</v>
      </c>
      <c r="G503" s="52">
        <f t="shared" si="91"/>
        <v>0.42000000000000171</v>
      </c>
      <c r="H503" s="52">
        <f t="shared" si="91"/>
        <v>0.5660000000000025</v>
      </c>
      <c r="I503" s="52">
        <f t="shared" si="91"/>
        <v>0</v>
      </c>
      <c r="J503" s="52"/>
      <c r="K503" s="52"/>
      <c r="L503" s="52"/>
      <c r="M503" s="47"/>
      <c r="N503" s="47"/>
      <c r="O503" s="21"/>
      <c r="P503" s="21"/>
    </row>
    <row r="504" spans="1:16" ht="18.75" customHeight="1">
      <c r="A504" s="42" t="s">
        <v>5</v>
      </c>
      <c r="B504" s="87"/>
      <c r="C504" s="52">
        <f t="shared" ref="C504" si="92">(C503+B503)/2*(C499-B499)</f>
        <v>0</v>
      </c>
      <c r="D504" s="52">
        <f>(D503+C503)/2*(D499-C499)</f>
        <v>0.17369999999999805</v>
      </c>
      <c r="E504" s="52">
        <f t="shared" ref="E504" si="93">(E503+D503)/2*(E499-D499)</f>
        <v>4.9949999999999752E-2</v>
      </c>
      <c r="F504" s="52">
        <f t="shared" ref="F504" si="94">(F503+E503)/2*(F499-E499)</f>
        <v>0.42000000000000171</v>
      </c>
      <c r="G504" s="52">
        <f t="shared" ref="G504" si="95">(G503+F503)/2*(G499-F499)</f>
        <v>0.42000000000000182</v>
      </c>
      <c r="H504" s="52">
        <f t="shared" ref="H504" si="96">(H503+G503)/2*(H499-G499)</f>
        <v>4.9300000000000038E-2</v>
      </c>
      <c r="I504" s="52">
        <f t="shared" ref="I504" si="97">(I503+H503)/2*(I499-H499)</f>
        <v>0.22640000000000107</v>
      </c>
      <c r="J504" s="52"/>
      <c r="K504" s="52"/>
      <c r="L504" s="52"/>
      <c r="M504" s="47"/>
      <c r="N504" s="77">
        <f>SUM(B504:M504)</f>
        <v>1.3393500000000025</v>
      </c>
      <c r="O504" s="21"/>
      <c r="P504" s="21"/>
    </row>
    <row r="505" spans="1:16" ht="18.75" customHeight="1">
      <c r="A505" s="2"/>
      <c r="B505" s="2"/>
      <c r="C505" s="30"/>
      <c r="D505" s="30"/>
      <c r="E505" s="4"/>
      <c r="F505" s="4"/>
      <c r="G505" s="4"/>
      <c r="H505" s="4"/>
      <c r="I505" s="4"/>
      <c r="J505" s="179" t="s">
        <v>6</v>
      </c>
      <c r="K505" s="179"/>
      <c r="L505" s="179"/>
      <c r="M505" s="179"/>
      <c r="N505" s="101">
        <f>N504</f>
        <v>1.3393500000000025</v>
      </c>
      <c r="O505" s="21"/>
      <c r="P505" s="21"/>
    </row>
    <row r="506" spans="1:16" ht="18.75" customHeight="1">
      <c r="A506" s="24"/>
      <c r="B506" s="78"/>
      <c r="C506" s="18"/>
      <c r="D506" s="18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31"/>
      <c r="P506" s="21"/>
    </row>
    <row r="507" spans="1:16" ht="18.75" customHeight="1">
      <c r="A507" s="2"/>
      <c r="B507" s="2"/>
      <c r="C507" s="30"/>
      <c r="D507" s="30"/>
      <c r="E507" s="21"/>
      <c r="F507" s="21"/>
      <c r="G507" s="21"/>
      <c r="H507" s="21"/>
      <c r="I507" s="21"/>
      <c r="J507" s="30"/>
      <c r="K507" s="30"/>
      <c r="L507" s="30"/>
      <c r="M507" s="30"/>
      <c r="N507" s="30"/>
    </row>
    <row r="508" spans="1:16" ht="14.1" customHeight="1">
      <c r="A508" s="6"/>
      <c r="B508" s="6"/>
      <c r="C508" s="7"/>
      <c r="D508" s="7"/>
      <c r="E508" s="7"/>
      <c r="F508" s="7"/>
      <c r="G508" s="7"/>
      <c r="H508" s="7"/>
      <c r="I508" s="7"/>
      <c r="K508" s="7"/>
      <c r="L508" s="7"/>
      <c r="M508" s="7"/>
      <c r="N508" s="7"/>
    </row>
    <row r="509" spans="1:16" ht="14.1" customHeight="1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</row>
    <row r="510" spans="1:16" ht="14.1" customHeight="1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</row>
    <row r="511" spans="1:16" ht="14.1" customHeight="1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</row>
    <row r="512" spans="1:16" ht="14.1" customHeight="1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</row>
    <row r="513" spans="1:14" ht="14.1" customHeight="1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</row>
    <row r="514" spans="1:14" ht="14.1" customHeight="1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</row>
    <row r="515" spans="1:14" ht="14.1" customHeight="1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</row>
    <row r="516" spans="1:14" ht="14.1" customHeight="1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</row>
    <row r="517" spans="1:14" ht="14.1" customHeight="1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</row>
    <row r="518" spans="1:14" ht="14.1" customHeight="1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</row>
    <row r="519" spans="1:14" ht="14.1" customHeight="1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</row>
    <row r="520" spans="1:14" ht="14.1" customHeight="1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</row>
    <row r="521" spans="1:14" ht="14.1" customHeight="1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</row>
    <row r="522" spans="1:14" ht="14.1" customHeight="1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</row>
    <row r="523" spans="1:14" ht="14.1" customHeight="1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</row>
    <row r="524" spans="1:14" ht="14.1" customHeight="1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</row>
    <row r="525" spans="1:14" ht="14.1" customHeight="1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</row>
    <row r="526" spans="1:14" ht="14.1" customHeight="1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</row>
    <row r="527" spans="1:14" ht="14.1" customHeight="1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</row>
    <row r="528" spans="1:14" ht="14.1" customHeight="1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</row>
    <row r="529" spans="1:16" ht="14.1" customHeight="1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</row>
    <row r="530" spans="1:16" ht="14.1" customHeight="1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</row>
    <row r="531" spans="1:16" ht="14.1" customHeight="1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</row>
    <row r="532" spans="1:16" ht="14.1" customHeight="1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</row>
    <row r="533" spans="1:16" ht="14.1" customHeight="1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</row>
    <row r="534" spans="1:16" ht="14.1" customHeight="1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</row>
    <row r="535" spans="1:16" ht="14.1" customHeight="1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</row>
    <row r="536" spans="1:16" ht="14.1" customHeight="1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</row>
    <row r="537" spans="1:16" ht="14.1" customHeight="1">
      <c r="B537" s="181"/>
      <c r="C537" s="181"/>
      <c r="D537" s="181"/>
      <c r="E537" s="25"/>
      <c r="F537" s="25"/>
      <c r="G537" s="167"/>
      <c r="H537" s="167"/>
      <c r="I537" s="167"/>
      <c r="J537" s="7"/>
      <c r="K537" s="182"/>
      <c r="L537" s="182"/>
    </row>
    <row r="538" spans="1:16" ht="14.1" customHeight="1">
      <c r="B538" s="170"/>
      <c r="C538" s="170"/>
      <c r="D538" s="170"/>
      <c r="E538" s="26"/>
      <c r="F538" s="26"/>
      <c r="G538" s="170"/>
      <c r="H538" s="170"/>
      <c r="I538" s="170"/>
      <c r="J538" s="25"/>
      <c r="K538" s="171"/>
      <c r="L538" s="171"/>
    </row>
    <row r="539" spans="1:16" ht="14.1" customHeight="1">
      <c r="A539" s="6"/>
      <c r="B539" s="6"/>
      <c r="C539" s="7"/>
      <c r="D539" s="7"/>
      <c r="E539" s="7"/>
      <c r="F539" s="7"/>
      <c r="G539" s="7"/>
      <c r="H539" s="7"/>
      <c r="I539" s="7"/>
      <c r="J539" s="27"/>
      <c r="K539" s="7"/>
      <c r="L539" s="7"/>
      <c r="M539" s="7"/>
      <c r="N539" s="7"/>
    </row>
    <row r="540" spans="1:16" ht="14.1" customHeight="1">
      <c r="A540" s="6"/>
      <c r="B540" s="6"/>
      <c r="C540" s="7"/>
      <c r="D540" s="7"/>
      <c r="E540" s="7"/>
      <c r="F540" s="7"/>
      <c r="G540" s="7"/>
      <c r="H540" s="7"/>
      <c r="I540" s="7"/>
      <c r="J540" s="27"/>
      <c r="K540" s="7"/>
      <c r="L540" s="7"/>
      <c r="M540" s="7"/>
      <c r="N540" s="7"/>
    </row>
    <row r="541" spans="1:16" ht="14.1" customHeight="1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</row>
    <row r="542" spans="1:16" ht="18" customHeight="1">
      <c r="A542" s="184" t="s">
        <v>0</v>
      </c>
      <c r="B542" s="185"/>
      <c r="C542" s="185"/>
      <c r="D542" s="185"/>
      <c r="E542" s="185"/>
      <c r="F542" s="185"/>
      <c r="G542" s="20">
        <v>2880</v>
      </c>
      <c r="H542" s="1" t="s">
        <v>15</v>
      </c>
      <c r="I542" s="1"/>
      <c r="J542" s="32"/>
      <c r="K542" s="1"/>
      <c r="L542" s="1"/>
      <c r="M542" s="1"/>
      <c r="N542" s="1"/>
    </row>
    <row r="543" spans="1:16" ht="18" customHeight="1">
      <c r="A543" s="42" t="s">
        <v>1</v>
      </c>
      <c r="B543" s="82"/>
      <c r="C543" s="83">
        <v>0</v>
      </c>
      <c r="D543" s="84">
        <v>0.6</v>
      </c>
      <c r="E543" s="84">
        <v>0.7</v>
      </c>
      <c r="F543" s="85">
        <v>1.7</v>
      </c>
      <c r="G543" s="85">
        <v>2.7</v>
      </c>
      <c r="H543" s="84">
        <v>2.8</v>
      </c>
      <c r="I543" s="52">
        <v>3.5</v>
      </c>
      <c r="J543" s="52"/>
      <c r="K543" s="84"/>
      <c r="L543" s="86"/>
      <c r="M543" s="45"/>
      <c r="N543" s="47"/>
      <c r="O543" s="22"/>
      <c r="P543" s="22"/>
    </row>
    <row r="544" spans="1:16" ht="18" customHeight="1">
      <c r="A544" s="42" t="s">
        <v>2</v>
      </c>
      <c r="B544" s="82"/>
      <c r="C544" s="83">
        <v>98.2</v>
      </c>
      <c r="D544" s="84">
        <v>96.87</v>
      </c>
      <c r="E544" s="84">
        <v>96.87</v>
      </c>
      <c r="F544" s="84">
        <v>96.87</v>
      </c>
      <c r="G544" s="84">
        <v>96.87</v>
      </c>
      <c r="H544" s="84">
        <v>96.87</v>
      </c>
      <c r="I544" s="84">
        <v>98.35</v>
      </c>
      <c r="J544" s="84"/>
      <c r="K544" s="84"/>
      <c r="L544" s="86"/>
      <c r="M544" s="45"/>
      <c r="N544" s="47"/>
      <c r="O544" s="21"/>
      <c r="P544" s="21"/>
    </row>
    <row r="545" spans="1:16" ht="18" customHeight="1">
      <c r="A545" s="42" t="s">
        <v>1</v>
      </c>
      <c r="B545" s="82"/>
      <c r="C545" s="83">
        <v>0</v>
      </c>
      <c r="D545" s="84">
        <v>0.6</v>
      </c>
      <c r="E545" s="84">
        <v>0.7</v>
      </c>
      <c r="F545" s="85">
        <v>1.7</v>
      </c>
      <c r="G545" s="85">
        <v>2.7</v>
      </c>
      <c r="H545" s="84">
        <v>2.8</v>
      </c>
      <c r="I545" s="52">
        <v>3.5</v>
      </c>
      <c r="J545" s="52"/>
      <c r="K545" s="84"/>
      <c r="L545" s="86"/>
      <c r="M545" s="45"/>
      <c r="N545" s="47"/>
      <c r="O545" s="22"/>
      <c r="P545" s="22"/>
    </row>
    <row r="546" spans="1:16" ht="18" customHeight="1">
      <c r="A546" s="42" t="s">
        <v>3</v>
      </c>
      <c r="B546" s="87"/>
      <c r="C546" s="83">
        <v>98.2</v>
      </c>
      <c r="D546" s="84">
        <v>97.432000000000002</v>
      </c>
      <c r="E546" s="84">
        <v>97.31</v>
      </c>
      <c r="F546" s="84">
        <v>97.31</v>
      </c>
      <c r="G546" s="84">
        <v>97.31</v>
      </c>
      <c r="H546" s="84">
        <v>97.44</v>
      </c>
      <c r="I546" s="84">
        <v>98.35</v>
      </c>
      <c r="J546" s="84"/>
      <c r="K546" s="84"/>
      <c r="L546" s="86"/>
      <c r="M546" s="45"/>
      <c r="N546" s="52"/>
      <c r="O546" s="23"/>
      <c r="P546" s="23"/>
    </row>
    <row r="547" spans="1:16" ht="18" customHeight="1">
      <c r="A547" s="42" t="s">
        <v>18</v>
      </c>
      <c r="B547" s="87"/>
      <c r="C547" s="52">
        <f t="shared" ref="C547" si="98">C544-C546</f>
        <v>0</v>
      </c>
      <c r="D547" s="52">
        <f>D546-D544</f>
        <v>0.56199999999999761</v>
      </c>
      <c r="E547" s="52">
        <f t="shared" ref="E547:I547" si="99">E546-E544</f>
        <v>0.43999999999999773</v>
      </c>
      <c r="F547" s="52">
        <f t="shared" si="99"/>
        <v>0.43999999999999773</v>
      </c>
      <c r="G547" s="52">
        <f t="shared" si="99"/>
        <v>0.43999999999999773</v>
      </c>
      <c r="H547" s="52">
        <f t="shared" si="99"/>
        <v>0.56999999999999318</v>
      </c>
      <c r="I547" s="52">
        <f t="shared" si="99"/>
        <v>0</v>
      </c>
      <c r="J547" s="52"/>
      <c r="K547" s="52"/>
      <c r="L547" s="52"/>
      <c r="M547" s="47"/>
      <c r="N547" s="47"/>
      <c r="O547" s="21"/>
      <c r="P547" s="21"/>
    </row>
    <row r="548" spans="1:16" ht="18" customHeight="1">
      <c r="A548" s="42" t="s">
        <v>5</v>
      </c>
      <c r="B548" s="87"/>
      <c r="C548" s="52">
        <f t="shared" ref="C548" si="100">(C547+B547)/2*(C543-B543)</f>
        <v>0</v>
      </c>
      <c r="D548" s="52">
        <f>(D547+C547)/2*(D543-C543)</f>
        <v>0.16859999999999928</v>
      </c>
      <c r="E548" s="52">
        <f t="shared" ref="E548" si="101">(E547+D547)/2*(E543-D543)</f>
        <v>5.0099999999999756E-2</v>
      </c>
      <c r="F548" s="52">
        <f t="shared" ref="F548" si="102">(F547+E547)/2*(F543-E543)</f>
        <v>0.43999999999999773</v>
      </c>
      <c r="G548" s="52">
        <f t="shared" ref="G548" si="103">(G547+F547)/2*(G543-F543)</f>
        <v>0.43999999999999784</v>
      </c>
      <c r="H548" s="52">
        <f t="shared" ref="H548" si="104">(H547+G547)/2*(H543-G543)</f>
        <v>5.0499999999999365E-2</v>
      </c>
      <c r="I548" s="52">
        <f t="shared" ref="I548" si="105">(I547+H547)/2*(I543-H543)</f>
        <v>0.19949999999999765</v>
      </c>
      <c r="J548" s="52"/>
      <c r="K548" s="52"/>
      <c r="L548" s="52"/>
      <c r="M548" s="47"/>
      <c r="N548" s="77">
        <f>SUM(B548:M548)</f>
        <v>1.3486999999999916</v>
      </c>
      <c r="O548" s="21"/>
      <c r="P548" s="21"/>
    </row>
    <row r="549" spans="1:16" ht="18" customHeight="1">
      <c r="A549" s="2"/>
      <c r="B549" s="2"/>
      <c r="C549" s="30"/>
      <c r="D549" s="30"/>
      <c r="E549" s="4"/>
      <c r="F549" s="4"/>
      <c r="G549" s="4"/>
      <c r="H549" s="4"/>
      <c r="I549" s="4"/>
      <c r="J549" s="179" t="s">
        <v>6</v>
      </c>
      <c r="K549" s="179"/>
      <c r="L549" s="179"/>
      <c r="M549" s="179"/>
      <c r="N549" s="101">
        <f>N548</f>
        <v>1.3486999999999916</v>
      </c>
      <c r="O549" s="21"/>
      <c r="P549" s="21"/>
    </row>
    <row r="550" spans="1:16" ht="18" customHeight="1">
      <c r="A550" s="24"/>
      <c r="B550" s="78"/>
      <c r="C550" s="18"/>
      <c r="D550" s="18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31"/>
      <c r="P550" s="21"/>
    </row>
    <row r="551" spans="1:16" ht="14.1" customHeight="1">
      <c r="A551" s="2"/>
      <c r="B551" s="2"/>
      <c r="C551" s="30"/>
      <c r="D551" s="30"/>
      <c r="E551" s="21"/>
      <c r="F551" s="21"/>
      <c r="G551" s="21"/>
      <c r="H551" s="21"/>
      <c r="I551" s="21"/>
      <c r="J551" s="30"/>
      <c r="K551" s="30"/>
      <c r="L551" s="30"/>
      <c r="M551" s="30"/>
      <c r="N551" s="30"/>
    </row>
    <row r="552" spans="1:16" ht="14.1" customHeight="1">
      <c r="A552" s="2"/>
      <c r="B552" s="2"/>
      <c r="C552" s="30"/>
      <c r="D552" s="30"/>
      <c r="E552" s="4"/>
      <c r="F552" s="4"/>
      <c r="G552" s="4"/>
      <c r="H552" s="4"/>
      <c r="I552" s="4"/>
      <c r="J552" s="30"/>
      <c r="K552" s="30"/>
      <c r="L552" s="30"/>
      <c r="M552" s="30"/>
      <c r="N552" s="30"/>
    </row>
    <row r="553" spans="1:16" ht="14.1" customHeight="1">
      <c r="A553" s="2"/>
      <c r="B553" s="2"/>
      <c r="C553" s="30"/>
      <c r="D553" s="30"/>
      <c r="E553" s="4"/>
      <c r="F553" s="4"/>
      <c r="G553" s="4"/>
      <c r="H553" s="4"/>
      <c r="I553" s="4"/>
      <c r="J553" s="30"/>
      <c r="K553" s="30"/>
      <c r="L553" s="30"/>
      <c r="M553" s="30"/>
      <c r="N553" s="30"/>
    </row>
    <row r="554" spans="1:16" ht="14.1" customHeight="1">
      <c r="A554" s="6"/>
      <c r="B554" s="6"/>
      <c r="C554" s="7"/>
      <c r="D554" s="7"/>
      <c r="E554" s="7"/>
      <c r="F554" s="7"/>
      <c r="G554" s="7"/>
      <c r="H554" s="7"/>
      <c r="I554" s="7"/>
      <c r="K554" s="7"/>
      <c r="L554" s="7"/>
      <c r="M554" s="7"/>
      <c r="N554" s="7"/>
    </row>
    <row r="555" spans="1:16" ht="14.1" customHeight="1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</row>
    <row r="556" spans="1:16" ht="14.1" customHeight="1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</row>
    <row r="557" spans="1:16" ht="14.1" customHeight="1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</row>
    <row r="558" spans="1:16" ht="14.1" customHeight="1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</row>
    <row r="559" spans="1:16" ht="14.1" customHeight="1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</row>
    <row r="560" spans="1:16" ht="14.1" customHeight="1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</row>
    <row r="561" spans="1:14" ht="14.1" customHeight="1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</row>
    <row r="562" spans="1:14" ht="14.1" customHeight="1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</row>
    <row r="563" spans="1:14" ht="14.1" customHeight="1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</row>
    <row r="564" spans="1:14" ht="14.1" customHeight="1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</row>
    <row r="565" spans="1:14" ht="14.1" customHeight="1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</row>
    <row r="566" spans="1:14" ht="14.1" customHeight="1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</row>
    <row r="567" spans="1:14" ht="14.1" customHeight="1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</row>
    <row r="568" spans="1:14" ht="14.1" customHeight="1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</row>
    <row r="569" spans="1:14" ht="14.1" customHeight="1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</row>
    <row r="570" spans="1:14" ht="14.1" customHeight="1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</row>
    <row r="571" spans="1:14" ht="14.1" customHeight="1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</row>
    <row r="572" spans="1:14" ht="14.1" customHeight="1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</row>
    <row r="573" spans="1:14" ht="14.1" customHeight="1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</row>
    <row r="574" spans="1:14" ht="14.1" customHeight="1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</row>
    <row r="575" spans="1:14" ht="14.1" customHeight="1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</row>
    <row r="576" spans="1:14" ht="14.1" customHeight="1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</row>
    <row r="577" spans="1:14" ht="14.1" customHeight="1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</row>
    <row r="578" spans="1:14" ht="14.1" customHeight="1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</row>
    <row r="579" spans="1:14" ht="14.1" customHeight="1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</row>
    <row r="580" spans="1:14" ht="14.1" customHeight="1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</row>
    <row r="581" spans="1:14" ht="18" customHeight="1">
      <c r="A581" s="184" t="s">
        <v>0</v>
      </c>
      <c r="B581" s="185"/>
      <c r="C581" s="185"/>
      <c r="D581" s="185"/>
      <c r="E581" s="185"/>
      <c r="F581" s="185"/>
      <c r="G581" s="20">
        <v>2940</v>
      </c>
      <c r="H581" s="1" t="s">
        <v>15</v>
      </c>
      <c r="I581" s="1"/>
      <c r="J581" s="32"/>
      <c r="K581" s="1"/>
      <c r="L581" s="1"/>
      <c r="M581" s="1"/>
      <c r="N581" s="1"/>
    </row>
    <row r="582" spans="1:14" ht="18" customHeight="1">
      <c r="A582" s="42" t="s">
        <v>1</v>
      </c>
      <c r="B582" s="82"/>
      <c r="C582" s="83">
        <v>0</v>
      </c>
      <c r="D582" s="84">
        <v>0.6</v>
      </c>
      <c r="E582" s="84">
        <v>0.7</v>
      </c>
      <c r="F582" s="85">
        <v>1.7</v>
      </c>
      <c r="G582" s="85">
        <v>2.7</v>
      </c>
      <c r="H582" s="84">
        <v>2.8</v>
      </c>
      <c r="I582" s="52">
        <v>3.6</v>
      </c>
      <c r="J582" s="52"/>
      <c r="K582" s="84"/>
      <c r="L582" s="86"/>
      <c r="M582" s="45"/>
      <c r="N582" s="47"/>
    </row>
    <row r="583" spans="1:14" ht="18" customHeight="1">
      <c r="A583" s="42" t="s">
        <v>2</v>
      </c>
      <c r="B583" s="82"/>
      <c r="C583" s="83">
        <v>98.04</v>
      </c>
      <c r="D583" s="84">
        <v>96.87</v>
      </c>
      <c r="E583" s="84">
        <v>96.87</v>
      </c>
      <c r="F583" s="84">
        <v>96.87</v>
      </c>
      <c r="G583" s="84">
        <v>96.87</v>
      </c>
      <c r="H583" s="84">
        <v>96.87</v>
      </c>
      <c r="I583" s="84">
        <v>98.22</v>
      </c>
      <c r="J583" s="84"/>
      <c r="K583" s="84"/>
      <c r="L583" s="86"/>
      <c r="M583" s="45"/>
      <c r="N583" s="47"/>
    </row>
    <row r="584" spans="1:14" ht="18" customHeight="1">
      <c r="A584" s="42" t="s">
        <v>1</v>
      </c>
      <c r="B584" s="82"/>
      <c r="C584" s="83">
        <v>0</v>
      </c>
      <c r="D584" s="84">
        <v>0.6</v>
      </c>
      <c r="E584" s="84">
        <v>0.7</v>
      </c>
      <c r="F584" s="85">
        <v>1.7</v>
      </c>
      <c r="G584" s="85">
        <v>2.7</v>
      </c>
      <c r="H584" s="84">
        <v>2.8</v>
      </c>
      <c r="I584" s="52">
        <v>3.6</v>
      </c>
      <c r="J584" s="52"/>
      <c r="K584" s="84"/>
      <c r="L584" s="86"/>
      <c r="M584" s="45"/>
      <c r="N584" s="47"/>
    </row>
    <row r="585" spans="1:14" ht="18" customHeight="1">
      <c r="A585" s="42" t="s">
        <v>3</v>
      </c>
      <c r="B585" s="87"/>
      <c r="C585" s="83">
        <v>98.04</v>
      </c>
      <c r="D585" s="84">
        <v>97.38</v>
      </c>
      <c r="E585" s="84">
        <v>97.27</v>
      </c>
      <c r="F585" s="84">
        <v>97.27</v>
      </c>
      <c r="G585" s="84">
        <v>97.27</v>
      </c>
      <c r="H585" s="84">
        <v>97.373000000000005</v>
      </c>
      <c r="I585" s="84">
        <v>98.22</v>
      </c>
      <c r="J585" s="84"/>
      <c r="K585" s="84"/>
      <c r="L585" s="86"/>
      <c r="M585" s="45"/>
      <c r="N585" s="52"/>
    </row>
    <row r="586" spans="1:14" ht="18" customHeight="1">
      <c r="A586" s="42" t="s">
        <v>18</v>
      </c>
      <c r="B586" s="87"/>
      <c r="C586" s="52">
        <f t="shared" ref="C586" si="106">C583-C585</f>
        <v>0</v>
      </c>
      <c r="D586" s="52">
        <f>D585-D583</f>
        <v>0.50999999999999091</v>
      </c>
      <c r="E586" s="52">
        <f t="shared" ref="E586:I586" si="107">E585-E583</f>
        <v>0.39999999999999147</v>
      </c>
      <c r="F586" s="52">
        <f t="shared" si="107"/>
        <v>0.39999999999999147</v>
      </c>
      <c r="G586" s="52">
        <f t="shared" si="107"/>
        <v>0.39999999999999147</v>
      </c>
      <c r="H586" s="52">
        <f t="shared" si="107"/>
        <v>0.50300000000000011</v>
      </c>
      <c r="I586" s="52">
        <f t="shared" si="107"/>
        <v>0</v>
      </c>
      <c r="J586" s="52"/>
      <c r="K586" s="52"/>
      <c r="L586" s="52"/>
      <c r="M586" s="47"/>
      <c r="N586" s="47"/>
    </row>
    <row r="587" spans="1:14" ht="18" customHeight="1">
      <c r="A587" s="42" t="s">
        <v>5</v>
      </c>
      <c r="B587" s="87"/>
      <c r="C587" s="52">
        <f t="shared" ref="C587" si="108">(C586+B586)/2*(C582-B582)</f>
        <v>0</v>
      </c>
      <c r="D587" s="52">
        <f>(D586+C586)/2*(D582-C582)</f>
        <v>0.15299999999999728</v>
      </c>
      <c r="E587" s="52">
        <f t="shared" ref="E587" si="109">(E586+D586)/2*(E582-D582)</f>
        <v>4.5499999999999111E-2</v>
      </c>
      <c r="F587" s="52">
        <f t="shared" ref="F587" si="110">(F586+E586)/2*(F582-E582)</f>
        <v>0.39999999999999147</v>
      </c>
      <c r="G587" s="52">
        <f t="shared" ref="G587" si="111">(G586+F586)/2*(G582-F582)</f>
        <v>0.39999999999999158</v>
      </c>
      <c r="H587" s="52">
        <f t="shared" ref="H587" si="112">(H586+G586)/2*(H582-G582)</f>
        <v>4.514999999999942E-2</v>
      </c>
      <c r="I587" s="52">
        <f t="shared" ref="I587" si="113">(I586+H586)/2*(I582-H582)</f>
        <v>0.2012000000000001</v>
      </c>
      <c r="J587" s="52"/>
      <c r="K587" s="52"/>
      <c r="L587" s="52"/>
      <c r="M587" s="47"/>
      <c r="N587" s="77">
        <f>SUM(B587:M587)</f>
        <v>1.2448499999999789</v>
      </c>
    </row>
    <row r="588" spans="1:14" ht="18" customHeight="1">
      <c r="A588" s="2"/>
      <c r="B588" s="2"/>
      <c r="C588" s="30"/>
      <c r="D588" s="30"/>
      <c r="E588" s="4"/>
      <c r="F588" s="4"/>
      <c r="G588" s="4"/>
      <c r="H588" s="4"/>
      <c r="I588" s="4"/>
      <c r="J588" s="179" t="s">
        <v>6</v>
      </c>
      <c r="K588" s="179"/>
      <c r="L588" s="179"/>
      <c r="M588" s="179"/>
      <c r="N588" s="101">
        <f>N587</f>
        <v>1.2448499999999789</v>
      </c>
    </row>
    <row r="589" spans="1:14" ht="18" customHeight="1">
      <c r="A589" s="24"/>
      <c r="B589" s="78"/>
      <c r="C589" s="18"/>
      <c r="D589" s="18"/>
      <c r="E589" s="21"/>
      <c r="F589" s="21"/>
      <c r="G589" s="21"/>
      <c r="H589" s="21"/>
      <c r="I589" s="21"/>
      <c r="J589" s="21"/>
      <c r="K589" s="21"/>
      <c r="L589" s="21"/>
      <c r="M589" s="21"/>
      <c r="N589" s="21"/>
    </row>
    <row r="590" spans="1:14" ht="14.1" customHeight="1">
      <c r="A590" s="2"/>
      <c r="B590" s="2"/>
      <c r="C590" s="30"/>
      <c r="D590" s="30"/>
      <c r="E590" s="21"/>
      <c r="F590" s="21"/>
      <c r="G590" s="21"/>
      <c r="H590" s="21"/>
      <c r="I590" s="21"/>
      <c r="J590" s="30"/>
      <c r="K590" s="30"/>
      <c r="L590" s="30"/>
      <c r="M590" s="30"/>
      <c r="N590" s="30"/>
    </row>
    <row r="591" spans="1:14" ht="14.1" customHeight="1">
      <c r="A591" s="6"/>
      <c r="B591" s="6"/>
      <c r="C591" s="7"/>
      <c r="D591" s="7"/>
      <c r="E591" s="7"/>
      <c r="F591" s="7"/>
      <c r="G591" s="7"/>
      <c r="H591" s="7"/>
      <c r="I591" s="7"/>
      <c r="K591" s="7"/>
      <c r="L591" s="7"/>
      <c r="M591" s="7"/>
      <c r="N591" s="7"/>
    </row>
    <row r="592" spans="1:14" ht="14.1" customHeight="1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</row>
    <row r="593" spans="1:14" ht="14.1" customHeight="1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</row>
    <row r="594" spans="1:14" ht="14.1" customHeight="1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</row>
    <row r="595" spans="1:14" ht="14.1" customHeight="1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</row>
    <row r="596" spans="1:14" ht="14.1" customHeight="1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</row>
    <row r="597" spans="1:14" ht="14.1" customHeight="1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</row>
    <row r="598" spans="1:14" ht="14.1" customHeight="1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</row>
    <row r="599" spans="1:14" ht="14.1" customHeight="1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</row>
    <row r="600" spans="1:14" ht="14.1" customHeight="1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</row>
    <row r="601" spans="1:14" ht="14.1" customHeight="1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</row>
    <row r="602" spans="1:14" ht="14.1" customHeight="1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</row>
    <row r="603" spans="1:14" ht="14.1" customHeight="1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</row>
    <row r="604" spans="1:14" ht="14.1" customHeight="1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</row>
    <row r="605" spans="1:14" ht="14.1" customHeight="1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</row>
    <row r="606" spans="1:14" ht="14.1" customHeight="1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</row>
    <row r="607" spans="1:14" ht="14.1" customHeight="1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</row>
    <row r="608" spans="1:14" ht="14.1" customHeight="1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</row>
    <row r="609" spans="1:14" ht="14.1" customHeight="1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</row>
    <row r="610" spans="1:14" ht="14.1" customHeight="1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</row>
    <row r="611" spans="1:14" ht="14.1" customHeight="1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</row>
    <row r="612" spans="1:14" ht="14.1" customHeight="1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</row>
    <row r="613" spans="1:14" ht="14.1" customHeight="1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</row>
    <row r="614" spans="1:14" ht="14.1" customHeight="1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</row>
    <row r="615" spans="1:14" ht="14.1" customHeight="1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</row>
    <row r="616" spans="1:14" ht="14.1" customHeight="1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</row>
    <row r="617" spans="1:14" ht="14.1" customHeight="1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</row>
    <row r="618" spans="1:14" ht="14.1" customHeight="1">
      <c r="B618" s="181"/>
      <c r="C618" s="181"/>
      <c r="D618" s="181"/>
      <c r="E618" s="25"/>
      <c r="F618" s="25"/>
      <c r="G618" s="167"/>
      <c r="H618" s="167"/>
      <c r="I618" s="167"/>
      <c r="J618" s="7"/>
      <c r="K618" s="182"/>
      <c r="L618" s="182"/>
    </row>
    <row r="619" spans="1:14" ht="14.1" customHeight="1">
      <c r="B619" s="170"/>
      <c r="C619" s="170"/>
      <c r="D619" s="170"/>
      <c r="E619" s="26"/>
      <c r="F619" s="26"/>
      <c r="G619" s="170"/>
      <c r="H619" s="170"/>
      <c r="I619" s="170"/>
      <c r="J619" s="25"/>
      <c r="K619" s="171"/>
      <c r="L619" s="171"/>
    </row>
    <row r="620" spans="1:14" ht="14.1" customHeight="1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</row>
    <row r="621" spans="1:14" ht="14.1" customHeight="1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</row>
    <row r="622" spans="1:14" ht="14.1" customHeight="1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</row>
    <row r="623" spans="1:14" ht="14.1" customHeight="1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</row>
    <row r="624" spans="1:14" ht="14.1" customHeight="1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</row>
    <row r="625" spans="1:15" ht="14.1" customHeight="1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</row>
    <row r="626" spans="1:15" ht="18" customHeight="1">
      <c r="A626" s="184" t="s">
        <v>0</v>
      </c>
      <c r="B626" s="185"/>
      <c r="C626" s="185"/>
      <c r="D626" s="185"/>
      <c r="E626" s="185"/>
      <c r="F626" s="185"/>
      <c r="G626" s="20">
        <v>3000</v>
      </c>
      <c r="H626" s="1" t="s">
        <v>15</v>
      </c>
      <c r="I626" s="1"/>
      <c r="J626" s="32"/>
      <c r="K626" s="1"/>
      <c r="L626" s="1"/>
      <c r="M626" s="1"/>
      <c r="N626" s="1"/>
    </row>
    <row r="627" spans="1:15" ht="18" customHeight="1">
      <c r="A627" s="42" t="s">
        <v>1</v>
      </c>
      <c r="B627" s="82"/>
      <c r="C627" s="83">
        <v>0</v>
      </c>
      <c r="D627" s="84">
        <v>0.6</v>
      </c>
      <c r="E627" s="84">
        <v>0.7</v>
      </c>
      <c r="F627" s="85">
        <v>1.7</v>
      </c>
      <c r="G627" s="85">
        <v>2.7</v>
      </c>
      <c r="H627" s="84">
        <v>2.8</v>
      </c>
      <c r="I627" s="52">
        <v>3.5</v>
      </c>
      <c r="J627" s="52"/>
      <c r="K627" s="84"/>
      <c r="L627" s="86"/>
      <c r="M627" s="45"/>
      <c r="N627" s="47"/>
      <c r="O627" s="18"/>
    </row>
    <row r="628" spans="1:15" ht="18" customHeight="1">
      <c r="A628" s="42" t="s">
        <v>2</v>
      </c>
      <c r="B628" s="82"/>
      <c r="C628" s="83">
        <v>98.17</v>
      </c>
      <c r="D628" s="84">
        <v>96.86</v>
      </c>
      <c r="E628" s="84">
        <v>96.86</v>
      </c>
      <c r="F628" s="84">
        <v>96.86</v>
      </c>
      <c r="G628" s="84">
        <v>96.86</v>
      </c>
      <c r="H628" s="84">
        <v>96.86</v>
      </c>
      <c r="I628" s="84">
        <v>98.34</v>
      </c>
      <c r="J628" s="84"/>
      <c r="K628" s="84"/>
      <c r="L628" s="86"/>
      <c r="M628" s="45"/>
      <c r="N628" s="47"/>
      <c r="O628" s="18"/>
    </row>
    <row r="629" spans="1:15" ht="18" customHeight="1">
      <c r="A629" s="42" t="s">
        <v>1</v>
      </c>
      <c r="B629" s="82"/>
      <c r="C629" s="83">
        <v>0</v>
      </c>
      <c r="D629" s="84">
        <v>0.6</v>
      </c>
      <c r="E629" s="84">
        <v>0.7</v>
      </c>
      <c r="F629" s="85">
        <v>1.7</v>
      </c>
      <c r="G629" s="85">
        <v>2.7</v>
      </c>
      <c r="H629" s="84">
        <v>2.8</v>
      </c>
      <c r="I629" s="52">
        <v>3.5</v>
      </c>
      <c r="J629" s="52"/>
      <c r="K629" s="84"/>
      <c r="L629" s="86"/>
      <c r="M629" s="45"/>
      <c r="N629" s="47"/>
      <c r="O629" s="18"/>
    </row>
    <row r="630" spans="1:15" ht="18" customHeight="1">
      <c r="A630" s="42" t="s">
        <v>3</v>
      </c>
      <c r="B630" s="87"/>
      <c r="C630" s="83">
        <v>98.17</v>
      </c>
      <c r="D630" s="84">
        <v>97.433000000000007</v>
      </c>
      <c r="E630" s="84">
        <v>97.31</v>
      </c>
      <c r="F630" s="84">
        <v>97.31</v>
      </c>
      <c r="G630" s="84">
        <v>97.31</v>
      </c>
      <c r="H630" s="84">
        <v>97.438999999999993</v>
      </c>
      <c r="I630" s="84">
        <v>98.34</v>
      </c>
      <c r="J630" s="84"/>
      <c r="K630" s="84"/>
      <c r="L630" s="86"/>
      <c r="M630" s="45"/>
      <c r="N630" s="52"/>
      <c r="O630" s="18"/>
    </row>
    <row r="631" spans="1:15" ht="18" customHeight="1">
      <c r="A631" s="42" t="s">
        <v>18</v>
      </c>
      <c r="B631" s="87"/>
      <c r="C631" s="52">
        <f t="shared" ref="C631" si="114">C628-C630</f>
        <v>0</v>
      </c>
      <c r="D631" s="52">
        <f>D630-D628</f>
        <v>0.5730000000000075</v>
      </c>
      <c r="E631" s="52">
        <f t="shared" ref="E631:I631" si="115">E630-E628</f>
        <v>0.45000000000000284</v>
      </c>
      <c r="F631" s="52">
        <f t="shared" si="115"/>
        <v>0.45000000000000284</v>
      </c>
      <c r="G631" s="52">
        <f t="shared" si="115"/>
        <v>0.45000000000000284</v>
      </c>
      <c r="H631" s="52">
        <f t="shared" si="115"/>
        <v>0.57899999999999352</v>
      </c>
      <c r="I631" s="52">
        <f t="shared" si="115"/>
        <v>0</v>
      </c>
      <c r="J631" s="52"/>
      <c r="K631" s="52"/>
      <c r="L631" s="52"/>
      <c r="M631" s="47"/>
      <c r="N631" s="47"/>
      <c r="O631" s="18"/>
    </row>
    <row r="632" spans="1:15" ht="18" customHeight="1">
      <c r="A632" s="42" t="s">
        <v>5</v>
      </c>
      <c r="B632" s="87"/>
      <c r="C632" s="52">
        <f t="shared" ref="C632" si="116">(C631+B631)/2*(C627-B627)</f>
        <v>0</v>
      </c>
      <c r="D632" s="52">
        <f>(D631+C631)/2*(D627-C627)</f>
        <v>0.17190000000000225</v>
      </c>
      <c r="E632" s="52">
        <f t="shared" ref="E632" si="117">(E631+D631)/2*(E627-D627)</f>
        <v>5.1150000000000508E-2</v>
      </c>
      <c r="F632" s="52">
        <f t="shared" ref="F632" si="118">(F631+E631)/2*(F627-E627)</f>
        <v>0.45000000000000284</v>
      </c>
      <c r="G632" s="52">
        <f t="shared" ref="G632" si="119">(G631+F631)/2*(G627-F627)</f>
        <v>0.45000000000000295</v>
      </c>
      <c r="H632" s="52">
        <f t="shared" ref="H632" si="120">(H631+G631)/2*(H627-G627)</f>
        <v>5.1449999999999635E-2</v>
      </c>
      <c r="I632" s="52">
        <f t="shared" ref="I632" si="121">(I631+H631)/2*(I627-H627)</f>
        <v>0.20264999999999778</v>
      </c>
      <c r="J632" s="52"/>
      <c r="K632" s="52"/>
      <c r="L632" s="52"/>
      <c r="M632" s="47"/>
      <c r="N632" s="77">
        <f>SUM(B632:M632)</f>
        <v>1.3771500000000059</v>
      </c>
      <c r="O632" s="18"/>
    </row>
    <row r="633" spans="1:15" ht="18" customHeight="1">
      <c r="A633" s="2"/>
      <c r="B633" s="2"/>
      <c r="C633" s="30"/>
      <c r="D633" s="30"/>
      <c r="E633" s="4"/>
      <c r="F633" s="4"/>
      <c r="G633" s="4"/>
      <c r="H633" s="4"/>
      <c r="I633" s="4"/>
      <c r="J633" s="179" t="s">
        <v>6</v>
      </c>
      <c r="K633" s="179"/>
      <c r="L633" s="179"/>
      <c r="M633" s="179"/>
      <c r="N633" s="101">
        <f>N632</f>
        <v>1.3771500000000059</v>
      </c>
      <c r="O633" s="18"/>
    </row>
    <row r="634" spans="1:15" ht="18" customHeight="1">
      <c r="A634" s="24"/>
      <c r="B634" s="78"/>
      <c r="C634" s="18"/>
      <c r="D634" s="18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</row>
    <row r="635" spans="1:15" ht="14.1" customHeight="1">
      <c r="A635" s="2"/>
      <c r="B635" s="2"/>
      <c r="C635" s="30"/>
      <c r="D635" s="30"/>
      <c r="E635" s="21"/>
      <c r="F635" s="21"/>
      <c r="G635" s="21"/>
      <c r="H635" s="21"/>
      <c r="I635" s="21"/>
      <c r="J635" s="30"/>
      <c r="K635" s="30"/>
      <c r="L635" s="30"/>
      <c r="M635" s="30"/>
      <c r="N635" s="30"/>
    </row>
    <row r="636" spans="1:15" ht="14.1" customHeight="1">
      <c r="A636" s="6"/>
      <c r="B636" s="6"/>
      <c r="C636" s="7"/>
      <c r="D636" s="7"/>
      <c r="E636" s="7"/>
      <c r="F636" s="7"/>
      <c r="G636" s="7"/>
      <c r="H636" s="7"/>
      <c r="I636" s="7"/>
      <c r="K636" s="7"/>
      <c r="L636" s="7"/>
      <c r="M636" s="7"/>
      <c r="N636" s="7"/>
    </row>
    <row r="637" spans="1:15" ht="14.1" customHeight="1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</row>
    <row r="638" spans="1:15" ht="14.1" customHeight="1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</row>
    <row r="639" spans="1:15" ht="14.1" customHeight="1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</row>
    <row r="640" spans="1:15" ht="14.1" customHeight="1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</row>
    <row r="641" spans="1:14" ht="14.1" customHeight="1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</row>
    <row r="642" spans="1:14" ht="14.1" customHeight="1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</row>
    <row r="643" spans="1:14" ht="14.1" customHeight="1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</row>
    <row r="644" spans="1:14" ht="14.1" customHeight="1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</row>
    <row r="645" spans="1:14" ht="14.1" customHeight="1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</row>
    <row r="646" spans="1:14" ht="14.1" customHeight="1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</row>
    <row r="647" spans="1:14" ht="14.1" customHeight="1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</row>
    <row r="648" spans="1:14" ht="14.1" customHeight="1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</row>
    <row r="649" spans="1:14" ht="14.1" customHeight="1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</row>
    <row r="650" spans="1:14" ht="14.1" customHeight="1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</row>
    <row r="651" spans="1:14" ht="14.1" customHeight="1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</row>
    <row r="652" spans="1:14" ht="14.1" customHeight="1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</row>
    <row r="653" spans="1:14" ht="14.1" customHeight="1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</row>
    <row r="654" spans="1:14" ht="14.1" customHeight="1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</row>
    <row r="655" spans="1:14" ht="14.1" customHeight="1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</row>
    <row r="656" spans="1:14" ht="14.1" customHeight="1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</row>
    <row r="657" spans="1:15" ht="14.1" customHeight="1">
      <c r="A657" s="6"/>
      <c r="B657" s="6"/>
      <c r="C657" s="7"/>
      <c r="D657" s="7"/>
      <c r="E657" s="7"/>
      <c r="F657" s="7"/>
      <c r="G657" s="7"/>
      <c r="H657" s="7"/>
      <c r="I657" s="7"/>
      <c r="J657" s="36"/>
      <c r="K657" s="7"/>
      <c r="L657" s="7"/>
      <c r="M657" s="7"/>
      <c r="N657" s="7"/>
    </row>
    <row r="658" spans="1:15" ht="14.1" customHeight="1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</row>
    <row r="659" spans="1:15" ht="14.1" customHeight="1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</row>
    <row r="660" spans="1:15" ht="14.1" customHeight="1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</row>
    <row r="661" spans="1:15" ht="14.1" customHeight="1">
      <c r="A661" s="24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</row>
    <row r="662" spans="1:15" ht="14.1" customHeight="1"/>
    <row r="663" spans="1:15" ht="14.1" customHeight="1"/>
    <row r="664" spans="1:15" ht="14.1" customHeight="1"/>
    <row r="665" spans="1:15" ht="18" customHeight="1">
      <c r="A665" s="184" t="s">
        <v>0</v>
      </c>
      <c r="B665" s="185"/>
      <c r="C665" s="185"/>
      <c r="D665" s="185"/>
      <c r="E665" s="185"/>
      <c r="F665" s="185"/>
      <c r="G665" s="20">
        <v>3060</v>
      </c>
      <c r="H665" s="1" t="s">
        <v>15</v>
      </c>
      <c r="I665" s="1"/>
      <c r="J665" s="32"/>
      <c r="K665" s="1"/>
      <c r="L665" s="1"/>
      <c r="M665" s="1"/>
      <c r="N665" s="1"/>
    </row>
    <row r="666" spans="1:15" ht="18" customHeight="1">
      <c r="A666" s="42" t="s">
        <v>1</v>
      </c>
      <c r="B666" s="82"/>
      <c r="C666" s="83">
        <v>0</v>
      </c>
      <c r="D666" s="84">
        <v>0.6</v>
      </c>
      <c r="E666" s="84">
        <v>0.7</v>
      </c>
      <c r="F666" s="85">
        <v>1.7</v>
      </c>
      <c r="G666" s="85">
        <v>2.7</v>
      </c>
      <c r="H666" s="84">
        <v>2.8</v>
      </c>
      <c r="I666" s="52">
        <v>3.6</v>
      </c>
      <c r="J666" s="52"/>
      <c r="K666" s="84"/>
      <c r="L666" s="86"/>
      <c r="M666" s="45"/>
      <c r="N666" s="47"/>
      <c r="O666" s="18"/>
    </row>
    <row r="667" spans="1:15" ht="18" customHeight="1">
      <c r="A667" s="42" t="s">
        <v>2</v>
      </c>
      <c r="B667" s="82"/>
      <c r="C667" s="83">
        <v>97.69</v>
      </c>
      <c r="D667" s="84">
        <v>96.78</v>
      </c>
      <c r="E667" s="84">
        <v>96.78</v>
      </c>
      <c r="F667" s="84">
        <v>96.78</v>
      </c>
      <c r="G667" s="84">
        <v>96.78</v>
      </c>
      <c r="H667" s="84">
        <v>96.78</v>
      </c>
      <c r="I667" s="84">
        <v>97.89</v>
      </c>
      <c r="J667" s="84"/>
      <c r="K667" s="84"/>
      <c r="L667" s="86"/>
      <c r="M667" s="45"/>
      <c r="N667" s="47"/>
      <c r="O667" s="18"/>
    </row>
    <row r="668" spans="1:15" ht="18" customHeight="1">
      <c r="A668" s="42" t="s">
        <v>1</v>
      </c>
      <c r="B668" s="82"/>
      <c r="C668" s="83">
        <v>0</v>
      </c>
      <c r="D668" s="84">
        <v>0.6</v>
      </c>
      <c r="E668" s="84">
        <v>0.7</v>
      </c>
      <c r="F668" s="85">
        <v>1.7</v>
      </c>
      <c r="G668" s="85">
        <v>2.7</v>
      </c>
      <c r="H668" s="84">
        <v>2.8</v>
      </c>
      <c r="I668" s="52">
        <v>3.6</v>
      </c>
      <c r="J668" s="52"/>
      <c r="K668" s="84"/>
      <c r="L668" s="86"/>
      <c r="M668" s="45"/>
      <c r="N668" s="47"/>
      <c r="O668" s="18"/>
    </row>
    <row r="669" spans="1:15" ht="18" customHeight="1">
      <c r="A669" s="42" t="s">
        <v>3</v>
      </c>
      <c r="B669" s="87"/>
      <c r="C669" s="83">
        <v>97.69</v>
      </c>
      <c r="D669" s="84">
        <v>97.287000000000006</v>
      </c>
      <c r="E669" s="84">
        <v>97.22</v>
      </c>
      <c r="F669" s="84">
        <v>97.22</v>
      </c>
      <c r="G669" s="84">
        <v>97.22</v>
      </c>
      <c r="H669" s="84">
        <v>97.293999999999997</v>
      </c>
      <c r="I669" s="84">
        <v>97.89</v>
      </c>
      <c r="J669" s="84"/>
      <c r="K669" s="84"/>
      <c r="L669" s="86"/>
      <c r="M669" s="45"/>
      <c r="N669" s="52"/>
      <c r="O669" s="18"/>
    </row>
    <row r="670" spans="1:15" ht="18" customHeight="1">
      <c r="A670" s="42" t="s">
        <v>18</v>
      </c>
      <c r="B670" s="87"/>
      <c r="C670" s="52">
        <f t="shared" ref="C670" si="122">C667-C669</f>
        <v>0</v>
      </c>
      <c r="D670" s="52">
        <f>D669-D667</f>
        <v>0.507000000000005</v>
      </c>
      <c r="E670" s="52">
        <f t="shared" ref="E670:I670" si="123">E669-E667</f>
        <v>0.43999999999999773</v>
      </c>
      <c r="F670" s="52">
        <f t="shared" si="123"/>
        <v>0.43999999999999773</v>
      </c>
      <c r="G670" s="52">
        <f t="shared" si="123"/>
        <v>0.43999999999999773</v>
      </c>
      <c r="H670" s="52">
        <f t="shared" si="123"/>
        <v>0.51399999999999579</v>
      </c>
      <c r="I670" s="52">
        <f t="shared" si="123"/>
        <v>0</v>
      </c>
      <c r="J670" s="52"/>
      <c r="K670" s="52"/>
      <c r="L670" s="52"/>
      <c r="M670" s="47"/>
      <c r="N670" s="47"/>
      <c r="O670" s="18"/>
    </row>
    <row r="671" spans="1:15" ht="18" customHeight="1">
      <c r="A671" s="42" t="s">
        <v>5</v>
      </c>
      <c r="B671" s="87"/>
      <c r="C671" s="52">
        <f t="shared" ref="C671" si="124">(C670+B670)/2*(C666-B666)</f>
        <v>0</v>
      </c>
      <c r="D671" s="52">
        <f>(D670+C670)/2*(D666-C666)</f>
        <v>0.15210000000000148</v>
      </c>
      <c r="E671" s="52">
        <f t="shared" ref="E671" si="125">(E670+D670)/2*(E666-D666)</f>
        <v>4.7350000000000128E-2</v>
      </c>
      <c r="F671" s="52">
        <f t="shared" ref="F671" si="126">(F670+E670)/2*(F666-E666)</f>
        <v>0.43999999999999773</v>
      </c>
      <c r="G671" s="52">
        <f t="shared" ref="G671" si="127">(G670+F670)/2*(G666-F666)</f>
        <v>0.43999999999999784</v>
      </c>
      <c r="H671" s="52">
        <f t="shared" ref="H671" si="128">(H670+G670)/2*(H666-G666)</f>
        <v>4.7699999999999507E-2</v>
      </c>
      <c r="I671" s="52">
        <f t="shared" ref="I671" si="129">(I670+H670)/2*(I666-H666)</f>
        <v>0.2055999999999984</v>
      </c>
      <c r="J671" s="52"/>
      <c r="K671" s="52"/>
      <c r="L671" s="52"/>
      <c r="M671" s="47"/>
      <c r="N671" s="77">
        <f>SUM(B671:M671)</f>
        <v>1.3327499999999952</v>
      </c>
      <c r="O671" s="18"/>
    </row>
    <row r="672" spans="1:15" ht="18" customHeight="1">
      <c r="A672" s="2"/>
      <c r="B672" s="2"/>
      <c r="C672" s="30"/>
      <c r="D672" s="30"/>
      <c r="E672" s="4"/>
      <c r="F672" s="4"/>
      <c r="G672" s="4"/>
      <c r="H672" s="4"/>
      <c r="I672" s="4"/>
      <c r="J672" s="179" t="s">
        <v>6</v>
      </c>
      <c r="K672" s="179"/>
      <c r="L672" s="179"/>
      <c r="M672" s="179"/>
      <c r="N672" s="101">
        <f>N671</f>
        <v>1.3327499999999952</v>
      </c>
      <c r="O672" s="18"/>
    </row>
    <row r="673" spans="1:15" ht="18" customHeight="1">
      <c r="A673" s="24"/>
      <c r="B673" s="78"/>
      <c r="C673" s="18"/>
      <c r="D673" s="18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</row>
    <row r="674" spans="1:15" ht="14.1" customHeight="1">
      <c r="A674" s="2"/>
      <c r="B674" s="2"/>
      <c r="C674" s="30"/>
      <c r="D674" s="30"/>
      <c r="E674" s="21"/>
      <c r="F674" s="21"/>
      <c r="G674" s="21"/>
      <c r="H674" s="21"/>
      <c r="I674" s="21"/>
      <c r="J674" s="30"/>
      <c r="K674" s="30"/>
      <c r="L674" s="30"/>
      <c r="M674" s="30"/>
      <c r="N674" s="30"/>
    </row>
    <row r="675" spans="1:15" ht="14.1" customHeight="1">
      <c r="A675" s="6"/>
      <c r="B675" s="6"/>
      <c r="C675" s="7"/>
      <c r="D675" s="7"/>
      <c r="E675" s="7"/>
      <c r="F675" s="7"/>
      <c r="G675" s="7"/>
      <c r="H675" s="7"/>
      <c r="I675" s="7"/>
      <c r="K675" s="7"/>
      <c r="L675" s="7"/>
      <c r="M675" s="7"/>
      <c r="N675" s="7"/>
    </row>
    <row r="676" spans="1:15" ht="14.1" customHeight="1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</row>
    <row r="677" spans="1:15" ht="14.1" customHeight="1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</row>
    <row r="678" spans="1:15" ht="14.1" customHeight="1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</row>
    <row r="679" spans="1:15" ht="14.1" customHeight="1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</row>
    <row r="680" spans="1:15" ht="14.1" customHeight="1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</row>
    <row r="681" spans="1:15" ht="14.1" customHeight="1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</row>
    <row r="682" spans="1:15" ht="14.1" customHeight="1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</row>
    <row r="683" spans="1:15" ht="14.1" customHeight="1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</row>
    <row r="684" spans="1:15" ht="14.1" customHeight="1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</row>
    <row r="685" spans="1:15" ht="14.1" customHeight="1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</row>
    <row r="686" spans="1:15" ht="14.1" customHeight="1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</row>
    <row r="687" spans="1:15" ht="14.1" customHeight="1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</row>
    <row r="688" spans="1:15" ht="14.1" customHeight="1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</row>
    <row r="689" spans="1:14" ht="14.1" customHeight="1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</row>
    <row r="690" spans="1:14" ht="14.1" customHeight="1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</row>
    <row r="691" spans="1:14" ht="14.1" customHeight="1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</row>
    <row r="692" spans="1:14" ht="14.1" customHeight="1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</row>
    <row r="693" spans="1:14" ht="14.1" customHeight="1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</row>
    <row r="694" spans="1:14" ht="14.1" customHeight="1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</row>
    <row r="695" spans="1:14" ht="14.1" customHeight="1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</row>
    <row r="696" spans="1:14" ht="14.1" customHeight="1">
      <c r="A696" s="6"/>
      <c r="B696" s="6"/>
      <c r="C696" s="7"/>
      <c r="D696" s="7"/>
      <c r="E696" s="7"/>
      <c r="F696" s="7"/>
      <c r="G696" s="7"/>
      <c r="H696" s="7"/>
      <c r="I696" s="7"/>
      <c r="J696" s="30"/>
      <c r="K696" s="7"/>
      <c r="L696" s="7"/>
      <c r="M696" s="7"/>
      <c r="N696" s="7"/>
    </row>
    <row r="697" spans="1:14" ht="14.1" customHeight="1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</row>
    <row r="698" spans="1:14" ht="14.1" customHeight="1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</row>
    <row r="699" spans="1:14" ht="14.1" customHeight="1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</row>
    <row r="700" spans="1:14" ht="14.1" customHeight="1">
      <c r="A700" s="24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</row>
    <row r="701" spans="1:14" ht="14.1" customHeight="1"/>
    <row r="702" spans="1:14" ht="14.1" customHeight="1"/>
    <row r="703" spans="1:14" ht="14.1" customHeight="1">
      <c r="B703" s="181"/>
      <c r="C703" s="181"/>
      <c r="D703" s="181"/>
      <c r="E703" s="25"/>
      <c r="F703" s="25"/>
      <c r="G703" s="167"/>
      <c r="H703" s="167"/>
      <c r="I703" s="167"/>
      <c r="J703" s="7"/>
      <c r="K703" s="182"/>
      <c r="L703" s="182"/>
    </row>
    <row r="704" spans="1:14" ht="14.1" customHeight="1">
      <c r="B704" s="170"/>
      <c r="C704" s="170"/>
      <c r="D704" s="170"/>
      <c r="E704" s="26"/>
      <c r="F704" s="26"/>
      <c r="G704" s="170"/>
      <c r="H704" s="170"/>
      <c r="I704" s="170"/>
      <c r="J704" s="25"/>
      <c r="K704" s="171"/>
      <c r="L704" s="171"/>
    </row>
    <row r="705" spans="1:15" ht="14.1" customHeight="1"/>
    <row r="706" spans="1:15" ht="14.1" customHeight="1"/>
    <row r="707" spans="1:15" ht="14.1" customHeight="1"/>
    <row r="708" spans="1:15" ht="18" customHeight="1">
      <c r="A708" s="184" t="s">
        <v>0</v>
      </c>
      <c r="B708" s="185"/>
      <c r="C708" s="185"/>
      <c r="D708" s="185"/>
      <c r="E708" s="185"/>
      <c r="F708" s="185"/>
      <c r="G708" s="20">
        <v>3120</v>
      </c>
      <c r="H708" s="1" t="s">
        <v>15</v>
      </c>
      <c r="I708" s="1"/>
      <c r="J708" s="32"/>
      <c r="K708" s="1"/>
      <c r="L708" s="1"/>
      <c r="M708" s="1"/>
      <c r="N708" s="1"/>
    </row>
    <row r="709" spans="1:15" ht="18" customHeight="1">
      <c r="A709" s="42" t="s">
        <v>1</v>
      </c>
      <c r="B709" s="82"/>
      <c r="C709" s="83">
        <v>0</v>
      </c>
      <c r="D709" s="84">
        <v>0.6</v>
      </c>
      <c r="E709" s="84">
        <v>0.7</v>
      </c>
      <c r="F709" s="85">
        <v>1.7</v>
      </c>
      <c r="G709" s="85">
        <v>2.7</v>
      </c>
      <c r="H709" s="84">
        <v>2.8</v>
      </c>
      <c r="I709" s="52">
        <v>3.5</v>
      </c>
      <c r="J709" s="52"/>
      <c r="K709" s="84"/>
      <c r="L709" s="86"/>
      <c r="M709" s="45"/>
      <c r="N709" s="47"/>
      <c r="O709" s="18"/>
    </row>
    <row r="710" spans="1:15" ht="18" customHeight="1">
      <c r="A710" s="42" t="s">
        <v>2</v>
      </c>
      <c r="B710" s="82"/>
      <c r="C710" s="83">
        <v>97.79</v>
      </c>
      <c r="D710" s="84">
        <v>96.77</v>
      </c>
      <c r="E710" s="84">
        <v>96.77</v>
      </c>
      <c r="F710" s="84">
        <v>96.77</v>
      </c>
      <c r="G710" s="84">
        <v>96.77</v>
      </c>
      <c r="H710" s="84">
        <v>96.77</v>
      </c>
      <c r="I710" s="84">
        <v>97.94</v>
      </c>
      <c r="J710" s="84"/>
      <c r="K710" s="84"/>
      <c r="L710" s="86"/>
      <c r="M710" s="45"/>
      <c r="N710" s="47"/>
      <c r="O710" s="18"/>
    </row>
    <row r="711" spans="1:15" ht="18" customHeight="1">
      <c r="A711" s="42" t="s">
        <v>1</v>
      </c>
      <c r="B711" s="82"/>
      <c r="C711" s="83">
        <v>0</v>
      </c>
      <c r="D711" s="84">
        <v>0.6</v>
      </c>
      <c r="E711" s="84">
        <v>0.7</v>
      </c>
      <c r="F711" s="85">
        <v>1.7</v>
      </c>
      <c r="G711" s="85">
        <v>2.7</v>
      </c>
      <c r="H711" s="84">
        <v>2.8</v>
      </c>
      <c r="I711" s="52">
        <v>3.5</v>
      </c>
      <c r="J711" s="52"/>
      <c r="K711" s="84"/>
      <c r="L711" s="86"/>
      <c r="M711" s="45"/>
      <c r="N711" s="47"/>
      <c r="O711" s="18"/>
    </row>
    <row r="712" spans="1:15" ht="18" customHeight="1">
      <c r="A712" s="42" t="s">
        <v>3</v>
      </c>
      <c r="B712" s="87"/>
      <c r="C712" s="83">
        <v>97.79</v>
      </c>
      <c r="D712" s="84">
        <v>97.295000000000002</v>
      </c>
      <c r="E712" s="84">
        <v>97.21</v>
      </c>
      <c r="F712" s="84">
        <v>97.21</v>
      </c>
      <c r="G712" s="84">
        <v>97.21</v>
      </c>
      <c r="H712" s="84">
        <v>97.301000000000002</v>
      </c>
      <c r="I712" s="84">
        <v>97.94</v>
      </c>
      <c r="J712" s="84"/>
      <c r="K712" s="84"/>
      <c r="L712" s="86"/>
      <c r="M712" s="45"/>
      <c r="N712" s="52"/>
      <c r="O712" s="18"/>
    </row>
    <row r="713" spans="1:15" ht="18" customHeight="1">
      <c r="A713" s="42" t="s">
        <v>18</v>
      </c>
      <c r="B713" s="87"/>
      <c r="C713" s="52">
        <f t="shared" ref="C713" si="130">C710-C712</f>
        <v>0</v>
      </c>
      <c r="D713" s="52">
        <f>D712-D710</f>
        <v>0.52500000000000568</v>
      </c>
      <c r="E713" s="52">
        <f t="shared" ref="E713:I713" si="131">E712-E710</f>
        <v>0.43999999999999773</v>
      </c>
      <c r="F713" s="52">
        <f t="shared" si="131"/>
        <v>0.43999999999999773</v>
      </c>
      <c r="G713" s="52">
        <f t="shared" si="131"/>
        <v>0.43999999999999773</v>
      </c>
      <c r="H713" s="52">
        <f t="shared" si="131"/>
        <v>0.53100000000000591</v>
      </c>
      <c r="I713" s="52">
        <f t="shared" si="131"/>
        <v>0</v>
      </c>
      <c r="J713" s="52"/>
      <c r="K713" s="52"/>
      <c r="L713" s="52"/>
      <c r="M713" s="47"/>
      <c r="N713" s="47"/>
      <c r="O713" s="18"/>
    </row>
    <row r="714" spans="1:15" ht="18" customHeight="1">
      <c r="A714" s="42" t="s">
        <v>5</v>
      </c>
      <c r="B714" s="87"/>
      <c r="C714" s="52">
        <f t="shared" ref="C714" si="132">(C713+B713)/2*(C709-B709)</f>
        <v>0</v>
      </c>
      <c r="D714" s="52">
        <f>(D713+C713)/2*(D709-C709)</f>
        <v>0.15750000000000169</v>
      </c>
      <c r="E714" s="52">
        <f t="shared" ref="E714" si="133">(E713+D713)/2*(E709-D709)</f>
        <v>4.8250000000000161E-2</v>
      </c>
      <c r="F714" s="52">
        <f t="shared" ref="F714" si="134">(F713+E713)/2*(F709-E709)</f>
        <v>0.43999999999999773</v>
      </c>
      <c r="G714" s="52">
        <f t="shared" ref="G714" si="135">(G713+F713)/2*(G709-F709)</f>
        <v>0.43999999999999784</v>
      </c>
      <c r="H714" s="52">
        <f t="shared" ref="H714" si="136">(H713+G713)/2*(H709-G709)</f>
        <v>4.855000000000001E-2</v>
      </c>
      <c r="I714" s="52">
        <f t="shared" ref="I714" si="137">(I713+H713)/2*(I709-H709)</f>
        <v>0.18585000000000212</v>
      </c>
      <c r="J714" s="52"/>
      <c r="K714" s="52"/>
      <c r="L714" s="52"/>
      <c r="M714" s="47"/>
      <c r="N714" s="77">
        <f>SUM(B714:M714)</f>
        <v>1.3201499999999995</v>
      </c>
      <c r="O714" s="18"/>
    </row>
    <row r="715" spans="1:15" ht="18" customHeight="1">
      <c r="A715" s="2"/>
      <c r="B715" s="2"/>
      <c r="C715" s="30"/>
      <c r="D715" s="30"/>
      <c r="E715" s="4"/>
      <c r="F715" s="4"/>
      <c r="G715" s="4"/>
      <c r="H715" s="4"/>
      <c r="I715" s="4"/>
      <c r="J715" s="179" t="s">
        <v>6</v>
      </c>
      <c r="K715" s="179"/>
      <c r="L715" s="179"/>
      <c r="M715" s="179"/>
      <c r="N715" s="101">
        <f>N714</f>
        <v>1.3201499999999995</v>
      </c>
      <c r="O715" s="18"/>
    </row>
    <row r="716" spans="1:15" ht="18" customHeight="1">
      <c r="A716" s="24"/>
      <c r="B716" s="78"/>
      <c r="C716" s="18"/>
      <c r="D716" s="18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</row>
    <row r="717" spans="1:15" ht="14.1" customHeight="1">
      <c r="A717" s="2"/>
      <c r="B717" s="2"/>
      <c r="C717" s="30"/>
      <c r="D717" s="30"/>
      <c r="E717" s="21"/>
      <c r="F717" s="21"/>
      <c r="G717" s="21"/>
      <c r="H717" s="21"/>
      <c r="I717" s="21"/>
      <c r="J717" s="30"/>
      <c r="K717" s="30"/>
      <c r="L717" s="30"/>
      <c r="M717" s="30"/>
      <c r="N717" s="30"/>
    </row>
    <row r="718" spans="1:15" ht="14.1" customHeight="1">
      <c r="A718" s="6"/>
      <c r="B718" s="6"/>
      <c r="C718" s="7"/>
      <c r="D718" s="7"/>
      <c r="E718" s="7"/>
      <c r="F718" s="7"/>
      <c r="G718" s="7"/>
      <c r="H718" s="7"/>
      <c r="I718" s="7"/>
      <c r="K718" s="7"/>
      <c r="L718" s="7"/>
      <c r="M718" s="7"/>
      <c r="N718" s="7"/>
    </row>
    <row r="719" spans="1:15" ht="14.1" customHeight="1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</row>
    <row r="720" spans="1:15" ht="14.1" customHeight="1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</row>
    <row r="721" spans="1:14" ht="14.1" customHeight="1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</row>
    <row r="722" spans="1:14" ht="14.1" customHeight="1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</row>
    <row r="723" spans="1:14" ht="14.1" customHeight="1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</row>
    <row r="724" spans="1:14" ht="14.1" customHeight="1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</row>
    <row r="725" spans="1:14" ht="14.1" customHeight="1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</row>
    <row r="726" spans="1:14" ht="14.1" customHeight="1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</row>
    <row r="727" spans="1:14" ht="14.1" customHeight="1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</row>
    <row r="728" spans="1:14" ht="14.1" customHeight="1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</row>
    <row r="729" spans="1:14" ht="14.1" customHeight="1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</row>
    <row r="730" spans="1:14" ht="14.1" customHeight="1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</row>
    <row r="731" spans="1:14" ht="14.1" customHeight="1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</row>
    <row r="732" spans="1:14" ht="14.1" customHeight="1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</row>
    <row r="733" spans="1:14" ht="14.1" customHeight="1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</row>
    <row r="734" spans="1:14" ht="14.1" customHeight="1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</row>
    <row r="735" spans="1:14" ht="14.1" customHeight="1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</row>
    <row r="736" spans="1:14" ht="14.1" customHeight="1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</row>
    <row r="737" spans="1:15" ht="14.1" customHeight="1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</row>
    <row r="738" spans="1:15" ht="14.1" customHeight="1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</row>
    <row r="739" spans="1:15" ht="14.1" customHeight="1">
      <c r="A739" s="6"/>
      <c r="B739" s="6"/>
      <c r="C739" s="7"/>
      <c r="D739" s="7"/>
      <c r="E739" s="7"/>
      <c r="F739" s="7"/>
      <c r="G739" s="7"/>
      <c r="H739" s="7"/>
      <c r="I739" s="7"/>
      <c r="J739" s="36"/>
      <c r="K739" s="7"/>
      <c r="L739" s="7"/>
      <c r="M739" s="7"/>
      <c r="N739" s="7"/>
    </row>
    <row r="740" spans="1:15" ht="14.1" customHeight="1">
      <c r="A740" s="6"/>
      <c r="B740" s="6"/>
      <c r="C740" s="7"/>
      <c r="D740" s="7"/>
      <c r="E740" s="7"/>
      <c r="F740" s="7"/>
      <c r="G740" s="7"/>
      <c r="H740" s="7"/>
      <c r="I740" s="7"/>
      <c r="J740" s="30"/>
      <c r="K740" s="7"/>
      <c r="L740" s="7"/>
      <c r="M740" s="7"/>
      <c r="N740" s="7"/>
    </row>
    <row r="741" spans="1:15" ht="14.1" customHeight="1">
      <c r="A741" s="6"/>
      <c r="B741" s="6"/>
      <c r="C741" s="7"/>
      <c r="D741" s="7"/>
      <c r="E741" s="7"/>
      <c r="F741" s="7"/>
      <c r="G741" s="7"/>
      <c r="H741" s="7"/>
      <c r="I741" s="7"/>
      <c r="J741" s="30"/>
      <c r="K741" s="7"/>
      <c r="L741" s="7"/>
      <c r="M741" s="7"/>
      <c r="N741" s="7"/>
    </row>
    <row r="742" spans="1:15" ht="14.1" customHeight="1">
      <c r="A742" s="6"/>
      <c r="B742" s="6"/>
      <c r="C742" s="7"/>
      <c r="D742" s="7"/>
      <c r="E742" s="7"/>
      <c r="F742" s="7"/>
      <c r="G742" s="7"/>
      <c r="H742" s="7"/>
      <c r="I742" s="7"/>
      <c r="J742" s="30"/>
      <c r="K742" s="7"/>
      <c r="L742" s="7"/>
      <c r="M742" s="7"/>
      <c r="N742" s="7"/>
    </row>
    <row r="743" spans="1:15" ht="14.1" customHeight="1">
      <c r="A743" s="6"/>
      <c r="B743" s="6"/>
      <c r="C743" s="7"/>
      <c r="D743" s="7"/>
      <c r="E743" s="7"/>
      <c r="F743" s="7"/>
      <c r="G743" s="7"/>
      <c r="H743" s="7"/>
      <c r="I743" s="7"/>
      <c r="J743" s="30"/>
      <c r="K743" s="7"/>
      <c r="L743" s="7"/>
      <c r="M743" s="7"/>
      <c r="N743" s="7"/>
    </row>
    <row r="744" spans="1:15" ht="14.1" customHeight="1">
      <c r="A744" s="6"/>
      <c r="B744" s="6"/>
      <c r="C744" s="7"/>
      <c r="D744" s="7"/>
      <c r="E744" s="7"/>
      <c r="F744" s="7"/>
      <c r="G744" s="7"/>
      <c r="H744" s="7"/>
      <c r="I744" s="7"/>
      <c r="J744" s="30"/>
      <c r="K744" s="7"/>
      <c r="L744" s="7"/>
      <c r="M744" s="7"/>
      <c r="N744" s="7"/>
    </row>
    <row r="745" spans="1:15" ht="14.1" customHeight="1">
      <c r="A745" s="6"/>
      <c r="B745" s="6"/>
      <c r="C745" s="7"/>
      <c r="D745" s="7"/>
      <c r="E745" s="7"/>
      <c r="F745" s="7"/>
      <c r="G745" s="7"/>
      <c r="H745" s="7"/>
      <c r="I745" s="7"/>
      <c r="J745" s="30"/>
      <c r="K745" s="7"/>
      <c r="L745" s="7"/>
      <c r="M745" s="7"/>
      <c r="N745" s="7"/>
    </row>
    <row r="746" spans="1:15" ht="14.1" customHeight="1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</row>
    <row r="747" spans="1:15" ht="14.1" customHeight="1"/>
    <row r="748" spans="1:15" ht="14.1" customHeight="1"/>
    <row r="749" spans="1:15" ht="18" customHeight="1">
      <c r="A749" s="184" t="s">
        <v>0</v>
      </c>
      <c r="B749" s="185"/>
      <c r="C749" s="185"/>
      <c r="D749" s="185"/>
      <c r="E749" s="185"/>
      <c r="F749" s="185"/>
      <c r="G749" s="20">
        <v>3180</v>
      </c>
      <c r="H749" s="1" t="s">
        <v>15</v>
      </c>
      <c r="I749" s="1"/>
      <c r="J749" s="33"/>
      <c r="K749" s="1"/>
      <c r="L749" s="1"/>
      <c r="M749" s="1"/>
      <c r="N749" s="1"/>
    </row>
    <row r="750" spans="1:15" ht="18" customHeight="1">
      <c r="A750" s="42" t="s">
        <v>1</v>
      </c>
      <c r="B750" s="82"/>
      <c r="C750" s="83">
        <v>0</v>
      </c>
      <c r="D750" s="84">
        <v>0.6</v>
      </c>
      <c r="E750" s="84">
        <v>0.7</v>
      </c>
      <c r="F750" s="85">
        <v>1.7</v>
      </c>
      <c r="G750" s="85">
        <v>2.7</v>
      </c>
      <c r="H750" s="84">
        <v>2.8</v>
      </c>
      <c r="I750" s="52">
        <v>3.6</v>
      </c>
      <c r="J750" s="52"/>
      <c r="K750" s="84"/>
      <c r="L750" s="86"/>
      <c r="M750" s="45"/>
      <c r="N750" s="47"/>
      <c r="O750" s="22"/>
    </row>
    <row r="751" spans="1:15" ht="18" customHeight="1">
      <c r="A751" s="42" t="s">
        <v>2</v>
      </c>
      <c r="B751" s="82"/>
      <c r="C751" s="83">
        <v>97.66</v>
      </c>
      <c r="D751" s="84">
        <v>96.54</v>
      </c>
      <c r="E751" s="84">
        <v>96.54</v>
      </c>
      <c r="F751" s="84">
        <v>96.54</v>
      </c>
      <c r="G751" s="84">
        <v>96.54</v>
      </c>
      <c r="H751" s="84">
        <v>96.54</v>
      </c>
      <c r="I751" s="84">
        <v>97.84</v>
      </c>
      <c r="J751" s="84"/>
      <c r="K751" s="84"/>
      <c r="L751" s="86"/>
      <c r="M751" s="45"/>
      <c r="N751" s="47"/>
      <c r="O751" s="21"/>
    </row>
    <row r="752" spans="1:15" ht="18" customHeight="1">
      <c r="A752" s="42" t="s">
        <v>1</v>
      </c>
      <c r="B752" s="82"/>
      <c r="C752" s="83">
        <v>0</v>
      </c>
      <c r="D752" s="84">
        <v>0.6</v>
      </c>
      <c r="E752" s="84">
        <v>0.7</v>
      </c>
      <c r="F752" s="85">
        <v>1.7</v>
      </c>
      <c r="G752" s="85">
        <v>2.7</v>
      </c>
      <c r="H752" s="84">
        <v>2.8</v>
      </c>
      <c r="I752" s="52">
        <v>3.6</v>
      </c>
      <c r="J752" s="52"/>
      <c r="K752" s="84"/>
      <c r="L752" s="86"/>
      <c r="M752" s="45"/>
      <c r="N752" s="47"/>
      <c r="O752" s="22"/>
    </row>
    <row r="753" spans="1:15" ht="18" customHeight="1">
      <c r="A753" s="42" t="s">
        <v>3</v>
      </c>
      <c r="B753" s="87"/>
      <c r="C753" s="83">
        <v>97.66</v>
      </c>
      <c r="D753" s="84">
        <v>97.06</v>
      </c>
      <c r="E753" s="84">
        <v>96.96</v>
      </c>
      <c r="F753" s="84">
        <v>96.96</v>
      </c>
      <c r="G753" s="84">
        <v>96.96</v>
      </c>
      <c r="H753" s="84">
        <v>97.058000000000007</v>
      </c>
      <c r="I753" s="84">
        <v>97.84</v>
      </c>
      <c r="J753" s="84"/>
      <c r="K753" s="84"/>
      <c r="L753" s="86"/>
      <c r="M753" s="45"/>
      <c r="N753" s="52"/>
      <c r="O753" s="23"/>
    </row>
    <row r="754" spans="1:15" ht="18" customHeight="1">
      <c r="A754" s="42" t="s">
        <v>18</v>
      </c>
      <c r="B754" s="87"/>
      <c r="C754" s="52">
        <f t="shared" ref="C754" si="138">C751-C753</f>
        <v>0</v>
      </c>
      <c r="D754" s="52">
        <f>D753-D751</f>
        <v>0.51999999999999602</v>
      </c>
      <c r="E754" s="52">
        <f t="shared" ref="E754:I754" si="139">E753-E751</f>
        <v>0.41999999999998749</v>
      </c>
      <c r="F754" s="52">
        <f t="shared" si="139"/>
        <v>0.41999999999998749</v>
      </c>
      <c r="G754" s="52">
        <f t="shared" si="139"/>
        <v>0.41999999999998749</v>
      </c>
      <c r="H754" s="52">
        <f t="shared" si="139"/>
        <v>0.51800000000000068</v>
      </c>
      <c r="I754" s="52">
        <f t="shared" si="139"/>
        <v>0</v>
      </c>
      <c r="J754" s="52"/>
      <c r="K754" s="52"/>
      <c r="L754" s="52"/>
      <c r="M754" s="47"/>
      <c r="N754" s="47"/>
      <c r="O754" s="21"/>
    </row>
    <row r="755" spans="1:15" ht="18" customHeight="1">
      <c r="A755" s="42" t="s">
        <v>5</v>
      </c>
      <c r="B755" s="87"/>
      <c r="C755" s="52">
        <f t="shared" ref="C755" si="140">(C754+B754)/2*(C750-B750)</f>
        <v>0</v>
      </c>
      <c r="D755" s="52">
        <f>(D754+C754)/2*(D750-C750)</f>
        <v>0.15599999999999881</v>
      </c>
      <c r="E755" s="52">
        <f t="shared" ref="E755" si="141">(E754+D754)/2*(E750-D750)</f>
        <v>4.6999999999999167E-2</v>
      </c>
      <c r="F755" s="52">
        <f t="shared" ref="F755" si="142">(F754+E754)/2*(F750-E750)</f>
        <v>0.41999999999998749</v>
      </c>
      <c r="G755" s="52">
        <f t="shared" ref="G755" si="143">(G754+F754)/2*(G750-F750)</f>
        <v>0.41999999999998761</v>
      </c>
      <c r="H755" s="52">
        <f t="shared" ref="H755" si="144">(H754+G754)/2*(H750-G750)</f>
        <v>4.6899999999999241E-2</v>
      </c>
      <c r="I755" s="52">
        <f t="shared" ref="I755" si="145">(I754+H754)/2*(I750-H750)</f>
        <v>0.20720000000000033</v>
      </c>
      <c r="J755" s="52"/>
      <c r="K755" s="52"/>
      <c r="L755" s="52"/>
      <c r="M755" s="47"/>
      <c r="N755" s="77">
        <f>SUM(B755:M755)</f>
        <v>1.2970999999999726</v>
      </c>
      <c r="O755" s="21"/>
    </row>
    <row r="756" spans="1:15" ht="18" customHeight="1">
      <c r="A756" s="2"/>
      <c r="B756" s="2"/>
      <c r="C756" s="30"/>
      <c r="D756" s="30"/>
      <c r="E756" s="4"/>
      <c r="F756" s="4"/>
      <c r="G756" s="4"/>
      <c r="H756" s="4"/>
      <c r="I756" s="4"/>
      <c r="J756" s="179" t="s">
        <v>6</v>
      </c>
      <c r="K756" s="179"/>
      <c r="L756" s="179"/>
      <c r="M756" s="179"/>
      <c r="N756" s="101">
        <f>N755</f>
        <v>1.2970999999999726</v>
      </c>
      <c r="O756" s="21"/>
    </row>
    <row r="757" spans="1:15" ht="18" customHeight="1">
      <c r="A757" s="24"/>
      <c r="B757" s="78"/>
      <c r="C757" s="18"/>
      <c r="D757" s="18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</row>
    <row r="758" spans="1:15" ht="14.1" customHeight="1">
      <c r="A758" s="2"/>
      <c r="B758" s="2"/>
      <c r="C758" s="30"/>
      <c r="D758" s="30"/>
      <c r="E758" s="21"/>
      <c r="F758" s="21"/>
      <c r="G758" s="21"/>
      <c r="H758" s="21"/>
      <c r="I758" s="21"/>
      <c r="J758" s="30"/>
      <c r="K758" s="30"/>
      <c r="L758" s="30"/>
      <c r="M758" s="30"/>
      <c r="N758" s="30"/>
    </row>
    <row r="759" spans="1:15" ht="14.1" customHeight="1">
      <c r="A759" s="6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</row>
    <row r="760" spans="1:15" ht="14.1" customHeight="1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</row>
    <row r="761" spans="1:15" ht="14.1" customHeight="1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</row>
    <row r="762" spans="1:15" ht="14.1" customHeight="1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</row>
    <row r="763" spans="1:15" ht="14.1" customHeight="1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</row>
    <row r="764" spans="1:15" ht="14.1" customHeight="1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</row>
    <row r="765" spans="1:15" ht="14.1" customHeight="1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</row>
    <row r="766" spans="1:15" ht="14.1" customHeight="1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</row>
    <row r="767" spans="1:15" ht="14.1" customHeight="1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</row>
    <row r="768" spans="1:15" ht="14.1" customHeight="1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</row>
    <row r="769" spans="1:14" ht="14.1" customHeight="1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</row>
    <row r="770" spans="1:14" ht="14.1" customHeight="1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</row>
    <row r="771" spans="1:14" ht="14.1" customHeight="1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</row>
    <row r="772" spans="1:14" ht="14.1" customHeight="1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</row>
    <row r="773" spans="1:14" ht="14.1" customHeight="1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</row>
    <row r="774" spans="1:14" ht="14.1" customHeight="1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</row>
    <row r="775" spans="1:14" ht="14.1" customHeight="1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</row>
    <row r="776" spans="1:14" ht="14.1" customHeight="1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</row>
    <row r="777" spans="1:14" ht="14.1" customHeight="1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</row>
    <row r="778" spans="1:14" ht="14.1" customHeight="1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</row>
    <row r="779" spans="1:14" ht="14.1" customHeight="1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</row>
    <row r="780" spans="1:14" ht="14.1" customHeight="1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</row>
    <row r="781" spans="1:14" ht="14.1" customHeight="1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</row>
    <row r="782" spans="1:14" ht="14.1" customHeight="1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</row>
    <row r="783" spans="1:14" ht="14.1" customHeight="1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</row>
    <row r="784" spans="1:14" ht="14.1" customHeight="1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</row>
    <row r="785" spans="1:16" ht="14.1" customHeight="1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</row>
    <row r="786" spans="1:16" ht="14.1" customHeight="1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</row>
    <row r="787" spans="1:16" ht="14.1" customHeight="1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</row>
    <row r="788" spans="1:16" ht="14.1" customHeight="1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</row>
    <row r="789" spans="1:16" ht="14.1" customHeight="1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</row>
    <row r="790" spans="1:16" ht="14.1" customHeight="1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</row>
    <row r="791" spans="1:16" ht="14.1" customHeight="1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</row>
    <row r="792" spans="1:16" ht="14.1" customHeight="1">
      <c r="A792" s="6"/>
      <c r="B792" s="181"/>
      <c r="C792" s="181"/>
      <c r="D792" s="181"/>
      <c r="E792" s="25"/>
      <c r="F792" s="25"/>
      <c r="G792" s="167"/>
      <c r="H792" s="167"/>
      <c r="I792" s="167"/>
      <c r="J792" s="7"/>
      <c r="K792" s="182"/>
      <c r="L792" s="182"/>
      <c r="M792" s="7"/>
      <c r="N792" s="7"/>
    </row>
    <row r="793" spans="1:16" ht="14.1" customHeight="1">
      <c r="A793" s="6"/>
      <c r="B793" s="170"/>
      <c r="C793" s="170"/>
      <c r="D793" s="170"/>
      <c r="E793" s="26"/>
      <c r="F793" s="26"/>
      <c r="G793" s="170"/>
      <c r="H793" s="170"/>
      <c r="I793" s="170"/>
      <c r="J793" s="25"/>
      <c r="K793" s="171"/>
      <c r="L793" s="171"/>
      <c r="M793" s="7"/>
      <c r="N793" s="7"/>
    </row>
    <row r="794" spans="1:16" ht="14.1" customHeight="1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</row>
    <row r="795" spans="1:16" ht="14.1" customHeight="1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</row>
    <row r="796" spans="1:16" ht="14.1" customHeight="1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</row>
    <row r="797" spans="1:16" ht="18.75" customHeight="1">
      <c r="A797" s="184" t="s">
        <v>0</v>
      </c>
      <c r="B797" s="185"/>
      <c r="C797" s="185"/>
      <c r="D797" s="185"/>
      <c r="E797" s="185"/>
      <c r="F797" s="185"/>
      <c r="G797" s="20">
        <v>3240</v>
      </c>
      <c r="H797" s="1" t="s">
        <v>15</v>
      </c>
      <c r="I797" s="1"/>
      <c r="J797" s="32"/>
      <c r="K797" s="1"/>
      <c r="L797" s="1"/>
      <c r="M797" s="1"/>
      <c r="N797" s="1"/>
    </row>
    <row r="798" spans="1:16" ht="18.75" customHeight="1">
      <c r="A798" s="42" t="s">
        <v>1</v>
      </c>
      <c r="B798" s="82"/>
      <c r="C798" s="83">
        <v>0</v>
      </c>
      <c r="D798" s="84">
        <v>0.6</v>
      </c>
      <c r="E798" s="84">
        <v>0.7</v>
      </c>
      <c r="F798" s="85">
        <v>1.7</v>
      </c>
      <c r="G798" s="85">
        <v>2.7</v>
      </c>
      <c r="H798" s="84">
        <v>2.8</v>
      </c>
      <c r="I798" s="52">
        <v>3.5</v>
      </c>
      <c r="J798" s="52"/>
      <c r="K798" s="84"/>
      <c r="L798" s="86"/>
      <c r="M798" s="45"/>
      <c r="N798" s="47"/>
      <c r="O798" s="22"/>
      <c r="P798" s="22"/>
    </row>
    <row r="799" spans="1:16" ht="18.75" customHeight="1">
      <c r="A799" s="42" t="s">
        <v>2</v>
      </c>
      <c r="B799" s="82"/>
      <c r="C799" s="83">
        <v>97.57</v>
      </c>
      <c r="D799" s="84">
        <v>96.54</v>
      </c>
      <c r="E799" s="84">
        <v>96.54</v>
      </c>
      <c r="F799" s="84">
        <v>96.54</v>
      </c>
      <c r="G799" s="84">
        <v>96.54</v>
      </c>
      <c r="H799" s="84">
        <v>96.54</v>
      </c>
      <c r="I799" s="84">
        <v>97.74</v>
      </c>
      <c r="J799" s="84"/>
      <c r="K799" s="84"/>
      <c r="L799" s="86"/>
      <c r="M799" s="45"/>
      <c r="N799" s="47"/>
      <c r="O799" s="21"/>
      <c r="P799" s="21"/>
    </row>
    <row r="800" spans="1:16" ht="18.75" customHeight="1">
      <c r="A800" s="42" t="s">
        <v>1</v>
      </c>
      <c r="B800" s="82"/>
      <c r="C800" s="83">
        <v>0</v>
      </c>
      <c r="D800" s="84">
        <v>0.6</v>
      </c>
      <c r="E800" s="84">
        <v>0.7</v>
      </c>
      <c r="F800" s="85">
        <v>1.7</v>
      </c>
      <c r="G800" s="85">
        <v>2.7</v>
      </c>
      <c r="H800" s="84">
        <v>2.8</v>
      </c>
      <c r="I800" s="52">
        <v>3.5</v>
      </c>
      <c r="J800" s="52"/>
      <c r="K800" s="84"/>
      <c r="L800" s="86"/>
      <c r="M800" s="45"/>
      <c r="N800" s="47"/>
      <c r="O800" s="22"/>
      <c r="P800" s="22"/>
    </row>
    <row r="801" spans="1:16" ht="18.75" customHeight="1">
      <c r="A801" s="42" t="s">
        <v>3</v>
      </c>
      <c r="B801" s="87"/>
      <c r="C801" s="83">
        <v>97.57</v>
      </c>
      <c r="D801" s="84">
        <v>97.063999999999993</v>
      </c>
      <c r="E801" s="84">
        <v>96.98</v>
      </c>
      <c r="F801" s="84">
        <v>96.98</v>
      </c>
      <c r="G801" s="84">
        <v>96.98</v>
      </c>
      <c r="H801" s="84">
        <v>97.075000000000003</v>
      </c>
      <c r="I801" s="84">
        <v>97.74</v>
      </c>
      <c r="J801" s="84"/>
      <c r="K801" s="84"/>
      <c r="L801" s="86"/>
      <c r="M801" s="45"/>
      <c r="N801" s="52"/>
      <c r="O801" s="23"/>
      <c r="P801" s="23"/>
    </row>
    <row r="802" spans="1:16" ht="18.75" customHeight="1">
      <c r="A802" s="42" t="s">
        <v>18</v>
      </c>
      <c r="B802" s="87"/>
      <c r="C802" s="52">
        <f t="shared" ref="C802" si="146">C799-C801</f>
        <v>0</v>
      </c>
      <c r="D802" s="52">
        <f>D801-D799</f>
        <v>0.5239999999999867</v>
      </c>
      <c r="E802" s="52">
        <f t="shared" ref="E802:I802" si="147">E801-E799</f>
        <v>0.43999999999999773</v>
      </c>
      <c r="F802" s="52">
        <f t="shared" si="147"/>
        <v>0.43999999999999773</v>
      </c>
      <c r="G802" s="52">
        <f t="shared" si="147"/>
        <v>0.43999999999999773</v>
      </c>
      <c r="H802" s="52">
        <f t="shared" si="147"/>
        <v>0.53499999999999659</v>
      </c>
      <c r="I802" s="52">
        <f t="shared" si="147"/>
        <v>0</v>
      </c>
      <c r="J802" s="52"/>
      <c r="K802" s="52"/>
      <c r="L802" s="52"/>
      <c r="M802" s="47"/>
      <c r="N802" s="47"/>
      <c r="O802" s="21"/>
      <c r="P802" s="21"/>
    </row>
    <row r="803" spans="1:16" ht="18.75" customHeight="1">
      <c r="A803" s="42" t="s">
        <v>5</v>
      </c>
      <c r="B803" s="87"/>
      <c r="C803" s="52">
        <f t="shared" ref="C803" si="148">(C802+B802)/2*(C798-B798)</f>
        <v>0</v>
      </c>
      <c r="D803" s="52">
        <f>(D802+C802)/2*(D798-C798)</f>
        <v>0.15719999999999601</v>
      </c>
      <c r="E803" s="52">
        <f t="shared" ref="E803" si="149">(E802+D802)/2*(E798-D798)</f>
        <v>4.8199999999999209E-2</v>
      </c>
      <c r="F803" s="52">
        <f t="shared" ref="F803" si="150">(F802+E802)/2*(F798-E798)</f>
        <v>0.43999999999999773</v>
      </c>
      <c r="G803" s="52">
        <f t="shared" ref="G803" si="151">(G802+F802)/2*(G798-F798)</f>
        <v>0.43999999999999784</v>
      </c>
      <c r="H803" s="52">
        <f t="shared" ref="H803" si="152">(H802+G802)/2*(H798-G798)</f>
        <v>4.8749999999999544E-2</v>
      </c>
      <c r="I803" s="52">
        <f t="shared" ref="I803" si="153">(I802+H802)/2*(I798-H798)</f>
        <v>0.18724999999999886</v>
      </c>
      <c r="J803" s="52"/>
      <c r="K803" s="52"/>
      <c r="L803" s="52"/>
      <c r="M803" s="47"/>
      <c r="N803" s="77">
        <f>SUM(B803:M803)</f>
        <v>1.3213999999999892</v>
      </c>
      <c r="O803" s="21"/>
      <c r="P803" s="21"/>
    </row>
    <row r="804" spans="1:16" ht="18.75" customHeight="1">
      <c r="A804" s="2"/>
      <c r="B804" s="2"/>
      <c r="C804" s="30"/>
      <c r="D804" s="30"/>
      <c r="E804" s="4"/>
      <c r="F804" s="4"/>
      <c r="G804" s="4"/>
      <c r="H804" s="4"/>
      <c r="I804" s="4"/>
      <c r="J804" s="179" t="s">
        <v>6</v>
      </c>
      <c r="K804" s="179"/>
      <c r="L804" s="179"/>
      <c r="M804" s="179"/>
      <c r="N804" s="101">
        <f>N803</f>
        <v>1.3213999999999892</v>
      </c>
      <c r="O804" s="21"/>
      <c r="P804" s="21"/>
    </row>
    <row r="805" spans="1:16" ht="18.75" customHeight="1">
      <c r="A805" s="24"/>
      <c r="B805" s="78"/>
      <c r="C805" s="18"/>
      <c r="D805" s="18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31"/>
      <c r="P805" s="21"/>
    </row>
    <row r="806" spans="1:16" ht="18.75" customHeight="1">
      <c r="A806" s="2"/>
      <c r="B806" s="2"/>
      <c r="C806" s="30"/>
      <c r="D806" s="30"/>
      <c r="E806" s="21"/>
      <c r="F806" s="21"/>
      <c r="G806" s="21"/>
      <c r="H806" s="21"/>
      <c r="I806" s="21"/>
      <c r="J806" s="30"/>
      <c r="K806" s="30"/>
      <c r="L806" s="30"/>
      <c r="M806" s="30"/>
      <c r="N806" s="30"/>
    </row>
    <row r="807" spans="1:16" ht="14.1" customHeight="1">
      <c r="A807" s="6"/>
      <c r="B807" s="6"/>
      <c r="C807" s="7"/>
      <c r="D807" s="7"/>
      <c r="E807" s="7"/>
      <c r="F807" s="7"/>
      <c r="G807" s="7"/>
      <c r="H807" s="7"/>
      <c r="I807" s="7"/>
      <c r="K807" s="7"/>
      <c r="L807" s="7"/>
      <c r="M807" s="7"/>
      <c r="N807" s="7"/>
    </row>
    <row r="808" spans="1:16" ht="14.1" customHeight="1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</row>
    <row r="809" spans="1:16" ht="14.1" customHeight="1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</row>
    <row r="810" spans="1:16" ht="14.1" customHeight="1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</row>
    <row r="811" spans="1:16" ht="14.1" customHeight="1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</row>
    <row r="812" spans="1:16" ht="14.1" customHeight="1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</row>
    <row r="813" spans="1:16" ht="14.1" customHeight="1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</row>
    <row r="814" spans="1:16" ht="14.1" customHeight="1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</row>
    <row r="815" spans="1:16" ht="14.1" customHeight="1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</row>
    <row r="816" spans="1:16" ht="14.1" customHeight="1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</row>
    <row r="817" spans="1:14" ht="14.1" customHeight="1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</row>
    <row r="818" spans="1:14" ht="14.1" customHeight="1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</row>
    <row r="819" spans="1:14" ht="14.1" customHeight="1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</row>
    <row r="820" spans="1:14" ht="14.1" customHeight="1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</row>
    <row r="821" spans="1:14" ht="14.1" customHeight="1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</row>
    <row r="822" spans="1:14" ht="14.1" customHeight="1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</row>
    <row r="823" spans="1:14" ht="14.1" customHeight="1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</row>
    <row r="824" spans="1:14" ht="14.1" customHeight="1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</row>
    <row r="825" spans="1:14" ht="14.1" customHeight="1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</row>
    <row r="826" spans="1:14" ht="14.1" customHeight="1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</row>
    <row r="827" spans="1:14" ht="14.1" customHeight="1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</row>
    <row r="828" spans="1:14" ht="14.1" customHeight="1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</row>
    <row r="829" spans="1:14" ht="14.1" customHeight="1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</row>
    <row r="830" spans="1:14" ht="14.1" customHeight="1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</row>
    <row r="831" spans="1:14" ht="14.1" customHeight="1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</row>
    <row r="832" spans="1:14" ht="18" customHeight="1">
      <c r="A832" s="184" t="s">
        <v>0</v>
      </c>
      <c r="B832" s="185"/>
      <c r="C832" s="185"/>
      <c r="D832" s="185"/>
      <c r="E832" s="185"/>
      <c r="F832" s="185"/>
      <c r="G832" s="20">
        <v>3300</v>
      </c>
      <c r="H832" s="1" t="s">
        <v>15</v>
      </c>
      <c r="I832" s="1"/>
      <c r="J832" s="32"/>
      <c r="K832" s="1"/>
      <c r="L832" s="1"/>
      <c r="M832" s="1"/>
      <c r="N832" s="1"/>
    </row>
    <row r="833" spans="1:16" ht="18" customHeight="1">
      <c r="A833" s="42" t="s">
        <v>1</v>
      </c>
      <c r="B833" s="82"/>
      <c r="C833" s="83">
        <v>0</v>
      </c>
      <c r="D833" s="84">
        <v>0.6</v>
      </c>
      <c r="E833" s="84">
        <v>0.7</v>
      </c>
      <c r="F833" s="85">
        <v>1.7</v>
      </c>
      <c r="G833" s="85">
        <v>2.7</v>
      </c>
      <c r="H833" s="84">
        <v>2.8</v>
      </c>
      <c r="I833" s="52">
        <v>3.6</v>
      </c>
      <c r="J833" s="52"/>
      <c r="K833" s="84"/>
      <c r="L833" s="86"/>
      <c r="M833" s="45"/>
      <c r="N833" s="47"/>
      <c r="O833" s="22"/>
      <c r="P833" s="22"/>
    </row>
    <row r="834" spans="1:16" ht="18" customHeight="1">
      <c r="A834" s="42" t="s">
        <v>2</v>
      </c>
      <c r="B834" s="82"/>
      <c r="C834" s="83">
        <v>97.71</v>
      </c>
      <c r="D834" s="84">
        <v>96.54</v>
      </c>
      <c r="E834" s="84">
        <v>96.54</v>
      </c>
      <c r="F834" s="84">
        <v>96.54</v>
      </c>
      <c r="G834" s="84">
        <v>96.54</v>
      </c>
      <c r="H834" s="84">
        <v>96.54</v>
      </c>
      <c r="I834" s="84">
        <v>97.91</v>
      </c>
      <c r="J834" s="84"/>
      <c r="K834" s="84"/>
      <c r="L834" s="86"/>
      <c r="M834" s="45"/>
      <c r="N834" s="47"/>
      <c r="O834" s="21"/>
      <c r="P834" s="21"/>
    </row>
    <row r="835" spans="1:16" ht="18" customHeight="1">
      <c r="A835" s="42" t="s">
        <v>1</v>
      </c>
      <c r="B835" s="82"/>
      <c r="C835" s="83">
        <v>0</v>
      </c>
      <c r="D835" s="84">
        <v>0.6</v>
      </c>
      <c r="E835" s="84">
        <v>0.7</v>
      </c>
      <c r="F835" s="85">
        <v>1.7</v>
      </c>
      <c r="G835" s="85">
        <v>2.7</v>
      </c>
      <c r="H835" s="84">
        <v>2.8</v>
      </c>
      <c r="I835" s="52">
        <v>3.6</v>
      </c>
      <c r="J835" s="52"/>
      <c r="K835" s="84"/>
      <c r="L835" s="86"/>
      <c r="M835" s="45"/>
      <c r="N835" s="47"/>
      <c r="O835" s="22"/>
      <c r="P835" s="22"/>
    </row>
    <row r="836" spans="1:16" ht="18" customHeight="1">
      <c r="A836" s="42" t="s">
        <v>3</v>
      </c>
      <c r="B836" s="87"/>
      <c r="C836" s="83">
        <v>97.71</v>
      </c>
      <c r="D836" s="84">
        <v>97.05</v>
      </c>
      <c r="E836" s="84">
        <v>96.94</v>
      </c>
      <c r="F836" s="84">
        <v>96.94</v>
      </c>
      <c r="G836" s="84">
        <v>96.94</v>
      </c>
      <c r="H836" s="84">
        <v>97.045000000000002</v>
      </c>
      <c r="I836" s="84">
        <v>97.91</v>
      </c>
      <c r="J836" s="84"/>
      <c r="K836" s="84"/>
      <c r="L836" s="86"/>
      <c r="M836" s="45"/>
      <c r="N836" s="52"/>
      <c r="O836" s="23"/>
      <c r="P836" s="23"/>
    </row>
    <row r="837" spans="1:16" ht="18" customHeight="1">
      <c r="A837" s="42" t="s">
        <v>18</v>
      </c>
      <c r="B837" s="87"/>
      <c r="C837" s="52">
        <f t="shared" ref="C837" si="154">C834-C836</f>
        <v>0</v>
      </c>
      <c r="D837" s="52">
        <f>D836-D834</f>
        <v>0.50999999999999091</v>
      </c>
      <c r="E837" s="52">
        <f t="shared" ref="E837:I837" si="155">E836-E834</f>
        <v>0.39999999999999147</v>
      </c>
      <c r="F837" s="52">
        <f t="shared" si="155"/>
        <v>0.39999999999999147</v>
      </c>
      <c r="G837" s="52">
        <f t="shared" si="155"/>
        <v>0.39999999999999147</v>
      </c>
      <c r="H837" s="52">
        <f t="shared" si="155"/>
        <v>0.50499999999999545</v>
      </c>
      <c r="I837" s="52">
        <f t="shared" si="155"/>
        <v>0</v>
      </c>
      <c r="J837" s="52"/>
      <c r="K837" s="52"/>
      <c r="L837" s="52"/>
      <c r="M837" s="47"/>
      <c r="N837" s="47"/>
      <c r="O837" s="21"/>
      <c r="P837" s="21"/>
    </row>
    <row r="838" spans="1:16" ht="18" customHeight="1">
      <c r="A838" s="42" t="s">
        <v>5</v>
      </c>
      <c r="B838" s="87"/>
      <c r="C838" s="52">
        <f t="shared" ref="C838" si="156">(C837+B837)/2*(C833-B833)</f>
        <v>0</v>
      </c>
      <c r="D838" s="52">
        <f>(D837+C837)/2*(D833-C833)</f>
        <v>0.15299999999999728</v>
      </c>
      <c r="E838" s="52">
        <f t="shared" ref="E838" si="157">(E837+D837)/2*(E833-D833)</f>
        <v>4.5499999999999111E-2</v>
      </c>
      <c r="F838" s="52">
        <f t="shared" ref="F838" si="158">(F837+E837)/2*(F833-E833)</f>
        <v>0.39999999999999147</v>
      </c>
      <c r="G838" s="52">
        <f t="shared" ref="G838" si="159">(G837+F837)/2*(G833-F833)</f>
        <v>0.39999999999999158</v>
      </c>
      <c r="H838" s="52">
        <f t="shared" ref="H838" si="160">(H837+G837)/2*(H833-G833)</f>
        <v>4.5249999999999187E-2</v>
      </c>
      <c r="I838" s="52">
        <f t="shared" ref="I838" si="161">(I837+H837)/2*(I833-H833)</f>
        <v>0.20199999999999824</v>
      </c>
      <c r="J838" s="52"/>
      <c r="K838" s="52"/>
      <c r="L838" s="52"/>
      <c r="M838" s="47"/>
      <c r="N838" s="77">
        <f>SUM(B838:M838)</f>
        <v>1.2457499999999768</v>
      </c>
      <c r="O838" s="21"/>
      <c r="P838" s="21"/>
    </row>
    <row r="839" spans="1:16" ht="18" customHeight="1">
      <c r="A839" s="2"/>
      <c r="B839" s="2"/>
      <c r="C839" s="30"/>
      <c r="D839" s="30"/>
      <c r="E839" s="4"/>
      <c r="F839" s="4"/>
      <c r="G839" s="4"/>
      <c r="H839" s="4"/>
      <c r="I839" s="4"/>
      <c r="J839" s="179" t="s">
        <v>6</v>
      </c>
      <c r="K839" s="179"/>
      <c r="L839" s="179"/>
      <c r="M839" s="179"/>
      <c r="N839" s="101">
        <f>N838</f>
        <v>1.2457499999999768</v>
      </c>
      <c r="O839" s="21"/>
      <c r="P839" s="21"/>
    </row>
    <row r="840" spans="1:16" ht="18" customHeight="1">
      <c r="A840" s="24"/>
      <c r="B840" s="78"/>
      <c r="C840" s="18"/>
      <c r="D840" s="18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31"/>
      <c r="P840" s="21"/>
    </row>
    <row r="841" spans="1:16" ht="14.1" customHeight="1">
      <c r="A841" s="2"/>
      <c r="B841" s="2"/>
      <c r="C841" s="30"/>
      <c r="D841" s="30"/>
      <c r="E841" s="21"/>
      <c r="F841" s="21"/>
      <c r="G841" s="21"/>
      <c r="H841" s="21"/>
      <c r="I841" s="21"/>
      <c r="J841" s="30"/>
      <c r="K841" s="30"/>
      <c r="L841" s="30"/>
      <c r="M841" s="30"/>
      <c r="N841" s="30"/>
    </row>
    <row r="842" spans="1:16" ht="14.1" customHeight="1">
      <c r="A842" s="2"/>
      <c r="B842" s="2"/>
      <c r="C842" s="30"/>
      <c r="D842" s="30"/>
      <c r="E842" s="4"/>
      <c r="F842" s="4"/>
      <c r="G842" s="4"/>
      <c r="H842" s="4"/>
      <c r="I842" s="4"/>
      <c r="J842" s="30"/>
      <c r="K842" s="30"/>
      <c r="L842" s="30"/>
      <c r="M842" s="30"/>
      <c r="N842" s="30"/>
    </row>
    <row r="843" spans="1:16" ht="14.1" customHeight="1">
      <c r="A843" s="2"/>
      <c r="B843" s="2"/>
      <c r="C843" s="30"/>
      <c r="D843" s="30"/>
      <c r="E843" s="4"/>
      <c r="F843" s="4"/>
      <c r="G843" s="4"/>
      <c r="H843" s="4"/>
      <c r="I843" s="4"/>
      <c r="J843" s="30"/>
      <c r="K843" s="30"/>
      <c r="L843" s="30"/>
      <c r="M843" s="30"/>
      <c r="N843" s="30"/>
    </row>
    <row r="844" spans="1:16" ht="14.1" customHeight="1">
      <c r="A844" s="6"/>
      <c r="B844" s="6"/>
      <c r="C844" s="7"/>
      <c r="D844" s="7"/>
      <c r="E844" s="7"/>
      <c r="F844" s="7"/>
      <c r="G844" s="7"/>
      <c r="H844" s="7"/>
      <c r="I844" s="7"/>
      <c r="K844" s="7"/>
      <c r="L844" s="7"/>
      <c r="M844" s="7"/>
      <c r="N844" s="7"/>
    </row>
    <row r="845" spans="1:16" ht="14.1" customHeight="1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</row>
    <row r="846" spans="1:16" ht="14.1" customHeight="1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</row>
    <row r="847" spans="1:16" ht="14.1" customHeight="1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</row>
    <row r="848" spans="1:16" ht="14.1" customHeight="1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</row>
    <row r="849" spans="1:14" ht="14.1" customHeight="1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</row>
    <row r="850" spans="1:14" ht="14.1" customHeight="1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</row>
    <row r="851" spans="1:14" ht="14.1" customHeight="1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</row>
    <row r="852" spans="1:14" ht="14.1" customHeight="1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</row>
    <row r="853" spans="1:14" ht="14.1" customHeight="1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</row>
    <row r="854" spans="1:14" ht="14.1" customHeight="1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</row>
    <row r="855" spans="1:14" ht="14.1" customHeight="1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</row>
    <row r="856" spans="1:14" ht="14.1" customHeight="1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</row>
    <row r="857" spans="1:14" ht="14.1" customHeight="1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</row>
    <row r="858" spans="1:14" ht="14.1" customHeight="1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</row>
    <row r="859" spans="1:14" ht="14.1" customHeight="1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</row>
    <row r="860" spans="1:14" ht="14.1" customHeight="1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</row>
    <row r="861" spans="1:14" ht="14.1" customHeight="1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</row>
    <row r="862" spans="1:14" ht="14.1" customHeight="1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</row>
    <row r="863" spans="1:14" ht="14.1" customHeight="1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</row>
    <row r="864" spans="1:14" ht="14.1" customHeight="1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</row>
    <row r="865" spans="1:14" ht="14.1" customHeight="1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</row>
    <row r="866" spans="1:14" ht="14.1" customHeight="1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</row>
    <row r="867" spans="1:14" ht="14.1" customHeight="1">
      <c r="A867" s="6"/>
      <c r="B867" s="181"/>
      <c r="C867" s="181"/>
      <c r="D867" s="181"/>
      <c r="E867" s="25"/>
      <c r="F867" s="25"/>
      <c r="G867" s="167"/>
      <c r="H867" s="167"/>
      <c r="I867" s="167"/>
      <c r="J867" s="7"/>
      <c r="K867" s="182"/>
      <c r="L867" s="182"/>
      <c r="M867" s="7"/>
      <c r="N867" s="7"/>
    </row>
    <row r="868" spans="1:14" ht="14.1" customHeight="1">
      <c r="A868" s="6"/>
      <c r="B868" s="170"/>
      <c r="C868" s="170"/>
      <c r="D868" s="170"/>
      <c r="E868" s="26"/>
      <c r="F868" s="26"/>
      <c r="G868" s="170"/>
      <c r="H868" s="170"/>
      <c r="I868" s="170"/>
      <c r="J868" s="25"/>
      <c r="K868" s="171"/>
      <c r="L868" s="171"/>
      <c r="M868" s="7"/>
      <c r="N868" s="7"/>
    </row>
    <row r="869" spans="1:14" ht="14.1" customHeight="1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</row>
    <row r="870" spans="1:14" ht="14.1" customHeight="1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</row>
    <row r="871" spans="1:14" ht="14.1" customHeight="1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</row>
    <row r="872" spans="1:14" ht="14.1" customHeight="1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</row>
    <row r="873" spans="1:14" ht="14.1" customHeight="1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</row>
    <row r="874" spans="1:14" ht="14.1" customHeight="1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</row>
    <row r="875" spans="1:14" ht="14.1" customHeight="1">
      <c r="A875" s="6"/>
      <c r="B875" s="181"/>
      <c r="C875" s="181"/>
      <c r="D875" s="181"/>
      <c r="E875" s="25"/>
      <c r="F875" s="25"/>
      <c r="G875" s="167"/>
      <c r="H875" s="167"/>
      <c r="I875" s="167"/>
      <c r="J875" s="7"/>
      <c r="K875" s="182"/>
      <c r="L875" s="182"/>
      <c r="M875" s="7"/>
      <c r="N875" s="7"/>
    </row>
    <row r="876" spans="1:14" ht="14.1" customHeight="1">
      <c r="A876" s="6"/>
      <c r="B876" s="170"/>
      <c r="C876" s="170"/>
      <c r="D876" s="170"/>
      <c r="E876" s="26"/>
      <c r="F876" s="26"/>
      <c r="G876" s="170"/>
      <c r="H876" s="170"/>
      <c r="I876" s="170"/>
      <c r="J876" s="25"/>
      <c r="K876" s="171"/>
      <c r="L876" s="171"/>
      <c r="M876" s="7"/>
      <c r="N876" s="7"/>
    </row>
    <row r="877" spans="1:14" ht="14.1" customHeight="1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</row>
    <row r="878" spans="1:14" ht="14.1" customHeight="1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</row>
    <row r="879" spans="1:14" ht="18" customHeight="1">
      <c r="A879" s="184" t="s">
        <v>0</v>
      </c>
      <c r="B879" s="185"/>
      <c r="C879" s="185"/>
      <c r="D879" s="185"/>
      <c r="E879" s="185"/>
      <c r="F879" s="185"/>
      <c r="G879" s="20">
        <v>3360</v>
      </c>
      <c r="H879" s="1" t="s">
        <v>15</v>
      </c>
      <c r="I879" s="1"/>
      <c r="J879" s="32"/>
      <c r="K879" s="1"/>
      <c r="L879" s="1"/>
      <c r="M879" s="1"/>
      <c r="N879" s="1"/>
    </row>
    <row r="880" spans="1:14" ht="18" customHeight="1">
      <c r="A880" s="42" t="s">
        <v>1</v>
      </c>
      <c r="B880" s="82"/>
      <c r="C880" s="83">
        <v>0</v>
      </c>
      <c r="D880" s="84">
        <v>0.6</v>
      </c>
      <c r="E880" s="84">
        <v>0.7</v>
      </c>
      <c r="F880" s="85">
        <v>1.7</v>
      </c>
      <c r="G880" s="85">
        <v>2.7</v>
      </c>
      <c r="H880" s="84">
        <v>2.8</v>
      </c>
      <c r="I880" s="52">
        <v>3.5</v>
      </c>
      <c r="J880" s="52"/>
      <c r="K880" s="84"/>
      <c r="L880" s="86"/>
      <c r="M880" s="45"/>
      <c r="N880" s="47"/>
    </row>
    <row r="881" spans="1:14" ht="18" customHeight="1">
      <c r="A881" s="42" t="s">
        <v>2</v>
      </c>
      <c r="B881" s="82"/>
      <c r="C881" s="83">
        <v>97.62</v>
      </c>
      <c r="D881" s="84">
        <v>96.53</v>
      </c>
      <c r="E881" s="84">
        <v>96.53</v>
      </c>
      <c r="F881" s="84">
        <v>96.53</v>
      </c>
      <c r="G881" s="84">
        <v>96.53</v>
      </c>
      <c r="H881" s="84">
        <v>96.53</v>
      </c>
      <c r="I881" s="84">
        <v>97.77</v>
      </c>
      <c r="J881" s="84"/>
      <c r="K881" s="84"/>
      <c r="L881" s="86"/>
      <c r="M881" s="45"/>
      <c r="N881" s="47"/>
    </row>
    <row r="882" spans="1:14" ht="18" customHeight="1">
      <c r="A882" s="42" t="s">
        <v>1</v>
      </c>
      <c r="B882" s="82"/>
      <c r="C882" s="83">
        <v>0</v>
      </c>
      <c r="D882" s="84">
        <v>0.6</v>
      </c>
      <c r="E882" s="84">
        <v>0.7</v>
      </c>
      <c r="F882" s="85">
        <v>1.7</v>
      </c>
      <c r="G882" s="85">
        <v>2.7</v>
      </c>
      <c r="H882" s="84">
        <v>2.8</v>
      </c>
      <c r="I882" s="52">
        <v>3.5</v>
      </c>
      <c r="J882" s="52"/>
      <c r="K882" s="84"/>
      <c r="L882" s="86"/>
      <c r="M882" s="45"/>
      <c r="N882" s="47"/>
    </row>
    <row r="883" spans="1:14" ht="18" customHeight="1">
      <c r="A883" s="42" t="s">
        <v>3</v>
      </c>
      <c r="B883" s="87"/>
      <c r="C883" s="83">
        <v>97.62</v>
      </c>
      <c r="D883" s="84">
        <v>97.046000000000006</v>
      </c>
      <c r="E883" s="84">
        <v>96.95</v>
      </c>
      <c r="F883" s="84">
        <v>96.95</v>
      </c>
      <c r="G883" s="84">
        <v>96.95</v>
      </c>
      <c r="H883" s="84">
        <v>97.052999999999997</v>
      </c>
      <c r="I883" s="84">
        <v>97.77</v>
      </c>
      <c r="J883" s="84"/>
      <c r="K883" s="84"/>
      <c r="L883" s="86"/>
      <c r="M883" s="45"/>
      <c r="N883" s="52"/>
    </row>
    <row r="884" spans="1:14" ht="18" customHeight="1">
      <c r="A884" s="42" t="s">
        <v>18</v>
      </c>
      <c r="B884" s="87"/>
      <c r="C884" s="52">
        <f t="shared" ref="C884" si="162">C881-C883</f>
        <v>0</v>
      </c>
      <c r="D884" s="52">
        <f>D883-D881</f>
        <v>0.51600000000000534</v>
      </c>
      <c r="E884" s="52">
        <f t="shared" ref="E884:I884" si="163">E883-E881</f>
        <v>0.42000000000000171</v>
      </c>
      <c r="F884" s="52">
        <f t="shared" si="163"/>
        <v>0.42000000000000171</v>
      </c>
      <c r="G884" s="52">
        <f t="shared" si="163"/>
        <v>0.42000000000000171</v>
      </c>
      <c r="H884" s="52">
        <f t="shared" si="163"/>
        <v>0.52299999999999613</v>
      </c>
      <c r="I884" s="52">
        <f t="shared" si="163"/>
        <v>0</v>
      </c>
      <c r="J884" s="52"/>
      <c r="K884" s="52"/>
      <c r="L884" s="52"/>
      <c r="M884" s="47"/>
      <c r="N884" s="47"/>
    </row>
    <row r="885" spans="1:14" ht="18" customHeight="1">
      <c r="A885" s="42" t="s">
        <v>5</v>
      </c>
      <c r="B885" s="87"/>
      <c r="C885" s="52">
        <f t="shared" ref="C885" si="164">(C884+B884)/2*(C880-B880)</f>
        <v>0</v>
      </c>
      <c r="D885" s="52">
        <f>(D884+C884)/2*(D880-C880)</f>
        <v>0.1548000000000016</v>
      </c>
      <c r="E885" s="52">
        <f t="shared" ref="E885" si="165">(E884+D884)/2*(E880-D880)</f>
        <v>4.6800000000000341E-2</v>
      </c>
      <c r="F885" s="52">
        <f t="shared" ref="F885" si="166">(F884+E884)/2*(F880-E880)</f>
        <v>0.42000000000000171</v>
      </c>
      <c r="G885" s="52">
        <f t="shared" ref="G885" si="167">(G884+F884)/2*(G880-F880)</f>
        <v>0.42000000000000182</v>
      </c>
      <c r="H885" s="52">
        <f t="shared" ref="H885" si="168">(H884+G884)/2*(H880-G880)</f>
        <v>4.7149999999999727E-2</v>
      </c>
      <c r="I885" s="52">
        <f t="shared" ref="I885" si="169">(I884+H884)/2*(I880-H880)</f>
        <v>0.18304999999999869</v>
      </c>
      <c r="J885" s="52"/>
      <c r="K885" s="52"/>
      <c r="L885" s="52"/>
      <c r="M885" s="47"/>
      <c r="N885" s="77">
        <f>SUM(B885:M885)</f>
        <v>1.271800000000004</v>
      </c>
    </row>
    <row r="886" spans="1:14" ht="18" customHeight="1">
      <c r="A886" s="2"/>
      <c r="B886" s="2"/>
      <c r="C886" s="30"/>
      <c r="D886" s="30"/>
      <c r="E886" s="4"/>
      <c r="F886" s="4"/>
      <c r="G886" s="4"/>
      <c r="H886" s="4"/>
      <c r="I886" s="4"/>
      <c r="J886" s="179" t="s">
        <v>6</v>
      </c>
      <c r="K886" s="179"/>
      <c r="L886" s="179"/>
      <c r="M886" s="179"/>
      <c r="N886" s="101">
        <f>N885</f>
        <v>1.271800000000004</v>
      </c>
    </row>
    <row r="887" spans="1:14" ht="18" customHeight="1">
      <c r="A887" s="24"/>
      <c r="B887" s="78"/>
      <c r="C887" s="18"/>
      <c r="D887" s="18"/>
      <c r="E887" s="21"/>
      <c r="F887" s="21"/>
      <c r="G887" s="21"/>
      <c r="H887" s="21"/>
      <c r="I887" s="21"/>
      <c r="J887" s="21"/>
      <c r="K887" s="21"/>
      <c r="L887" s="21"/>
      <c r="M887" s="21"/>
      <c r="N887" s="21"/>
    </row>
    <row r="888" spans="1:14" ht="14.1" customHeight="1">
      <c r="A888" s="2"/>
      <c r="B888" s="2"/>
      <c r="C888" s="30"/>
      <c r="D888" s="30"/>
      <c r="E888" s="21"/>
      <c r="F888" s="21"/>
      <c r="G888" s="21"/>
      <c r="H888" s="21"/>
      <c r="I888" s="21"/>
      <c r="J888" s="30"/>
      <c r="K888" s="30"/>
      <c r="L888" s="30"/>
      <c r="M888" s="30"/>
      <c r="N888" s="30"/>
    </row>
    <row r="889" spans="1:14" ht="14.1" customHeight="1">
      <c r="A889" s="6"/>
      <c r="B889" s="6"/>
      <c r="C889" s="7"/>
      <c r="D889" s="7"/>
      <c r="E889" s="7"/>
      <c r="F889" s="7"/>
      <c r="G889" s="7"/>
      <c r="H889" s="7"/>
      <c r="I889" s="7"/>
      <c r="K889" s="7"/>
      <c r="L889" s="7"/>
      <c r="M889" s="7"/>
      <c r="N889" s="7"/>
    </row>
    <row r="890" spans="1:14" ht="14.1" customHeight="1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</row>
    <row r="891" spans="1:14" ht="14.1" customHeight="1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</row>
    <row r="892" spans="1:14" ht="14.1" customHeight="1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</row>
    <row r="893" spans="1:14" ht="14.1" customHeight="1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</row>
    <row r="894" spans="1:14" ht="14.1" customHeight="1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</row>
    <row r="895" spans="1:14" ht="14.1" customHeight="1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</row>
    <row r="896" spans="1:14" ht="14.1" customHeight="1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</row>
    <row r="897" spans="1:14" ht="14.1" customHeight="1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</row>
    <row r="898" spans="1:14" ht="14.1" customHeight="1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</row>
    <row r="899" spans="1:14" ht="14.1" customHeight="1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</row>
    <row r="900" spans="1:14" ht="14.1" customHeight="1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</row>
    <row r="901" spans="1:14" ht="14.1" customHeight="1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</row>
    <row r="902" spans="1:14" ht="14.1" customHeight="1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</row>
    <row r="903" spans="1:14" ht="14.1" customHeight="1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</row>
    <row r="904" spans="1:14" ht="14.1" customHeight="1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</row>
    <row r="905" spans="1:14" ht="14.1" customHeight="1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</row>
    <row r="906" spans="1:14" ht="14.1" customHeight="1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</row>
    <row r="907" spans="1:14" ht="14.1" customHeight="1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</row>
    <row r="908" spans="1:14" ht="14.1" customHeight="1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</row>
    <row r="909" spans="1:14" ht="14.1" customHeight="1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</row>
    <row r="910" spans="1:14" ht="14.1" customHeight="1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</row>
    <row r="911" spans="1:14" ht="14.1" customHeight="1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</row>
    <row r="912" spans="1:14" ht="14.1" customHeight="1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</row>
    <row r="913" spans="1:16" ht="14.1" customHeight="1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</row>
    <row r="914" spans="1:16" ht="14.1" customHeight="1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</row>
    <row r="915" spans="1:16" ht="14.1" customHeight="1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</row>
    <row r="916" spans="1:16" ht="18.75" customHeight="1">
      <c r="A916" s="184" t="s">
        <v>0</v>
      </c>
      <c r="B916" s="185"/>
      <c r="C916" s="185"/>
      <c r="D916" s="185"/>
      <c r="E916" s="185"/>
      <c r="F916" s="185"/>
      <c r="G916" s="20">
        <v>3420</v>
      </c>
      <c r="H916" s="1" t="s">
        <v>15</v>
      </c>
      <c r="I916" s="1"/>
      <c r="J916" s="32"/>
      <c r="K916" s="1"/>
      <c r="L916" s="1"/>
      <c r="M916" s="1"/>
      <c r="N916" s="1"/>
    </row>
    <row r="917" spans="1:16" ht="18.75" customHeight="1">
      <c r="A917" s="42" t="s">
        <v>1</v>
      </c>
      <c r="B917" s="82"/>
      <c r="C917" s="83">
        <v>0</v>
      </c>
      <c r="D917" s="84">
        <v>0.6</v>
      </c>
      <c r="E917" s="84">
        <v>0.7</v>
      </c>
      <c r="F917" s="85">
        <v>1.7</v>
      </c>
      <c r="G917" s="85">
        <v>2.7</v>
      </c>
      <c r="H917" s="84">
        <v>2.8</v>
      </c>
      <c r="I917" s="52">
        <v>3.6</v>
      </c>
      <c r="J917" s="52"/>
      <c r="K917" s="84"/>
      <c r="L917" s="86"/>
      <c r="M917" s="45"/>
      <c r="N917" s="47"/>
      <c r="O917" s="22"/>
      <c r="P917" s="22"/>
    </row>
    <row r="918" spans="1:16" ht="18.75" customHeight="1">
      <c r="A918" s="42" t="s">
        <v>2</v>
      </c>
      <c r="B918" s="82"/>
      <c r="C918" s="83">
        <v>97.36</v>
      </c>
      <c r="D918" s="84">
        <v>96.42</v>
      </c>
      <c r="E918" s="84">
        <v>96.42</v>
      </c>
      <c r="F918" s="84">
        <v>96.42</v>
      </c>
      <c r="G918" s="84">
        <v>96.42</v>
      </c>
      <c r="H918" s="84">
        <v>96.42</v>
      </c>
      <c r="I918" s="84">
        <v>97.54</v>
      </c>
      <c r="J918" s="84"/>
      <c r="K918" s="84"/>
      <c r="L918" s="86"/>
      <c r="M918" s="45"/>
      <c r="N918" s="47"/>
      <c r="O918" s="21"/>
      <c r="P918" s="21"/>
    </row>
    <row r="919" spans="1:16" ht="18.75" customHeight="1">
      <c r="A919" s="42" t="s">
        <v>1</v>
      </c>
      <c r="B919" s="82"/>
      <c r="C919" s="83">
        <v>0</v>
      </c>
      <c r="D919" s="84">
        <v>0.6</v>
      </c>
      <c r="E919" s="84">
        <v>0.7</v>
      </c>
      <c r="F919" s="85">
        <v>1.7</v>
      </c>
      <c r="G919" s="85">
        <v>2.7</v>
      </c>
      <c r="H919" s="84">
        <v>2.8</v>
      </c>
      <c r="I919" s="52">
        <v>3.6</v>
      </c>
      <c r="J919" s="52"/>
      <c r="K919" s="84"/>
      <c r="L919" s="86"/>
      <c r="M919" s="45"/>
      <c r="N919" s="47"/>
      <c r="O919" s="22"/>
      <c r="P919" s="22"/>
    </row>
    <row r="920" spans="1:16" ht="18.75" customHeight="1">
      <c r="A920" s="42" t="s">
        <v>3</v>
      </c>
      <c r="B920" s="87"/>
      <c r="C920" s="83">
        <v>97.36</v>
      </c>
      <c r="D920" s="84">
        <v>96.9</v>
      </c>
      <c r="E920" s="84">
        <v>96.86</v>
      </c>
      <c r="F920" s="84">
        <v>96.86</v>
      </c>
      <c r="G920" s="84">
        <v>96.86</v>
      </c>
      <c r="H920" s="84">
        <v>96.936999999999998</v>
      </c>
      <c r="I920" s="84">
        <v>97.54</v>
      </c>
      <c r="J920" s="84"/>
      <c r="K920" s="84"/>
      <c r="L920" s="86"/>
      <c r="M920" s="45"/>
      <c r="N920" s="52"/>
      <c r="O920" s="23"/>
      <c r="P920" s="23"/>
    </row>
    <row r="921" spans="1:16" ht="18.75" customHeight="1">
      <c r="A921" s="42" t="s">
        <v>18</v>
      </c>
      <c r="B921" s="87"/>
      <c r="C921" s="52">
        <f t="shared" ref="C921" si="170">C918-C920</f>
        <v>0</v>
      </c>
      <c r="D921" s="52">
        <f>D920-D918</f>
        <v>0.48000000000000398</v>
      </c>
      <c r="E921" s="52">
        <f t="shared" ref="E921:I921" si="171">E920-E918</f>
        <v>0.43999999999999773</v>
      </c>
      <c r="F921" s="52">
        <f t="shared" si="171"/>
        <v>0.43999999999999773</v>
      </c>
      <c r="G921" s="52">
        <f t="shared" si="171"/>
        <v>0.43999999999999773</v>
      </c>
      <c r="H921" s="52">
        <f t="shared" si="171"/>
        <v>0.51699999999999591</v>
      </c>
      <c r="I921" s="52">
        <f t="shared" si="171"/>
        <v>0</v>
      </c>
      <c r="J921" s="52"/>
      <c r="K921" s="52"/>
      <c r="L921" s="52"/>
      <c r="M921" s="47"/>
      <c r="N921" s="47"/>
      <c r="O921" s="21"/>
      <c r="P921" s="21"/>
    </row>
    <row r="922" spans="1:16" ht="18.75" customHeight="1">
      <c r="A922" s="42" t="s">
        <v>5</v>
      </c>
      <c r="B922" s="87"/>
      <c r="C922" s="52">
        <f t="shared" ref="C922" si="172">(C921+B921)/2*(C917-B917)</f>
        <v>0</v>
      </c>
      <c r="D922" s="52">
        <f>(D921+C921)/2*(D917-C917)</f>
        <v>0.14400000000000118</v>
      </c>
      <c r="E922" s="52">
        <f t="shared" ref="E922" si="173">(E921+D921)/2*(E917-D917)</f>
        <v>4.6000000000000076E-2</v>
      </c>
      <c r="F922" s="52">
        <f t="shared" ref="F922" si="174">(F921+E921)/2*(F917-E917)</f>
        <v>0.43999999999999773</v>
      </c>
      <c r="G922" s="52">
        <f t="shared" ref="G922" si="175">(G921+F921)/2*(G917-F917)</f>
        <v>0.43999999999999784</v>
      </c>
      <c r="H922" s="52">
        <f t="shared" ref="H922" si="176">(H921+G921)/2*(H917-G917)</f>
        <v>4.7849999999999511E-2</v>
      </c>
      <c r="I922" s="52">
        <f t="shared" ref="I922" si="177">(I921+H921)/2*(I917-H917)</f>
        <v>0.20679999999999843</v>
      </c>
      <c r="J922" s="52"/>
      <c r="K922" s="52"/>
      <c r="L922" s="52"/>
      <c r="M922" s="47"/>
      <c r="N922" s="77">
        <f>SUM(B922:M922)</f>
        <v>1.3246499999999948</v>
      </c>
      <c r="O922" s="21"/>
      <c r="P922" s="21"/>
    </row>
    <row r="923" spans="1:16" ht="18.75" customHeight="1">
      <c r="A923" s="2"/>
      <c r="B923" s="2"/>
      <c r="C923" s="30"/>
      <c r="D923" s="30"/>
      <c r="E923" s="4"/>
      <c r="F923" s="4"/>
      <c r="G923" s="4"/>
      <c r="H923" s="4"/>
      <c r="I923" s="4"/>
      <c r="J923" s="179" t="s">
        <v>6</v>
      </c>
      <c r="K923" s="179"/>
      <c r="L923" s="179"/>
      <c r="M923" s="179"/>
      <c r="N923" s="101">
        <f>N922</f>
        <v>1.3246499999999948</v>
      </c>
      <c r="O923" s="21"/>
      <c r="P923" s="21"/>
    </row>
    <row r="924" spans="1:16" ht="18.75" customHeight="1">
      <c r="A924" s="24"/>
      <c r="B924" s="78"/>
      <c r="C924" s="18"/>
      <c r="D924" s="18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31"/>
      <c r="P924" s="21"/>
    </row>
    <row r="925" spans="1:16" ht="18.75" customHeight="1">
      <c r="A925" s="2"/>
      <c r="B925" s="2"/>
      <c r="C925" s="30"/>
      <c r="D925" s="30"/>
      <c r="E925" s="21"/>
      <c r="F925" s="21"/>
      <c r="G925" s="21"/>
      <c r="H925" s="21"/>
      <c r="I925" s="21"/>
      <c r="J925" s="30"/>
      <c r="K925" s="30"/>
      <c r="L925" s="30"/>
      <c r="M925" s="30"/>
      <c r="N925" s="30"/>
    </row>
    <row r="926" spans="1:16" ht="14.1" customHeight="1">
      <c r="A926" s="6"/>
      <c r="B926" s="6"/>
      <c r="C926" s="7"/>
      <c r="D926" s="7"/>
      <c r="E926" s="7"/>
      <c r="F926" s="7"/>
      <c r="G926" s="7"/>
      <c r="H926" s="7"/>
      <c r="I926" s="7"/>
      <c r="K926" s="7"/>
      <c r="L926" s="7"/>
      <c r="M926" s="7"/>
      <c r="N926" s="7"/>
    </row>
    <row r="927" spans="1:16" ht="14.1" customHeight="1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</row>
    <row r="928" spans="1:16" ht="14.1" customHeight="1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</row>
    <row r="929" spans="1:14" ht="14.1" customHeight="1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</row>
    <row r="930" spans="1:14" ht="14.1" customHeight="1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</row>
    <row r="931" spans="1:14" ht="14.1" customHeight="1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</row>
    <row r="932" spans="1:14" ht="14.1" customHeight="1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</row>
    <row r="933" spans="1:14" ht="14.1" customHeight="1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</row>
    <row r="934" spans="1:14" ht="14.1" customHeight="1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</row>
    <row r="935" spans="1:14" ht="14.1" customHeight="1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</row>
    <row r="936" spans="1:14" ht="14.1" customHeight="1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</row>
    <row r="937" spans="1:14" ht="14.1" customHeight="1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</row>
    <row r="938" spans="1:14" ht="14.1" customHeight="1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</row>
    <row r="939" spans="1:14" ht="14.1" customHeight="1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</row>
    <row r="940" spans="1:14" ht="14.1" customHeight="1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</row>
    <row r="941" spans="1:14" ht="14.1" customHeight="1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</row>
    <row r="942" spans="1:14" ht="14.1" customHeight="1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</row>
    <row r="943" spans="1:14" ht="14.1" customHeight="1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</row>
    <row r="944" spans="1:14" ht="14.1" customHeight="1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</row>
    <row r="945" spans="1:14" ht="14.1" customHeight="1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</row>
    <row r="946" spans="1:14" ht="14.1" customHeight="1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</row>
    <row r="947" spans="1:14" ht="14.1" customHeight="1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</row>
    <row r="948" spans="1:14" ht="14.1" customHeight="1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</row>
    <row r="949" spans="1:14" ht="14.1" customHeight="1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</row>
    <row r="950" spans="1:14" ht="14.1" customHeight="1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</row>
    <row r="951" spans="1:14" ht="14.1" customHeight="1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</row>
    <row r="952" spans="1:14" ht="14.1" customHeight="1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</row>
    <row r="953" spans="1:14" ht="14.1" customHeight="1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</row>
    <row r="954" spans="1:14" ht="14.1" customHeight="1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</row>
    <row r="955" spans="1:14" ht="14.1" customHeight="1">
      <c r="B955" s="181"/>
      <c r="C955" s="181"/>
      <c r="D955" s="181"/>
      <c r="E955" s="25"/>
      <c r="F955" s="25"/>
      <c r="G955" s="167"/>
      <c r="H955" s="167"/>
      <c r="I955" s="167"/>
      <c r="J955" s="7"/>
      <c r="K955" s="182"/>
      <c r="L955" s="182"/>
    </row>
    <row r="956" spans="1:14" ht="14.1" customHeight="1">
      <c r="B956" s="170"/>
      <c r="C956" s="170"/>
      <c r="D956" s="170"/>
      <c r="E956" s="26"/>
      <c r="F956" s="26"/>
      <c r="G956" s="170"/>
      <c r="H956" s="170"/>
      <c r="I956" s="170"/>
      <c r="J956" s="25"/>
      <c r="K956" s="171"/>
      <c r="L956" s="171"/>
    </row>
    <row r="957" spans="1:14" ht="14.1" customHeight="1">
      <c r="A957" s="6"/>
      <c r="B957" s="6"/>
      <c r="C957" s="7"/>
      <c r="D957" s="7"/>
      <c r="E957" s="7"/>
      <c r="F957" s="7"/>
      <c r="G957" s="7"/>
      <c r="H957" s="7"/>
      <c r="I957" s="7"/>
      <c r="J957" s="27"/>
      <c r="K957" s="7"/>
      <c r="L957" s="7"/>
      <c r="M957" s="7"/>
      <c r="N957" s="7"/>
    </row>
    <row r="958" spans="1:14" ht="14.1" customHeight="1">
      <c r="A958" s="6"/>
      <c r="B958" s="6"/>
      <c r="C958" s="7"/>
      <c r="D958" s="7"/>
      <c r="E958" s="7"/>
      <c r="F958" s="7"/>
      <c r="G958" s="7"/>
      <c r="H958" s="7"/>
      <c r="I958" s="7"/>
      <c r="J958" s="27"/>
      <c r="K958" s="7"/>
      <c r="L958" s="7"/>
      <c r="M958" s="7"/>
      <c r="N958" s="7"/>
    </row>
    <row r="959" spans="1:14" ht="14.1" customHeight="1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</row>
    <row r="960" spans="1:14" ht="18" customHeight="1">
      <c r="A960" s="184" t="s">
        <v>0</v>
      </c>
      <c r="B960" s="185"/>
      <c r="C960" s="185"/>
      <c r="D960" s="185"/>
      <c r="E960" s="185"/>
      <c r="F960" s="185"/>
      <c r="G960" s="20">
        <v>3480</v>
      </c>
      <c r="H960" s="1" t="s">
        <v>15</v>
      </c>
      <c r="I960" s="1"/>
      <c r="J960" s="32"/>
      <c r="K960" s="1"/>
      <c r="L960" s="1"/>
      <c r="M960" s="1"/>
      <c r="N960" s="1"/>
    </row>
    <row r="961" spans="1:16" ht="18" customHeight="1">
      <c r="A961" s="42" t="s">
        <v>1</v>
      </c>
      <c r="B961" s="82"/>
      <c r="C961" s="83">
        <v>0</v>
      </c>
      <c r="D961" s="84">
        <v>0.6</v>
      </c>
      <c r="E961" s="84">
        <v>0.7</v>
      </c>
      <c r="F961" s="85">
        <v>1.7</v>
      </c>
      <c r="G961" s="85">
        <v>2.7</v>
      </c>
      <c r="H961" s="84">
        <v>2.8</v>
      </c>
      <c r="I961" s="52">
        <v>3.6</v>
      </c>
      <c r="J961" s="52"/>
      <c r="K961" s="84"/>
      <c r="L961" s="86"/>
      <c r="M961" s="84"/>
      <c r="N961" s="52"/>
      <c r="O961" s="22"/>
      <c r="P961" s="22"/>
    </row>
    <row r="962" spans="1:16" ht="18" customHeight="1">
      <c r="A962" s="42" t="s">
        <v>2</v>
      </c>
      <c r="B962" s="82"/>
      <c r="C962" s="83">
        <v>97.36</v>
      </c>
      <c r="D962" s="84">
        <v>96.41</v>
      </c>
      <c r="E962" s="84">
        <v>96.41</v>
      </c>
      <c r="F962" s="84">
        <v>96.41</v>
      </c>
      <c r="G962" s="84">
        <v>96.41</v>
      </c>
      <c r="H962" s="84">
        <v>96.41</v>
      </c>
      <c r="I962" s="84">
        <v>97.54</v>
      </c>
      <c r="J962" s="84"/>
      <c r="K962" s="84"/>
      <c r="L962" s="86"/>
      <c r="M962" s="84"/>
      <c r="N962" s="52"/>
      <c r="O962" s="21"/>
      <c r="P962" s="21"/>
    </row>
    <row r="963" spans="1:16" ht="18" customHeight="1">
      <c r="A963" s="42" t="s">
        <v>1</v>
      </c>
      <c r="B963" s="82"/>
      <c r="C963" s="83">
        <v>0</v>
      </c>
      <c r="D963" s="84">
        <v>0.6</v>
      </c>
      <c r="E963" s="84">
        <v>0.7</v>
      </c>
      <c r="F963" s="85">
        <v>1.7</v>
      </c>
      <c r="G963" s="85">
        <v>2.7</v>
      </c>
      <c r="H963" s="84">
        <v>2.8</v>
      </c>
      <c r="I963" s="52">
        <v>3.6</v>
      </c>
      <c r="J963" s="52"/>
      <c r="K963" s="84"/>
      <c r="L963" s="86"/>
      <c r="M963" s="84"/>
      <c r="N963" s="52"/>
      <c r="O963" s="22"/>
      <c r="P963" s="22"/>
    </row>
    <row r="964" spans="1:16" ht="18" customHeight="1">
      <c r="A964" s="42" t="s">
        <v>3</v>
      </c>
      <c r="B964" s="87"/>
      <c r="C964" s="83">
        <v>97.36</v>
      </c>
      <c r="D964" s="84">
        <v>96.81</v>
      </c>
      <c r="E964" s="84">
        <v>96.805000000000007</v>
      </c>
      <c r="F964" s="84">
        <v>96.805000000000007</v>
      </c>
      <c r="G964" s="84">
        <v>96.805000000000007</v>
      </c>
      <c r="H964" s="84">
        <v>96.935000000000002</v>
      </c>
      <c r="I964" s="84">
        <v>97.54</v>
      </c>
      <c r="J964" s="84"/>
      <c r="K964" s="84"/>
      <c r="L964" s="86"/>
      <c r="M964" s="84"/>
      <c r="N964" s="52"/>
      <c r="O964" s="23"/>
      <c r="P964" s="23"/>
    </row>
    <row r="965" spans="1:16" ht="18" customHeight="1">
      <c r="A965" s="42" t="s">
        <v>18</v>
      </c>
      <c r="B965" s="87"/>
      <c r="C965" s="52">
        <f t="shared" ref="C965" si="178">C962-C964</f>
        <v>0</v>
      </c>
      <c r="D965" s="52">
        <f>D964-D962</f>
        <v>0.40000000000000568</v>
      </c>
      <c r="E965" s="52">
        <f t="shared" ref="E965:I965" si="179">E964-E962</f>
        <v>0.39500000000001023</v>
      </c>
      <c r="F965" s="52">
        <f t="shared" si="179"/>
        <v>0.39500000000001023</v>
      </c>
      <c r="G965" s="52">
        <f t="shared" si="179"/>
        <v>0.39500000000001023</v>
      </c>
      <c r="H965" s="52">
        <f t="shared" si="179"/>
        <v>0.52500000000000568</v>
      </c>
      <c r="I965" s="52">
        <f t="shared" si="179"/>
        <v>0</v>
      </c>
      <c r="J965" s="52"/>
      <c r="K965" s="52"/>
      <c r="L965" s="52"/>
      <c r="M965" s="52"/>
      <c r="N965" s="52"/>
      <c r="O965" s="21"/>
      <c r="P965" s="21"/>
    </row>
    <row r="966" spans="1:16" ht="18" customHeight="1">
      <c r="A966" s="42" t="s">
        <v>5</v>
      </c>
      <c r="B966" s="87"/>
      <c r="C966" s="52">
        <f t="shared" ref="C966" si="180">(C965+B965)/2*(C961-B961)</f>
        <v>0</v>
      </c>
      <c r="D966" s="52">
        <f>(D965+C965)/2*(D961-C961)</f>
        <v>0.1200000000000017</v>
      </c>
      <c r="E966" s="52">
        <f t="shared" ref="E966" si="181">(E965+D965)/2*(E961-D961)</f>
        <v>3.9750000000000785E-2</v>
      </c>
      <c r="F966" s="52">
        <f t="shared" ref="F966" si="182">(F965+E965)/2*(F961-E961)</f>
        <v>0.39500000000001023</v>
      </c>
      <c r="G966" s="52">
        <f t="shared" ref="G966" si="183">(G965+F965)/2*(G961-F961)</f>
        <v>0.39500000000001034</v>
      </c>
      <c r="H966" s="52">
        <f t="shared" ref="H966" si="184">(H965+G965)/2*(H961-G961)</f>
        <v>4.6000000000000631E-2</v>
      </c>
      <c r="I966" s="52">
        <f t="shared" ref="I966" si="185">(I965+H965)/2*(I961-H961)</f>
        <v>0.21000000000000235</v>
      </c>
      <c r="J966" s="52"/>
      <c r="K966" s="52"/>
      <c r="L966" s="52"/>
      <c r="M966" s="52"/>
      <c r="N966" s="88">
        <f>SUM(B966:M966)</f>
        <v>1.2057500000000261</v>
      </c>
      <c r="O966" s="21"/>
      <c r="P966" s="21"/>
    </row>
    <row r="967" spans="1:16" ht="18" customHeight="1">
      <c r="A967" s="2"/>
      <c r="B967" s="89"/>
      <c r="C967" s="90"/>
      <c r="D967" s="90"/>
      <c r="E967" s="91"/>
      <c r="F967" s="91"/>
      <c r="G967" s="91"/>
      <c r="H967" s="91"/>
      <c r="I967" s="91"/>
      <c r="J967" s="187" t="s">
        <v>6</v>
      </c>
      <c r="K967" s="187"/>
      <c r="L967" s="187"/>
      <c r="M967" s="187"/>
      <c r="N967" s="111">
        <f>N966</f>
        <v>1.2057500000000261</v>
      </c>
      <c r="O967" s="21"/>
      <c r="P967" s="21"/>
    </row>
    <row r="968" spans="1:16" ht="18" customHeight="1">
      <c r="A968" s="24"/>
      <c r="B968" s="78"/>
      <c r="C968" s="18"/>
      <c r="D968" s="18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31"/>
      <c r="P968" s="21"/>
    </row>
    <row r="969" spans="1:16" ht="14.1" customHeight="1">
      <c r="A969" s="2"/>
      <c r="B969" s="2"/>
      <c r="C969" s="30"/>
      <c r="D969" s="30"/>
      <c r="E969" s="21"/>
      <c r="F969" s="21"/>
      <c r="G969" s="21"/>
      <c r="H969" s="21"/>
      <c r="I969" s="21"/>
      <c r="J969" s="30"/>
      <c r="K969" s="30"/>
      <c r="L969" s="30"/>
      <c r="M969" s="30"/>
      <c r="N969" s="30"/>
    </row>
    <row r="970" spans="1:16" ht="14.1" customHeight="1">
      <c r="A970" s="2"/>
      <c r="B970" s="2"/>
      <c r="C970" s="30"/>
      <c r="D970" s="30"/>
      <c r="E970" s="4"/>
      <c r="F970" s="4"/>
      <c r="G970" s="4"/>
      <c r="H970" s="4"/>
      <c r="I970" s="4"/>
      <c r="J970" s="30"/>
      <c r="K970" s="30"/>
      <c r="L970" s="30"/>
      <c r="M970" s="30"/>
      <c r="N970" s="30"/>
    </row>
    <row r="971" spans="1:16" ht="14.1" customHeight="1">
      <c r="A971" s="2"/>
      <c r="B971" s="2"/>
      <c r="C971" s="30"/>
      <c r="D971" s="30"/>
      <c r="E971" s="4"/>
      <c r="F971" s="4"/>
      <c r="G971" s="4"/>
      <c r="H971" s="4"/>
      <c r="I971" s="4"/>
      <c r="J971" s="30"/>
      <c r="K971" s="30"/>
      <c r="L971" s="30"/>
      <c r="M971" s="30"/>
      <c r="N971" s="30"/>
    </row>
    <row r="972" spans="1:16" ht="14.1" customHeight="1">
      <c r="A972" s="6"/>
      <c r="B972" s="6"/>
      <c r="C972" s="7"/>
      <c r="D972" s="7"/>
      <c r="E972" s="7"/>
      <c r="F972" s="7"/>
      <c r="G972" s="7"/>
      <c r="H972" s="7"/>
      <c r="I972" s="7"/>
      <c r="K972" s="7"/>
      <c r="L972" s="7"/>
      <c r="M972" s="7"/>
      <c r="N972" s="7"/>
    </row>
    <row r="973" spans="1:16" ht="14.1" customHeight="1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</row>
    <row r="974" spans="1:16" ht="14.1" customHeight="1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</row>
    <row r="975" spans="1:16" ht="14.1" customHeight="1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</row>
    <row r="976" spans="1:16" ht="14.1" customHeight="1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</row>
    <row r="977" spans="1:14" ht="14.1" customHeight="1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</row>
    <row r="978" spans="1:14" ht="14.1" customHeight="1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</row>
    <row r="979" spans="1:14" ht="14.1" customHeight="1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</row>
    <row r="980" spans="1:14" ht="14.1" customHeight="1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</row>
    <row r="981" spans="1:14" ht="14.1" customHeight="1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</row>
    <row r="982" spans="1:14" ht="14.1" customHeight="1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</row>
    <row r="983" spans="1:14" ht="14.1" customHeight="1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</row>
    <row r="984" spans="1:14" ht="14.1" customHeight="1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</row>
    <row r="985" spans="1:14" ht="14.1" customHeight="1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</row>
    <row r="986" spans="1:14" ht="14.1" customHeight="1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</row>
    <row r="987" spans="1:14" ht="14.1" customHeight="1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</row>
    <row r="988" spans="1:14" ht="14.1" customHeight="1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</row>
    <row r="989" spans="1:14" ht="14.1" customHeight="1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</row>
    <row r="990" spans="1:14" ht="14.1" customHeight="1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</row>
    <row r="991" spans="1:14" ht="14.1" customHeight="1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</row>
    <row r="992" spans="1:14" ht="14.1" customHeight="1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</row>
    <row r="993" spans="1:14" ht="14.1" customHeight="1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</row>
    <row r="994" spans="1:14" ht="14.1" customHeight="1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</row>
    <row r="995" spans="1:14" ht="14.1" customHeight="1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</row>
    <row r="996" spans="1:14" ht="14.1" customHeight="1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</row>
    <row r="997" spans="1:14" ht="14.1" customHeight="1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</row>
    <row r="998" spans="1:14" ht="14.1" customHeight="1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</row>
    <row r="999" spans="1:14" ht="18" customHeight="1">
      <c r="A999" s="184" t="s">
        <v>0</v>
      </c>
      <c r="B999" s="185"/>
      <c r="C999" s="185"/>
      <c r="D999" s="185"/>
      <c r="E999" s="185"/>
      <c r="F999" s="185"/>
      <c r="G999" s="20">
        <v>3540</v>
      </c>
      <c r="H999" s="1" t="s">
        <v>15</v>
      </c>
      <c r="I999" s="1"/>
      <c r="J999" s="32"/>
      <c r="K999" s="1"/>
      <c r="L999" s="1"/>
      <c r="M999" s="1"/>
      <c r="N999" s="1"/>
    </row>
    <row r="1000" spans="1:14" ht="18" customHeight="1">
      <c r="A1000" s="42" t="s">
        <v>1</v>
      </c>
      <c r="B1000" s="82"/>
      <c r="C1000" s="83">
        <v>0</v>
      </c>
      <c r="D1000" s="84">
        <v>0.6</v>
      </c>
      <c r="E1000" s="84">
        <v>0.7</v>
      </c>
      <c r="F1000" s="85">
        <v>1.7</v>
      </c>
      <c r="G1000" s="85">
        <v>2.7</v>
      </c>
      <c r="H1000" s="84">
        <v>2.8</v>
      </c>
      <c r="I1000" s="52">
        <v>3.6</v>
      </c>
      <c r="J1000" s="52"/>
      <c r="K1000" s="84"/>
      <c r="L1000" s="86"/>
      <c r="M1000" s="45"/>
      <c r="N1000" s="47"/>
    </row>
    <row r="1001" spans="1:14" ht="18" customHeight="1">
      <c r="A1001" s="42" t="s">
        <v>2</v>
      </c>
      <c r="B1001" s="82"/>
      <c r="C1001" s="83">
        <v>97.73</v>
      </c>
      <c r="D1001" s="84">
        <v>96.4</v>
      </c>
      <c r="E1001" s="84">
        <v>96.4</v>
      </c>
      <c r="F1001" s="84">
        <v>96.4</v>
      </c>
      <c r="G1001" s="84">
        <v>96.4</v>
      </c>
      <c r="H1001" s="84">
        <v>96.4</v>
      </c>
      <c r="I1001" s="84">
        <v>97.93</v>
      </c>
      <c r="J1001" s="84"/>
      <c r="K1001" s="84"/>
      <c r="L1001" s="86"/>
      <c r="M1001" s="45"/>
      <c r="N1001" s="47"/>
    </row>
    <row r="1002" spans="1:14" ht="18" customHeight="1">
      <c r="A1002" s="42" t="s">
        <v>1</v>
      </c>
      <c r="B1002" s="82"/>
      <c r="C1002" s="83">
        <v>0</v>
      </c>
      <c r="D1002" s="84">
        <v>0.6</v>
      </c>
      <c r="E1002" s="84">
        <v>0.7</v>
      </c>
      <c r="F1002" s="85">
        <v>1.7</v>
      </c>
      <c r="G1002" s="85">
        <v>2.7</v>
      </c>
      <c r="H1002" s="84">
        <v>2.8</v>
      </c>
      <c r="I1002" s="52">
        <v>3.6</v>
      </c>
      <c r="J1002" s="52"/>
      <c r="K1002" s="84"/>
      <c r="L1002" s="86"/>
      <c r="M1002" s="45"/>
      <c r="N1002" s="47"/>
    </row>
    <row r="1003" spans="1:14" ht="18" customHeight="1">
      <c r="A1003" s="42" t="s">
        <v>3</v>
      </c>
      <c r="B1003" s="87"/>
      <c r="C1003" s="83">
        <v>97.73</v>
      </c>
      <c r="D1003" s="84">
        <v>97.01</v>
      </c>
      <c r="E1003" s="84">
        <v>96.89</v>
      </c>
      <c r="F1003" s="84">
        <v>96.89</v>
      </c>
      <c r="G1003" s="84">
        <v>96.89</v>
      </c>
      <c r="H1003" s="84">
        <v>97.006</v>
      </c>
      <c r="I1003" s="84">
        <v>97.93</v>
      </c>
      <c r="J1003" s="84"/>
      <c r="K1003" s="84"/>
      <c r="L1003" s="86"/>
      <c r="M1003" s="45"/>
      <c r="N1003" s="52"/>
    </row>
    <row r="1004" spans="1:14" ht="18" customHeight="1">
      <c r="A1004" s="42" t="s">
        <v>18</v>
      </c>
      <c r="B1004" s="87"/>
      <c r="C1004" s="52">
        <f t="shared" ref="C1004" si="186">C1001-C1003</f>
        <v>0</v>
      </c>
      <c r="D1004" s="52">
        <f>D1003-D1001</f>
        <v>0.60999999999999943</v>
      </c>
      <c r="E1004" s="52">
        <f t="shared" ref="E1004:I1004" si="187">E1003-E1001</f>
        <v>0.48999999999999488</v>
      </c>
      <c r="F1004" s="52">
        <f t="shared" si="187"/>
        <v>0.48999999999999488</v>
      </c>
      <c r="G1004" s="52">
        <f t="shared" si="187"/>
        <v>0.48999999999999488</v>
      </c>
      <c r="H1004" s="52">
        <f t="shared" si="187"/>
        <v>0.60599999999999454</v>
      </c>
      <c r="I1004" s="52">
        <f t="shared" si="187"/>
        <v>0</v>
      </c>
      <c r="J1004" s="52"/>
      <c r="K1004" s="52"/>
      <c r="L1004" s="52"/>
      <c r="M1004" s="47"/>
      <c r="N1004" s="47"/>
    </row>
    <row r="1005" spans="1:14" ht="18" customHeight="1">
      <c r="A1005" s="42" t="s">
        <v>5</v>
      </c>
      <c r="B1005" s="87"/>
      <c r="C1005" s="52">
        <f t="shared" ref="C1005" si="188">(C1004+B1004)/2*(C1000-B1000)</f>
        <v>0</v>
      </c>
      <c r="D1005" s="52">
        <f>(D1004+C1004)/2*(D1000-C1000)</f>
        <v>0.18299999999999983</v>
      </c>
      <c r="E1005" s="52">
        <f t="shared" ref="E1005" si="189">(E1004+D1004)/2*(E1000-D1000)</f>
        <v>5.4999999999999702E-2</v>
      </c>
      <c r="F1005" s="52">
        <f t="shared" ref="F1005" si="190">(F1004+E1004)/2*(F1000-E1000)</f>
        <v>0.48999999999999488</v>
      </c>
      <c r="G1005" s="52">
        <f t="shared" ref="G1005" si="191">(G1004+F1004)/2*(G1000-F1000)</f>
        <v>0.489999999999995</v>
      </c>
      <c r="H1005" s="52">
        <f t="shared" ref="H1005" si="192">(H1004+G1004)/2*(H1000-G1000)</f>
        <v>5.479999999999928E-2</v>
      </c>
      <c r="I1005" s="52">
        <f t="shared" ref="I1005" si="193">(I1004+H1004)/2*(I1000-H1000)</f>
        <v>0.24239999999999789</v>
      </c>
      <c r="J1005" s="52"/>
      <c r="K1005" s="52"/>
      <c r="L1005" s="52"/>
      <c r="M1005" s="47"/>
      <c r="N1005" s="77">
        <f>SUM(B1005:M1005)</f>
        <v>1.5151999999999866</v>
      </c>
    </row>
    <row r="1006" spans="1:14" ht="18" customHeight="1">
      <c r="A1006" s="2"/>
      <c r="B1006" s="2"/>
      <c r="C1006" s="30"/>
      <c r="D1006" s="30"/>
      <c r="E1006" s="4"/>
      <c r="F1006" s="4"/>
      <c r="G1006" s="4"/>
      <c r="H1006" s="4"/>
      <c r="I1006" s="4"/>
      <c r="J1006" s="179" t="s">
        <v>6</v>
      </c>
      <c r="K1006" s="179"/>
      <c r="L1006" s="179"/>
      <c r="M1006" s="179"/>
      <c r="N1006" s="101">
        <f>N1005</f>
        <v>1.5151999999999866</v>
      </c>
    </row>
    <row r="1007" spans="1:14" ht="18" customHeight="1">
      <c r="A1007" s="24"/>
      <c r="B1007" s="78"/>
      <c r="C1007" s="18"/>
      <c r="D1007" s="18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</row>
    <row r="1008" spans="1:14" ht="14.1" customHeight="1">
      <c r="A1008" s="2"/>
      <c r="B1008" s="2"/>
      <c r="C1008" s="30"/>
      <c r="D1008" s="30"/>
      <c r="E1008" s="21"/>
      <c r="F1008" s="21"/>
      <c r="G1008" s="21"/>
      <c r="H1008" s="21"/>
      <c r="I1008" s="21"/>
      <c r="J1008" s="30"/>
      <c r="K1008" s="30"/>
      <c r="L1008" s="30"/>
      <c r="M1008" s="30"/>
      <c r="N1008" s="30"/>
    </row>
    <row r="1009" spans="1:14" ht="14.1" customHeight="1">
      <c r="A1009" s="6"/>
      <c r="B1009" s="6"/>
      <c r="C1009" s="7"/>
      <c r="D1009" s="7"/>
      <c r="E1009" s="7"/>
      <c r="F1009" s="7"/>
      <c r="G1009" s="7"/>
      <c r="H1009" s="7"/>
      <c r="I1009" s="7"/>
      <c r="K1009" s="7"/>
      <c r="L1009" s="7"/>
      <c r="M1009" s="7"/>
      <c r="N1009" s="7"/>
    </row>
    <row r="1010" spans="1:14" ht="14.1" customHeight="1">
      <c r="A1010" s="6"/>
      <c r="B1010" s="6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</row>
    <row r="1011" spans="1:14" ht="14.1" customHeight="1">
      <c r="A1011" s="6"/>
      <c r="B1011" s="6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</row>
    <row r="1012" spans="1:14" ht="14.1" customHeight="1">
      <c r="A1012" s="6"/>
      <c r="B1012" s="6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</row>
    <row r="1013" spans="1:14" ht="14.1" customHeight="1">
      <c r="A1013" s="6"/>
      <c r="B1013" s="6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</row>
    <row r="1014" spans="1:14" ht="14.1" customHeight="1">
      <c r="A1014" s="6"/>
      <c r="B1014" s="6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</row>
    <row r="1015" spans="1:14" ht="14.1" customHeight="1">
      <c r="A1015" s="6"/>
      <c r="B1015" s="6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</row>
    <row r="1016" spans="1:14" ht="14.1" customHeight="1">
      <c r="A1016" s="6"/>
      <c r="B1016" s="6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</row>
    <row r="1017" spans="1:14" ht="14.1" customHeight="1">
      <c r="A1017" s="6"/>
      <c r="B1017" s="6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</row>
    <row r="1018" spans="1:14" ht="14.1" customHeight="1">
      <c r="A1018" s="6"/>
      <c r="B1018" s="6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</row>
    <row r="1019" spans="1:14" ht="14.1" customHeight="1">
      <c r="A1019" s="6"/>
      <c r="B1019" s="6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</row>
    <row r="1020" spans="1:14" ht="14.1" customHeight="1">
      <c r="A1020" s="6"/>
      <c r="B1020" s="6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</row>
    <row r="1021" spans="1:14" ht="14.1" customHeight="1">
      <c r="A1021" s="6"/>
      <c r="B1021" s="6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</row>
    <row r="1022" spans="1:14" ht="14.1" customHeight="1">
      <c r="A1022" s="6"/>
      <c r="B1022" s="6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</row>
    <row r="1023" spans="1:14" ht="14.1" customHeight="1">
      <c r="A1023" s="6"/>
      <c r="B1023" s="6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</row>
    <row r="1024" spans="1:14" ht="14.1" customHeight="1">
      <c r="A1024" s="6"/>
      <c r="B1024" s="6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</row>
    <row r="1025" spans="1:14" ht="14.1" customHeight="1">
      <c r="A1025" s="6"/>
      <c r="B1025" s="6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</row>
    <row r="1026" spans="1:14" ht="14.1" customHeight="1">
      <c r="A1026" s="6"/>
      <c r="B1026" s="6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</row>
    <row r="1027" spans="1:14" ht="14.1" customHeight="1">
      <c r="A1027" s="6"/>
      <c r="B1027" s="6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</row>
    <row r="1028" spans="1:14" ht="14.1" customHeight="1">
      <c r="A1028" s="6"/>
      <c r="B1028" s="6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</row>
    <row r="1029" spans="1:14" ht="14.1" customHeight="1">
      <c r="A1029" s="6"/>
      <c r="B1029" s="6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</row>
    <row r="1030" spans="1:14" ht="14.1" customHeight="1">
      <c r="A1030" s="6"/>
      <c r="B1030" s="6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</row>
    <row r="1031" spans="1:14" ht="14.1" customHeight="1">
      <c r="A1031" s="6"/>
      <c r="B1031" s="6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</row>
    <row r="1032" spans="1:14" ht="14.1" customHeight="1">
      <c r="A1032" s="6"/>
      <c r="B1032" s="6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</row>
    <row r="1033" spans="1:14" ht="14.1" customHeight="1">
      <c r="A1033" s="6"/>
      <c r="B1033" s="6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</row>
    <row r="1034" spans="1:14" ht="14.1" customHeight="1">
      <c r="A1034" s="6"/>
      <c r="B1034" s="6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</row>
    <row r="1035" spans="1:14" ht="14.1" customHeight="1">
      <c r="A1035" s="6"/>
      <c r="B1035" s="6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</row>
    <row r="1036" spans="1:14" ht="14.1" customHeight="1">
      <c r="B1036" s="181"/>
      <c r="C1036" s="181"/>
      <c r="D1036" s="181"/>
      <c r="E1036" s="25"/>
      <c r="F1036" s="25"/>
      <c r="G1036" s="167"/>
      <c r="H1036" s="167"/>
      <c r="I1036" s="167"/>
      <c r="J1036" s="7"/>
      <c r="K1036" s="182"/>
      <c r="L1036" s="182"/>
    </row>
    <row r="1037" spans="1:14" ht="14.1" customHeight="1">
      <c r="B1037" s="170"/>
      <c r="C1037" s="170"/>
      <c r="D1037" s="170"/>
      <c r="E1037" s="26"/>
      <c r="F1037" s="26"/>
      <c r="G1037" s="170"/>
      <c r="H1037" s="170"/>
      <c r="I1037" s="170"/>
      <c r="J1037" s="25"/>
      <c r="K1037" s="171"/>
      <c r="L1037" s="171"/>
    </row>
    <row r="1038" spans="1:14" ht="14.1" customHeight="1">
      <c r="A1038" s="6"/>
      <c r="B1038" s="6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</row>
    <row r="1039" spans="1:14" ht="14.1" customHeight="1">
      <c r="A1039" s="6"/>
      <c r="B1039" s="6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</row>
    <row r="1040" spans="1:14" ht="14.1" customHeight="1">
      <c r="A1040" s="6"/>
      <c r="B1040" s="6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</row>
    <row r="1041" spans="1:15" ht="14.1" customHeight="1">
      <c r="A1041" s="6"/>
      <c r="B1041" s="6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</row>
    <row r="1042" spans="1:15" ht="14.1" customHeight="1">
      <c r="A1042" s="6"/>
      <c r="B1042" s="6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</row>
    <row r="1043" spans="1:15" ht="14.1" customHeight="1">
      <c r="A1043" s="6"/>
      <c r="B1043" s="6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</row>
    <row r="1044" spans="1:15" ht="18" customHeight="1">
      <c r="A1044" s="184" t="s">
        <v>0</v>
      </c>
      <c r="B1044" s="185"/>
      <c r="C1044" s="185"/>
      <c r="D1044" s="185"/>
      <c r="E1044" s="185"/>
      <c r="F1044" s="185"/>
      <c r="G1044" s="20">
        <v>3600</v>
      </c>
      <c r="H1044" s="1" t="s">
        <v>15</v>
      </c>
      <c r="I1044" s="1"/>
      <c r="J1044" s="32"/>
      <c r="K1044" s="1"/>
      <c r="L1044" s="1"/>
      <c r="M1044" s="1"/>
      <c r="N1044" s="1"/>
    </row>
    <row r="1045" spans="1:15" ht="18" customHeight="1">
      <c r="A1045" s="42" t="s">
        <v>1</v>
      </c>
      <c r="B1045" s="82"/>
      <c r="C1045" s="83">
        <v>0</v>
      </c>
      <c r="D1045" s="84">
        <v>0.6</v>
      </c>
      <c r="E1045" s="84">
        <v>0.7</v>
      </c>
      <c r="F1045" s="85">
        <v>1.7</v>
      </c>
      <c r="G1045" s="85">
        <v>2.7</v>
      </c>
      <c r="H1045" s="84">
        <v>2.8</v>
      </c>
      <c r="I1045" s="52">
        <v>3.5</v>
      </c>
      <c r="J1045" s="52"/>
      <c r="K1045" s="84"/>
      <c r="L1045" s="86"/>
      <c r="M1045" s="45"/>
      <c r="N1045" s="47"/>
      <c r="O1045" s="18"/>
    </row>
    <row r="1046" spans="1:15" ht="18" customHeight="1">
      <c r="A1046" s="42" t="s">
        <v>2</v>
      </c>
      <c r="B1046" s="82"/>
      <c r="C1046" s="83">
        <v>97.5</v>
      </c>
      <c r="D1046" s="84">
        <v>96.3</v>
      </c>
      <c r="E1046" s="84">
        <v>96.3</v>
      </c>
      <c r="F1046" s="84">
        <v>96.3</v>
      </c>
      <c r="G1046" s="84">
        <v>96.3</v>
      </c>
      <c r="H1046" s="84">
        <v>96.3</v>
      </c>
      <c r="I1046" s="84">
        <v>97.65</v>
      </c>
      <c r="J1046" s="84"/>
      <c r="K1046" s="84"/>
      <c r="L1046" s="86"/>
      <c r="M1046" s="45"/>
      <c r="N1046" s="47"/>
      <c r="O1046" s="18"/>
    </row>
    <row r="1047" spans="1:15" ht="18" customHeight="1">
      <c r="A1047" s="42" t="s">
        <v>1</v>
      </c>
      <c r="B1047" s="82"/>
      <c r="C1047" s="83">
        <v>0</v>
      </c>
      <c r="D1047" s="84">
        <v>0.6</v>
      </c>
      <c r="E1047" s="84">
        <v>0.7</v>
      </c>
      <c r="F1047" s="85">
        <v>1.7</v>
      </c>
      <c r="G1047" s="85">
        <v>2.7</v>
      </c>
      <c r="H1047" s="84">
        <v>2.8</v>
      </c>
      <c r="I1047" s="52">
        <v>3.5</v>
      </c>
      <c r="J1047" s="52"/>
      <c r="K1047" s="84"/>
      <c r="L1047" s="86"/>
      <c r="M1047" s="45"/>
      <c r="N1047" s="47"/>
      <c r="O1047" s="18"/>
    </row>
    <row r="1048" spans="1:15" ht="18" customHeight="1">
      <c r="A1048" s="42" t="s">
        <v>3</v>
      </c>
      <c r="B1048" s="87"/>
      <c r="C1048" s="83">
        <v>97.5</v>
      </c>
      <c r="D1048" s="84">
        <v>96.82</v>
      </c>
      <c r="E1048" s="84">
        <v>96.74</v>
      </c>
      <c r="F1048" s="84">
        <v>96.74</v>
      </c>
      <c r="G1048" s="84">
        <v>96.74</v>
      </c>
      <c r="H1048" s="84">
        <v>96.853999999999999</v>
      </c>
      <c r="I1048" s="84">
        <v>97.65</v>
      </c>
      <c r="J1048" s="84"/>
      <c r="K1048" s="84"/>
      <c r="L1048" s="86"/>
      <c r="M1048" s="45"/>
      <c r="N1048" s="52"/>
      <c r="O1048" s="18"/>
    </row>
    <row r="1049" spans="1:15" ht="18" customHeight="1">
      <c r="A1049" s="42" t="s">
        <v>18</v>
      </c>
      <c r="B1049" s="87"/>
      <c r="C1049" s="52">
        <f t="shared" ref="C1049" si="194">C1046-C1048</f>
        <v>0</v>
      </c>
      <c r="D1049" s="52">
        <f>D1048-D1046</f>
        <v>0.51999999999999602</v>
      </c>
      <c r="E1049" s="52">
        <f t="shared" ref="E1049:I1049" si="195">E1048-E1046</f>
        <v>0.43999999999999773</v>
      </c>
      <c r="F1049" s="52">
        <f t="shared" si="195"/>
        <v>0.43999999999999773</v>
      </c>
      <c r="G1049" s="52">
        <f t="shared" si="195"/>
        <v>0.43999999999999773</v>
      </c>
      <c r="H1049" s="52">
        <f t="shared" si="195"/>
        <v>0.55400000000000205</v>
      </c>
      <c r="I1049" s="52">
        <f t="shared" si="195"/>
        <v>0</v>
      </c>
      <c r="J1049" s="52"/>
      <c r="K1049" s="52"/>
      <c r="L1049" s="52"/>
      <c r="M1049" s="47"/>
      <c r="N1049" s="47"/>
      <c r="O1049" s="18"/>
    </row>
    <row r="1050" spans="1:15" ht="18" customHeight="1">
      <c r="A1050" s="42" t="s">
        <v>5</v>
      </c>
      <c r="B1050" s="87"/>
      <c r="C1050" s="52">
        <f t="shared" ref="C1050" si="196">(C1049+B1049)/2*(C1045-B1045)</f>
        <v>0</v>
      </c>
      <c r="D1050" s="52">
        <f>(D1049+C1049)/2*(D1045-C1045)</f>
        <v>0.15599999999999881</v>
      </c>
      <c r="E1050" s="52">
        <f t="shared" ref="E1050" si="197">(E1049+D1049)/2*(E1045-D1045)</f>
        <v>4.7999999999999675E-2</v>
      </c>
      <c r="F1050" s="52">
        <f t="shared" ref="F1050" si="198">(F1049+E1049)/2*(F1045-E1045)</f>
        <v>0.43999999999999773</v>
      </c>
      <c r="G1050" s="52">
        <f t="shared" ref="G1050" si="199">(G1049+F1049)/2*(G1045-F1045)</f>
        <v>0.43999999999999784</v>
      </c>
      <c r="H1050" s="52">
        <f t="shared" ref="H1050" si="200">(H1049+G1049)/2*(H1045-G1045)</f>
        <v>4.9699999999999814E-2</v>
      </c>
      <c r="I1050" s="52">
        <f t="shared" ref="I1050" si="201">(I1049+H1049)/2*(I1045-H1045)</f>
        <v>0.19390000000000077</v>
      </c>
      <c r="J1050" s="52"/>
      <c r="K1050" s="52"/>
      <c r="L1050" s="52"/>
      <c r="M1050" s="47"/>
      <c r="N1050" s="77">
        <f>SUM(B1050:M1050)</f>
        <v>1.3275999999999948</v>
      </c>
      <c r="O1050" s="18"/>
    </row>
    <row r="1051" spans="1:15" ht="18" customHeight="1">
      <c r="A1051" s="2"/>
      <c r="B1051" s="2"/>
      <c r="C1051" s="30"/>
      <c r="D1051" s="30"/>
      <c r="E1051" s="4"/>
      <c r="F1051" s="4"/>
      <c r="G1051" s="4"/>
      <c r="H1051" s="4"/>
      <c r="I1051" s="4"/>
      <c r="J1051" s="179" t="s">
        <v>6</v>
      </c>
      <c r="K1051" s="179"/>
      <c r="L1051" s="179"/>
      <c r="M1051" s="179"/>
      <c r="N1051" s="101">
        <f>N1050</f>
        <v>1.3275999999999948</v>
      </c>
      <c r="O1051" s="18"/>
    </row>
    <row r="1052" spans="1:15" ht="18" customHeight="1">
      <c r="A1052" s="24"/>
      <c r="B1052" s="78"/>
      <c r="C1052" s="18"/>
      <c r="D1052" s="18"/>
      <c r="E1052" s="21"/>
      <c r="F1052" s="21"/>
      <c r="G1052" s="21"/>
      <c r="H1052" s="21"/>
      <c r="I1052" s="21"/>
      <c r="J1052" s="21"/>
      <c r="K1052" s="21"/>
      <c r="L1052" s="21"/>
      <c r="M1052" s="21"/>
      <c r="N1052" s="21"/>
      <c r="O1052" s="21"/>
    </row>
    <row r="1053" spans="1:15" ht="14.1" customHeight="1">
      <c r="A1053" s="2"/>
      <c r="B1053" s="2"/>
      <c r="C1053" s="30"/>
      <c r="D1053" s="30"/>
      <c r="E1053" s="21"/>
      <c r="F1053" s="21"/>
      <c r="G1053" s="21"/>
      <c r="H1053" s="21"/>
      <c r="I1053" s="21"/>
      <c r="J1053" s="30"/>
      <c r="K1053" s="30"/>
      <c r="L1053" s="30"/>
      <c r="M1053" s="30"/>
      <c r="N1053" s="30"/>
    </row>
    <row r="1054" spans="1:15" ht="14.1" customHeight="1">
      <c r="A1054" s="6"/>
      <c r="B1054" s="6"/>
      <c r="C1054" s="7"/>
      <c r="D1054" s="7"/>
      <c r="E1054" s="7"/>
      <c r="F1054" s="7"/>
      <c r="G1054" s="7"/>
      <c r="H1054" s="7"/>
      <c r="I1054" s="7"/>
      <c r="K1054" s="7"/>
      <c r="L1054" s="7"/>
      <c r="M1054" s="7"/>
      <c r="N1054" s="7"/>
    </row>
    <row r="1055" spans="1:15" ht="14.1" customHeight="1">
      <c r="A1055" s="6"/>
      <c r="B1055" s="6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</row>
    <row r="1056" spans="1:15" ht="14.1" customHeight="1">
      <c r="A1056" s="6"/>
      <c r="B1056" s="6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</row>
    <row r="1057" spans="1:14" ht="14.1" customHeight="1">
      <c r="A1057" s="6"/>
      <c r="B1057" s="6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</row>
    <row r="1058" spans="1:14" ht="14.1" customHeight="1">
      <c r="A1058" s="6"/>
      <c r="B1058" s="6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</row>
    <row r="1059" spans="1:14" ht="14.1" customHeight="1">
      <c r="A1059" s="6"/>
      <c r="B1059" s="6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</row>
    <row r="1060" spans="1:14" ht="14.1" customHeight="1">
      <c r="A1060" s="6"/>
      <c r="B1060" s="6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</row>
    <row r="1061" spans="1:14" ht="14.1" customHeight="1">
      <c r="A1061" s="6"/>
      <c r="B1061" s="6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</row>
    <row r="1062" spans="1:14" ht="14.1" customHeight="1">
      <c r="A1062" s="6"/>
      <c r="B1062" s="6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</row>
    <row r="1063" spans="1:14" ht="14.1" customHeight="1">
      <c r="A1063" s="6"/>
      <c r="B1063" s="6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</row>
    <row r="1064" spans="1:14" ht="14.1" customHeight="1">
      <c r="A1064" s="6"/>
      <c r="B1064" s="6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</row>
    <row r="1065" spans="1:14" ht="14.1" customHeight="1">
      <c r="A1065" s="6"/>
      <c r="B1065" s="6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</row>
    <row r="1066" spans="1:14" ht="14.1" customHeight="1">
      <c r="A1066" s="6"/>
      <c r="B1066" s="6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</row>
    <row r="1067" spans="1:14" ht="14.1" customHeight="1">
      <c r="A1067" s="6"/>
      <c r="B1067" s="6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</row>
    <row r="1068" spans="1:14" ht="14.1" customHeight="1">
      <c r="A1068" s="6"/>
      <c r="B1068" s="6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</row>
    <row r="1069" spans="1:14" ht="14.1" customHeight="1">
      <c r="A1069" s="6"/>
      <c r="B1069" s="6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</row>
    <row r="1070" spans="1:14" ht="14.1" customHeight="1">
      <c r="A1070" s="6"/>
      <c r="B1070" s="6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</row>
    <row r="1071" spans="1:14" ht="14.1" customHeight="1">
      <c r="A1071" s="6"/>
      <c r="B1071" s="6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</row>
    <row r="1072" spans="1:14" ht="14.1" customHeight="1">
      <c r="A1072" s="6"/>
      <c r="B1072" s="6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</row>
    <row r="1073" spans="1:15" ht="14.1" customHeight="1">
      <c r="A1073" s="6"/>
      <c r="B1073" s="6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</row>
    <row r="1074" spans="1:15" ht="14.1" customHeight="1">
      <c r="A1074" s="6"/>
      <c r="B1074" s="6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</row>
    <row r="1075" spans="1:15" ht="14.1" customHeight="1">
      <c r="A1075" s="6"/>
      <c r="B1075" s="6"/>
      <c r="C1075" s="7"/>
      <c r="D1075" s="7"/>
      <c r="E1075" s="7"/>
      <c r="F1075" s="7"/>
      <c r="G1075" s="7"/>
      <c r="H1075" s="7"/>
      <c r="I1075" s="7"/>
      <c r="J1075" s="36"/>
      <c r="K1075" s="7"/>
      <c r="L1075" s="7"/>
      <c r="M1075" s="7"/>
      <c r="N1075" s="7"/>
    </row>
    <row r="1076" spans="1:15" ht="14.1" customHeight="1">
      <c r="A1076" s="6"/>
      <c r="B1076" s="6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</row>
    <row r="1077" spans="1:15" ht="14.1" customHeight="1">
      <c r="A1077" s="6"/>
      <c r="B1077" s="6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</row>
    <row r="1078" spans="1:15" ht="14.1" customHeight="1">
      <c r="A1078" s="6"/>
      <c r="B1078" s="6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</row>
    <row r="1079" spans="1:15" ht="14.1" customHeight="1">
      <c r="A1079" s="24"/>
      <c r="B1079" s="21"/>
      <c r="C1079" s="21"/>
      <c r="D1079" s="21"/>
      <c r="E1079" s="21"/>
      <c r="F1079" s="21"/>
      <c r="G1079" s="21"/>
      <c r="H1079" s="21"/>
      <c r="I1079" s="21"/>
      <c r="J1079" s="21"/>
      <c r="K1079" s="21"/>
      <c r="L1079" s="21"/>
      <c r="M1079" s="21"/>
      <c r="N1079" s="21"/>
    </row>
    <row r="1080" spans="1:15" ht="14.1" customHeight="1"/>
    <row r="1081" spans="1:15" ht="14.1" customHeight="1"/>
    <row r="1082" spans="1:15" ht="14.1" customHeight="1"/>
    <row r="1083" spans="1:15" ht="18" customHeight="1">
      <c r="A1083" s="184" t="s">
        <v>0</v>
      </c>
      <c r="B1083" s="185"/>
      <c r="C1083" s="185"/>
      <c r="D1083" s="185"/>
      <c r="E1083" s="185"/>
      <c r="F1083" s="185"/>
      <c r="G1083" s="20">
        <v>3660</v>
      </c>
      <c r="H1083" s="1" t="s">
        <v>15</v>
      </c>
      <c r="I1083" s="1"/>
      <c r="J1083" s="32"/>
      <c r="K1083" s="1"/>
      <c r="L1083" s="1"/>
      <c r="M1083" s="1"/>
      <c r="N1083" s="1"/>
    </row>
    <row r="1084" spans="1:15" ht="18" customHeight="1">
      <c r="A1084" s="42" t="s">
        <v>1</v>
      </c>
      <c r="B1084" s="82"/>
      <c r="C1084" s="83">
        <v>0</v>
      </c>
      <c r="D1084" s="84">
        <v>0.6</v>
      </c>
      <c r="E1084" s="84">
        <v>0.7</v>
      </c>
      <c r="F1084" s="85">
        <v>1.7</v>
      </c>
      <c r="G1084" s="85">
        <v>2.7</v>
      </c>
      <c r="H1084" s="84">
        <v>2.8</v>
      </c>
      <c r="I1084" s="52">
        <v>3.6</v>
      </c>
      <c r="J1084" s="52"/>
      <c r="K1084" s="84"/>
      <c r="L1084" s="86"/>
      <c r="M1084" s="45"/>
      <c r="N1084" s="47"/>
      <c r="O1084" s="18"/>
    </row>
    <row r="1085" spans="1:15" ht="18" customHeight="1">
      <c r="A1085" s="42" t="s">
        <v>2</v>
      </c>
      <c r="B1085" s="82"/>
      <c r="C1085" s="83">
        <v>97.51</v>
      </c>
      <c r="D1085" s="84">
        <v>96.28</v>
      </c>
      <c r="E1085" s="84">
        <v>96.28</v>
      </c>
      <c r="F1085" s="84">
        <v>96.28</v>
      </c>
      <c r="G1085" s="84">
        <v>96.28</v>
      </c>
      <c r="H1085" s="84">
        <v>96.28</v>
      </c>
      <c r="I1085" s="84">
        <v>97.69</v>
      </c>
      <c r="J1085" s="84"/>
      <c r="K1085" s="84"/>
      <c r="L1085" s="86"/>
      <c r="M1085" s="45"/>
      <c r="N1085" s="47"/>
      <c r="O1085" s="18"/>
    </row>
    <row r="1086" spans="1:15" ht="18" customHeight="1">
      <c r="A1086" s="42" t="s">
        <v>1</v>
      </c>
      <c r="B1086" s="82"/>
      <c r="C1086" s="83">
        <v>0</v>
      </c>
      <c r="D1086" s="84">
        <v>0.6</v>
      </c>
      <c r="E1086" s="84">
        <v>0.7</v>
      </c>
      <c r="F1086" s="85">
        <v>1.7</v>
      </c>
      <c r="G1086" s="85">
        <v>2.7</v>
      </c>
      <c r="H1086" s="84">
        <v>2.8</v>
      </c>
      <c r="I1086" s="52">
        <v>3.6</v>
      </c>
      <c r="J1086" s="52"/>
      <c r="K1086" s="84"/>
      <c r="L1086" s="86"/>
      <c r="M1086" s="45"/>
      <c r="N1086" s="47"/>
      <c r="O1086" s="18"/>
    </row>
    <row r="1087" spans="1:15" ht="18" customHeight="1">
      <c r="A1087" s="42" t="s">
        <v>3</v>
      </c>
      <c r="B1087" s="87"/>
      <c r="C1087" s="83">
        <v>97.51</v>
      </c>
      <c r="D1087" s="84">
        <v>96.858999999999995</v>
      </c>
      <c r="E1087" s="84">
        <v>96.75</v>
      </c>
      <c r="F1087" s="84">
        <v>96.75</v>
      </c>
      <c r="G1087" s="84">
        <v>96.75</v>
      </c>
      <c r="H1087" s="84">
        <v>96.853999999999999</v>
      </c>
      <c r="I1087" s="84">
        <v>97.69</v>
      </c>
      <c r="J1087" s="84"/>
      <c r="K1087" s="84"/>
      <c r="L1087" s="86"/>
      <c r="M1087" s="45"/>
      <c r="N1087" s="52"/>
      <c r="O1087" s="18"/>
    </row>
    <row r="1088" spans="1:15" ht="18" customHeight="1">
      <c r="A1088" s="42" t="s">
        <v>18</v>
      </c>
      <c r="B1088" s="87"/>
      <c r="C1088" s="52">
        <f t="shared" ref="C1088" si="202">C1085-C1087</f>
        <v>0</v>
      </c>
      <c r="D1088" s="52">
        <f>D1087-D1085</f>
        <v>0.57899999999999352</v>
      </c>
      <c r="E1088" s="52">
        <f t="shared" ref="E1088:I1088" si="203">E1087-E1085</f>
        <v>0.46999999999999886</v>
      </c>
      <c r="F1088" s="52">
        <f t="shared" si="203"/>
        <v>0.46999999999999886</v>
      </c>
      <c r="G1088" s="52">
        <f t="shared" si="203"/>
        <v>0.46999999999999886</v>
      </c>
      <c r="H1088" s="52">
        <f t="shared" si="203"/>
        <v>0.57399999999999807</v>
      </c>
      <c r="I1088" s="52">
        <f t="shared" si="203"/>
        <v>0</v>
      </c>
      <c r="J1088" s="52"/>
      <c r="K1088" s="52"/>
      <c r="L1088" s="52"/>
      <c r="M1088" s="47"/>
      <c r="N1088" s="47"/>
      <c r="O1088" s="18"/>
    </row>
    <row r="1089" spans="1:15" ht="18" customHeight="1">
      <c r="A1089" s="42" t="s">
        <v>5</v>
      </c>
      <c r="B1089" s="87"/>
      <c r="C1089" s="52">
        <f t="shared" ref="C1089" si="204">(C1088+B1088)/2*(C1084-B1084)</f>
        <v>0</v>
      </c>
      <c r="D1089" s="52">
        <f>(D1088+C1088)/2*(D1084-C1084)</f>
        <v>0.17369999999999805</v>
      </c>
      <c r="E1089" s="52">
        <f t="shared" ref="E1089" si="205">(E1088+D1088)/2*(E1084-D1084)</f>
        <v>5.2449999999999608E-2</v>
      </c>
      <c r="F1089" s="52">
        <f t="shared" ref="F1089" si="206">(F1088+E1088)/2*(F1084-E1084)</f>
        <v>0.46999999999999886</v>
      </c>
      <c r="G1089" s="52">
        <f t="shared" ref="G1089" si="207">(G1088+F1088)/2*(G1084-F1084)</f>
        <v>0.46999999999999897</v>
      </c>
      <c r="H1089" s="52">
        <f t="shared" ref="H1089" si="208">(H1088+G1088)/2*(H1084-G1084)</f>
        <v>5.2199999999999663E-2</v>
      </c>
      <c r="I1089" s="52">
        <f t="shared" ref="I1089" si="209">(I1088+H1088)/2*(I1084-H1084)</f>
        <v>0.2295999999999993</v>
      </c>
      <c r="J1089" s="52"/>
      <c r="K1089" s="52"/>
      <c r="L1089" s="52"/>
      <c r="M1089" s="47"/>
      <c r="N1089" s="77">
        <f>SUM(B1089:M1089)</f>
        <v>1.4479499999999945</v>
      </c>
      <c r="O1089" s="18"/>
    </row>
    <row r="1090" spans="1:15" ht="18" customHeight="1">
      <c r="A1090" s="2"/>
      <c r="B1090" s="2"/>
      <c r="C1090" s="30"/>
      <c r="D1090" s="30"/>
      <c r="E1090" s="4"/>
      <c r="F1090" s="4"/>
      <c r="G1090" s="4"/>
      <c r="H1090" s="4"/>
      <c r="I1090" s="4"/>
      <c r="J1090" s="179" t="s">
        <v>6</v>
      </c>
      <c r="K1090" s="179"/>
      <c r="L1090" s="179"/>
      <c r="M1090" s="179"/>
      <c r="N1090" s="101">
        <f>N1089</f>
        <v>1.4479499999999945</v>
      </c>
      <c r="O1090" s="18"/>
    </row>
    <row r="1091" spans="1:15" ht="18" customHeight="1">
      <c r="A1091" s="24"/>
      <c r="B1091" s="78"/>
      <c r="C1091" s="18"/>
      <c r="D1091" s="18"/>
      <c r="E1091" s="21"/>
      <c r="F1091" s="21"/>
      <c r="G1091" s="21"/>
      <c r="H1091" s="21"/>
      <c r="I1091" s="21"/>
      <c r="J1091" s="21"/>
      <c r="K1091" s="21"/>
      <c r="L1091" s="21"/>
      <c r="M1091" s="21"/>
      <c r="N1091" s="21"/>
      <c r="O1091" s="21"/>
    </row>
    <row r="1092" spans="1:15" ht="14.1" customHeight="1">
      <c r="A1092" s="2"/>
      <c r="B1092" s="2"/>
      <c r="C1092" s="30"/>
      <c r="D1092" s="30"/>
      <c r="E1092" s="21"/>
      <c r="F1092" s="21"/>
      <c r="G1092" s="21"/>
      <c r="H1092" s="21"/>
      <c r="I1092" s="21"/>
      <c r="J1092" s="30"/>
      <c r="K1092" s="30"/>
      <c r="L1092" s="30"/>
      <c r="M1092" s="30"/>
      <c r="N1092" s="30"/>
    </row>
    <row r="1093" spans="1:15" ht="14.1" customHeight="1">
      <c r="A1093" s="6"/>
      <c r="B1093" s="6"/>
      <c r="C1093" s="7"/>
      <c r="D1093" s="7"/>
      <c r="E1093" s="7"/>
      <c r="F1093" s="7"/>
      <c r="G1093" s="7"/>
      <c r="H1093" s="7"/>
      <c r="I1093" s="7"/>
      <c r="K1093" s="7"/>
      <c r="L1093" s="7"/>
      <c r="M1093" s="7"/>
      <c r="N1093" s="7"/>
    </row>
    <row r="1094" spans="1:15" ht="14.1" customHeight="1">
      <c r="A1094" s="6"/>
      <c r="B1094" s="6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</row>
    <row r="1095" spans="1:15" ht="14.1" customHeight="1">
      <c r="A1095" s="6"/>
      <c r="B1095" s="6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</row>
    <row r="1096" spans="1:15" ht="14.1" customHeight="1">
      <c r="A1096" s="6"/>
      <c r="B1096" s="6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</row>
    <row r="1097" spans="1:15" ht="14.1" customHeight="1">
      <c r="A1097" s="6"/>
      <c r="B1097" s="6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</row>
    <row r="1098" spans="1:15" ht="14.1" customHeight="1">
      <c r="A1098" s="6"/>
      <c r="B1098" s="6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</row>
    <row r="1099" spans="1:15" ht="14.1" customHeight="1">
      <c r="A1099" s="6"/>
      <c r="B1099" s="6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</row>
    <row r="1100" spans="1:15" ht="14.1" customHeight="1">
      <c r="A1100" s="6"/>
      <c r="B1100" s="6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</row>
    <row r="1101" spans="1:15" ht="14.1" customHeight="1">
      <c r="A1101" s="6"/>
      <c r="B1101" s="6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</row>
    <row r="1102" spans="1:15" ht="14.1" customHeight="1">
      <c r="A1102" s="6"/>
      <c r="B1102" s="6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</row>
    <row r="1103" spans="1:15" ht="14.1" customHeight="1">
      <c r="A1103" s="6"/>
      <c r="B1103" s="6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</row>
    <row r="1104" spans="1:15" ht="14.1" customHeight="1">
      <c r="A1104" s="6"/>
      <c r="B1104" s="6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</row>
    <row r="1105" spans="1:14" ht="14.1" customHeight="1">
      <c r="A1105" s="6"/>
      <c r="B1105" s="6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</row>
    <row r="1106" spans="1:14" ht="14.1" customHeight="1">
      <c r="A1106" s="6"/>
      <c r="B1106" s="6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</row>
    <row r="1107" spans="1:14" ht="14.1" customHeight="1">
      <c r="A1107" s="6"/>
      <c r="B1107" s="6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</row>
    <row r="1108" spans="1:14" ht="14.1" customHeight="1">
      <c r="A1108" s="6"/>
      <c r="B1108" s="6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</row>
    <row r="1109" spans="1:14" ht="14.1" customHeight="1">
      <c r="A1109" s="6"/>
      <c r="B1109" s="6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</row>
    <row r="1110" spans="1:14" ht="14.1" customHeight="1">
      <c r="A1110" s="6"/>
      <c r="B1110" s="6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</row>
    <row r="1111" spans="1:14" ht="14.1" customHeight="1">
      <c r="A1111" s="6"/>
      <c r="B1111" s="6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</row>
    <row r="1112" spans="1:14" ht="14.1" customHeight="1">
      <c r="A1112" s="6"/>
      <c r="B1112" s="6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</row>
    <row r="1113" spans="1:14" ht="14.1" customHeight="1">
      <c r="A1113" s="6"/>
      <c r="B1113" s="6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</row>
    <row r="1114" spans="1:14" ht="14.1" customHeight="1">
      <c r="A1114" s="6"/>
      <c r="B1114" s="6"/>
      <c r="C1114" s="7"/>
      <c r="D1114" s="7"/>
      <c r="E1114" s="7"/>
      <c r="F1114" s="7"/>
      <c r="G1114" s="7"/>
      <c r="H1114" s="7"/>
      <c r="I1114" s="7"/>
      <c r="J1114" s="30"/>
      <c r="K1114" s="7"/>
      <c r="L1114" s="7"/>
      <c r="M1114" s="7"/>
      <c r="N1114" s="7"/>
    </row>
    <row r="1115" spans="1:14" ht="14.1" customHeight="1">
      <c r="A1115" s="6"/>
      <c r="B1115" s="6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</row>
    <row r="1116" spans="1:14" ht="14.1" customHeight="1">
      <c r="A1116" s="6"/>
      <c r="B1116" s="6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</row>
    <row r="1117" spans="1:14" ht="14.1" customHeight="1">
      <c r="A1117" s="6"/>
      <c r="B1117" s="6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</row>
    <row r="1118" spans="1:14" ht="14.1" customHeight="1">
      <c r="A1118" s="24"/>
      <c r="B1118" s="21"/>
      <c r="C1118" s="21"/>
      <c r="D1118" s="21"/>
      <c r="E1118" s="21"/>
      <c r="F1118" s="21"/>
      <c r="G1118" s="21"/>
      <c r="H1118" s="21"/>
      <c r="I1118" s="21"/>
      <c r="J1118" s="21"/>
      <c r="K1118" s="21"/>
      <c r="L1118" s="21"/>
      <c r="M1118" s="21"/>
      <c r="N1118" s="21"/>
    </row>
    <row r="1119" spans="1:14" ht="14.1" customHeight="1"/>
    <row r="1120" spans="1:14" ht="14.1" customHeight="1"/>
    <row r="1121" spans="1:15" ht="14.1" customHeight="1">
      <c r="B1121" s="181"/>
      <c r="C1121" s="181"/>
      <c r="D1121" s="181"/>
      <c r="E1121" s="25"/>
      <c r="F1121" s="25"/>
      <c r="G1121" s="167"/>
      <c r="H1121" s="167"/>
      <c r="I1121" s="167"/>
      <c r="J1121" s="7"/>
      <c r="K1121" s="182"/>
      <c r="L1121" s="182"/>
    </row>
    <row r="1122" spans="1:15" ht="14.1" customHeight="1">
      <c r="B1122" s="170"/>
      <c r="C1122" s="170"/>
      <c r="D1122" s="170"/>
      <c r="E1122" s="26"/>
      <c r="F1122" s="26"/>
      <c r="G1122" s="170"/>
      <c r="H1122" s="170"/>
      <c r="I1122" s="170"/>
      <c r="J1122" s="25"/>
      <c r="K1122" s="171"/>
      <c r="L1122" s="171"/>
    </row>
    <row r="1123" spans="1:15" ht="14.1" customHeight="1"/>
    <row r="1124" spans="1:15" ht="14.1" customHeight="1"/>
    <row r="1125" spans="1:15" ht="14.1" customHeight="1"/>
    <row r="1126" spans="1:15" ht="18" customHeight="1">
      <c r="A1126" s="184" t="s">
        <v>0</v>
      </c>
      <c r="B1126" s="185"/>
      <c r="C1126" s="185"/>
      <c r="D1126" s="185"/>
      <c r="E1126" s="185"/>
      <c r="F1126" s="185"/>
      <c r="G1126" s="20">
        <v>3720</v>
      </c>
      <c r="H1126" s="1" t="s">
        <v>15</v>
      </c>
      <c r="I1126" s="1"/>
      <c r="J1126" s="32"/>
      <c r="K1126" s="1"/>
      <c r="L1126" s="1"/>
      <c r="M1126" s="1"/>
      <c r="N1126" s="1"/>
    </row>
    <row r="1127" spans="1:15" ht="18" customHeight="1">
      <c r="A1127" s="42" t="s">
        <v>1</v>
      </c>
      <c r="B1127" s="82"/>
      <c r="C1127" s="83">
        <v>0</v>
      </c>
      <c r="D1127" s="84">
        <v>0.6</v>
      </c>
      <c r="E1127" s="84">
        <v>0.7</v>
      </c>
      <c r="F1127" s="85">
        <v>1.7</v>
      </c>
      <c r="G1127" s="85">
        <v>2.7</v>
      </c>
      <c r="H1127" s="84">
        <v>2.8</v>
      </c>
      <c r="I1127" s="52">
        <v>3.5</v>
      </c>
      <c r="J1127" s="52"/>
      <c r="K1127" s="84"/>
      <c r="L1127" s="86"/>
      <c r="M1127" s="45"/>
      <c r="N1127" s="47"/>
      <c r="O1127" s="18"/>
    </row>
    <row r="1128" spans="1:15" ht="18" customHeight="1">
      <c r="A1128" s="42" t="s">
        <v>2</v>
      </c>
      <c r="B1128" s="82"/>
      <c r="C1128" s="83">
        <v>97.52</v>
      </c>
      <c r="D1128" s="84">
        <v>96.28</v>
      </c>
      <c r="E1128" s="84">
        <v>96.28</v>
      </c>
      <c r="F1128" s="84">
        <v>96.28</v>
      </c>
      <c r="G1128" s="84">
        <v>96.28</v>
      </c>
      <c r="H1128" s="84">
        <v>96.28</v>
      </c>
      <c r="I1128" s="84">
        <v>97.69</v>
      </c>
      <c r="J1128" s="84"/>
      <c r="K1128" s="84"/>
      <c r="L1128" s="86"/>
      <c r="M1128" s="45"/>
      <c r="N1128" s="47"/>
      <c r="O1128" s="18"/>
    </row>
    <row r="1129" spans="1:15" ht="18" customHeight="1">
      <c r="A1129" s="42" t="s">
        <v>1</v>
      </c>
      <c r="B1129" s="82"/>
      <c r="C1129" s="83">
        <v>0</v>
      </c>
      <c r="D1129" s="84">
        <v>0.6</v>
      </c>
      <c r="E1129" s="84">
        <v>0.7</v>
      </c>
      <c r="F1129" s="85">
        <v>1.7</v>
      </c>
      <c r="G1129" s="85">
        <v>2.7</v>
      </c>
      <c r="H1129" s="84">
        <v>2.8</v>
      </c>
      <c r="I1129" s="52">
        <v>3.5</v>
      </c>
      <c r="J1129" s="52"/>
      <c r="K1129" s="84"/>
      <c r="L1129" s="86"/>
      <c r="M1129" s="45"/>
      <c r="N1129" s="47"/>
      <c r="O1129" s="18"/>
    </row>
    <row r="1130" spans="1:15" ht="18" customHeight="1">
      <c r="A1130" s="42" t="s">
        <v>3</v>
      </c>
      <c r="B1130" s="87"/>
      <c r="C1130" s="83">
        <v>97.52</v>
      </c>
      <c r="D1130" s="84">
        <v>96.834000000000003</v>
      </c>
      <c r="E1130" s="84">
        <v>96.72</v>
      </c>
      <c r="F1130" s="84">
        <v>96.72</v>
      </c>
      <c r="G1130" s="84">
        <v>96.72</v>
      </c>
      <c r="H1130" s="84">
        <v>96.840999999999994</v>
      </c>
      <c r="I1130" s="84">
        <v>97.69</v>
      </c>
      <c r="J1130" s="84"/>
      <c r="K1130" s="84"/>
      <c r="L1130" s="86"/>
      <c r="M1130" s="45"/>
      <c r="N1130" s="52"/>
      <c r="O1130" s="18"/>
    </row>
    <row r="1131" spans="1:15" ht="18" customHeight="1">
      <c r="A1131" s="42" t="s">
        <v>18</v>
      </c>
      <c r="B1131" s="87"/>
      <c r="C1131" s="52">
        <f t="shared" ref="C1131" si="210">C1128-C1130</f>
        <v>0</v>
      </c>
      <c r="D1131" s="52">
        <f>D1130-D1128</f>
        <v>0.55400000000000205</v>
      </c>
      <c r="E1131" s="52">
        <f t="shared" ref="E1131:I1131" si="211">E1130-E1128</f>
        <v>0.43999999999999773</v>
      </c>
      <c r="F1131" s="52">
        <f t="shared" si="211"/>
        <v>0.43999999999999773</v>
      </c>
      <c r="G1131" s="52">
        <f t="shared" si="211"/>
        <v>0.43999999999999773</v>
      </c>
      <c r="H1131" s="52">
        <f t="shared" si="211"/>
        <v>0.56099999999999284</v>
      </c>
      <c r="I1131" s="52">
        <f t="shared" si="211"/>
        <v>0</v>
      </c>
      <c r="J1131" s="52"/>
      <c r="K1131" s="52"/>
      <c r="L1131" s="52"/>
      <c r="M1131" s="47"/>
      <c r="N1131" s="47"/>
      <c r="O1131" s="18"/>
    </row>
    <row r="1132" spans="1:15" ht="18" customHeight="1">
      <c r="A1132" s="42" t="s">
        <v>5</v>
      </c>
      <c r="B1132" s="87"/>
      <c r="C1132" s="52">
        <f t="shared" ref="C1132" si="212">(C1131+B1131)/2*(C1127-B1127)</f>
        <v>0</v>
      </c>
      <c r="D1132" s="52">
        <f>(D1131+C1131)/2*(D1127-C1127)</f>
        <v>0.1662000000000006</v>
      </c>
      <c r="E1132" s="52">
        <f t="shared" ref="E1132" si="213">(E1131+D1131)/2*(E1127-D1127)</f>
        <v>4.969999999999998E-2</v>
      </c>
      <c r="F1132" s="52">
        <f t="shared" ref="F1132" si="214">(F1131+E1131)/2*(F1127-E1127)</f>
        <v>0.43999999999999773</v>
      </c>
      <c r="G1132" s="52">
        <f t="shared" ref="G1132" si="215">(G1131+F1131)/2*(G1127-F1127)</f>
        <v>0.43999999999999784</v>
      </c>
      <c r="H1132" s="52">
        <f t="shared" ref="H1132" si="216">(H1131+G1131)/2*(H1127-G1127)</f>
        <v>5.0049999999999352E-2</v>
      </c>
      <c r="I1132" s="52">
        <f t="shared" ref="I1132" si="217">(I1131+H1131)/2*(I1127-H1127)</f>
        <v>0.19634999999999755</v>
      </c>
      <c r="J1132" s="52"/>
      <c r="K1132" s="52"/>
      <c r="L1132" s="52"/>
      <c r="M1132" s="47"/>
      <c r="N1132" s="77">
        <f>SUM(B1132:M1132)</f>
        <v>1.3422999999999932</v>
      </c>
      <c r="O1132" s="18"/>
    </row>
    <row r="1133" spans="1:15" ht="18" customHeight="1">
      <c r="A1133" s="2"/>
      <c r="B1133" s="2"/>
      <c r="C1133" s="30"/>
      <c r="D1133" s="30"/>
      <c r="E1133" s="4"/>
      <c r="F1133" s="4"/>
      <c r="G1133" s="4"/>
      <c r="H1133" s="4"/>
      <c r="I1133" s="4"/>
      <c r="J1133" s="179" t="s">
        <v>6</v>
      </c>
      <c r="K1133" s="179"/>
      <c r="L1133" s="179"/>
      <c r="M1133" s="179"/>
      <c r="N1133" s="101">
        <f>N1132</f>
        <v>1.3422999999999932</v>
      </c>
      <c r="O1133" s="18"/>
    </row>
    <row r="1134" spans="1:15" ht="18" customHeight="1">
      <c r="A1134" s="24"/>
      <c r="B1134" s="78"/>
      <c r="C1134" s="18"/>
      <c r="D1134" s="18"/>
      <c r="E1134" s="21"/>
      <c r="F1134" s="21"/>
      <c r="G1134" s="21"/>
      <c r="H1134" s="21"/>
      <c r="I1134" s="21"/>
      <c r="J1134" s="21"/>
      <c r="K1134" s="21"/>
      <c r="L1134" s="21"/>
      <c r="M1134" s="21"/>
      <c r="N1134" s="21"/>
      <c r="O1134" s="21"/>
    </row>
    <row r="1135" spans="1:15" ht="14.1" customHeight="1">
      <c r="A1135" s="2"/>
      <c r="B1135" s="2"/>
      <c r="C1135" s="30"/>
      <c r="D1135" s="30"/>
      <c r="E1135" s="21"/>
      <c r="F1135" s="21"/>
      <c r="G1135" s="21"/>
      <c r="H1135" s="21"/>
      <c r="I1135" s="21"/>
      <c r="J1135" s="30"/>
      <c r="K1135" s="30"/>
      <c r="L1135" s="30"/>
      <c r="M1135" s="30"/>
      <c r="N1135" s="30"/>
    </row>
    <row r="1136" spans="1:15" ht="14.1" customHeight="1">
      <c r="A1136" s="6"/>
      <c r="B1136" s="6"/>
      <c r="C1136" s="7"/>
      <c r="D1136" s="7"/>
      <c r="E1136" s="7"/>
      <c r="F1136" s="7"/>
      <c r="G1136" s="7"/>
      <c r="H1136" s="7"/>
      <c r="I1136" s="7"/>
      <c r="K1136" s="7"/>
      <c r="L1136" s="7"/>
      <c r="M1136" s="7"/>
      <c r="N1136" s="7"/>
    </row>
    <row r="1137" spans="1:14" ht="14.1" customHeight="1">
      <c r="A1137" s="6"/>
      <c r="B1137" s="6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</row>
    <row r="1138" spans="1:14" ht="14.1" customHeight="1">
      <c r="A1138" s="6"/>
      <c r="B1138" s="6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</row>
    <row r="1139" spans="1:14" ht="14.1" customHeight="1">
      <c r="A1139" s="6"/>
      <c r="B1139" s="6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</row>
    <row r="1140" spans="1:14" ht="14.1" customHeight="1">
      <c r="A1140" s="6"/>
      <c r="B1140" s="6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</row>
    <row r="1141" spans="1:14" ht="14.1" customHeight="1">
      <c r="A1141" s="6"/>
      <c r="B1141" s="6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</row>
    <row r="1142" spans="1:14" ht="14.1" customHeight="1">
      <c r="A1142" s="6"/>
      <c r="B1142" s="6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</row>
    <row r="1143" spans="1:14" ht="14.1" customHeight="1">
      <c r="A1143" s="6"/>
      <c r="B1143" s="6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</row>
    <row r="1144" spans="1:14" ht="14.1" customHeight="1">
      <c r="A1144" s="6"/>
      <c r="B1144" s="6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</row>
    <row r="1145" spans="1:14" ht="14.1" customHeight="1">
      <c r="A1145" s="6"/>
      <c r="B1145" s="6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</row>
    <row r="1146" spans="1:14" ht="14.1" customHeight="1">
      <c r="A1146" s="6"/>
      <c r="B1146" s="6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</row>
    <row r="1147" spans="1:14" ht="14.1" customHeight="1">
      <c r="A1147" s="6"/>
      <c r="B1147" s="6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</row>
    <row r="1148" spans="1:14" ht="14.1" customHeight="1">
      <c r="A1148" s="6"/>
      <c r="B1148" s="6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</row>
    <row r="1149" spans="1:14" ht="14.1" customHeight="1">
      <c r="A1149" s="6"/>
      <c r="B1149" s="6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</row>
    <row r="1150" spans="1:14" ht="14.1" customHeight="1">
      <c r="A1150" s="6"/>
      <c r="B1150" s="6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</row>
    <row r="1151" spans="1:14" ht="14.1" customHeight="1">
      <c r="A1151" s="6"/>
      <c r="B1151" s="6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</row>
    <row r="1152" spans="1:14" ht="14.1" customHeight="1">
      <c r="A1152" s="6"/>
      <c r="B1152" s="6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</row>
    <row r="1153" spans="1:15" ht="14.1" customHeight="1">
      <c r="A1153" s="6"/>
      <c r="B1153" s="6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</row>
    <row r="1154" spans="1:15" ht="14.1" customHeight="1">
      <c r="A1154" s="6"/>
      <c r="B1154" s="6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</row>
    <row r="1155" spans="1:15" ht="14.1" customHeight="1">
      <c r="A1155" s="6"/>
      <c r="B1155" s="6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</row>
    <row r="1156" spans="1:15" ht="14.1" customHeight="1">
      <c r="A1156" s="6"/>
      <c r="B1156" s="6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</row>
    <row r="1157" spans="1:15" ht="14.1" customHeight="1">
      <c r="A1157" s="6"/>
      <c r="B1157" s="6"/>
      <c r="C1157" s="7"/>
      <c r="D1157" s="7"/>
      <c r="E1157" s="7"/>
      <c r="F1157" s="7"/>
      <c r="G1157" s="7"/>
      <c r="H1157" s="7"/>
      <c r="I1157" s="7"/>
      <c r="J1157" s="36"/>
      <c r="K1157" s="7"/>
      <c r="L1157" s="7"/>
      <c r="M1157" s="7"/>
      <c r="N1157" s="7"/>
    </row>
    <row r="1158" spans="1:15" ht="14.1" customHeight="1">
      <c r="A1158" s="6"/>
      <c r="B1158" s="6"/>
      <c r="C1158" s="7"/>
      <c r="D1158" s="7"/>
      <c r="E1158" s="7"/>
      <c r="F1158" s="7"/>
      <c r="G1158" s="7"/>
      <c r="H1158" s="7"/>
      <c r="I1158" s="7"/>
      <c r="J1158" s="30"/>
      <c r="K1158" s="7"/>
      <c r="L1158" s="7"/>
      <c r="M1158" s="7"/>
      <c r="N1158" s="7"/>
    </row>
    <row r="1159" spans="1:15" ht="14.1" customHeight="1">
      <c r="A1159" s="6"/>
      <c r="B1159" s="6"/>
      <c r="C1159" s="7"/>
      <c r="D1159" s="7"/>
      <c r="E1159" s="7"/>
      <c r="F1159" s="7"/>
      <c r="G1159" s="7"/>
      <c r="H1159" s="7"/>
      <c r="I1159" s="7"/>
      <c r="J1159" s="30"/>
      <c r="K1159" s="7"/>
      <c r="L1159" s="7"/>
      <c r="M1159" s="7"/>
      <c r="N1159" s="7"/>
    </row>
    <row r="1160" spans="1:15" ht="14.1" customHeight="1">
      <c r="A1160" s="6"/>
      <c r="B1160" s="6"/>
      <c r="C1160" s="7"/>
      <c r="D1160" s="7"/>
      <c r="E1160" s="7"/>
      <c r="F1160" s="7"/>
      <c r="G1160" s="7"/>
      <c r="H1160" s="7"/>
      <c r="I1160" s="7"/>
      <c r="J1160" s="30"/>
      <c r="K1160" s="7"/>
      <c r="L1160" s="7"/>
      <c r="M1160" s="7"/>
      <c r="N1160" s="7"/>
    </row>
    <row r="1161" spans="1:15" ht="14.1" customHeight="1">
      <c r="A1161" s="6"/>
      <c r="B1161" s="6"/>
      <c r="C1161" s="7"/>
      <c r="D1161" s="7"/>
      <c r="E1161" s="7"/>
      <c r="F1161" s="7"/>
      <c r="G1161" s="7"/>
      <c r="H1161" s="7"/>
      <c r="I1161" s="7"/>
      <c r="J1161" s="30"/>
      <c r="K1161" s="7"/>
      <c r="L1161" s="7"/>
      <c r="M1161" s="7"/>
      <c r="N1161" s="7"/>
    </row>
    <row r="1162" spans="1:15" ht="14.1" customHeight="1">
      <c r="A1162" s="6"/>
      <c r="B1162" s="6"/>
      <c r="C1162" s="7"/>
      <c r="D1162" s="7"/>
      <c r="E1162" s="7"/>
      <c r="F1162" s="7"/>
      <c r="G1162" s="7"/>
      <c r="H1162" s="7"/>
      <c r="I1162" s="7"/>
      <c r="J1162" s="30"/>
      <c r="K1162" s="7"/>
      <c r="L1162" s="7"/>
      <c r="M1162" s="7"/>
      <c r="N1162" s="7"/>
    </row>
    <row r="1163" spans="1:15" ht="14.1" customHeight="1">
      <c r="A1163" s="6"/>
      <c r="B1163" s="6"/>
      <c r="C1163" s="7"/>
      <c r="D1163" s="7"/>
      <c r="E1163" s="7"/>
      <c r="F1163" s="7"/>
      <c r="G1163" s="7"/>
      <c r="H1163" s="7"/>
      <c r="I1163" s="7"/>
      <c r="J1163" s="30"/>
      <c r="K1163" s="7"/>
      <c r="L1163" s="7"/>
      <c r="M1163" s="7"/>
      <c r="N1163" s="7"/>
    </row>
    <row r="1164" spans="1:15" ht="14.1" customHeight="1">
      <c r="A1164" s="6"/>
      <c r="B1164" s="6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</row>
    <row r="1165" spans="1:15" ht="14.1" customHeight="1"/>
    <row r="1166" spans="1:15" ht="14.1" customHeight="1"/>
    <row r="1167" spans="1:15" ht="18" customHeight="1">
      <c r="A1167" s="184" t="s">
        <v>0</v>
      </c>
      <c r="B1167" s="185"/>
      <c r="C1167" s="185"/>
      <c r="D1167" s="185"/>
      <c r="E1167" s="185"/>
      <c r="F1167" s="185"/>
      <c r="G1167" s="20">
        <v>3780</v>
      </c>
      <c r="H1167" s="1" t="s">
        <v>15</v>
      </c>
      <c r="I1167" s="1"/>
      <c r="J1167" s="33"/>
      <c r="K1167" s="1"/>
      <c r="L1167" s="1"/>
      <c r="M1167" s="1"/>
      <c r="N1167" s="1"/>
    </row>
    <row r="1168" spans="1:15" ht="18" customHeight="1">
      <c r="A1168" s="42" t="s">
        <v>1</v>
      </c>
      <c r="B1168" s="82"/>
      <c r="C1168" s="83">
        <v>0</v>
      </c>
      <c r="D1168" s="84">
        <v>0.6</v>
      </c>
      <c r="E1168" s="84">
        <v>0.7</v>
      </c>
      <c r="F1168" s="85">
        <v>1.7</v>
      </c>
      <c r="G1168" s="85">
        <v>2.7</v>
      </c>
      <c r="H1168" s="84">
        <v>2.8</v>
      </c>
      <c r="I1168" s="52">
        <v>3.6</v>
      </c>
      <c r="J1168" s="52"/>
      <c r="K1168" s="84"/>
      <c r="L1168" s="86"/>
      <c r="M1168" s="45"/>
      <c r="N1168" s="47"/>
      <c r="O1168" s="22"/>
    </row>
    <row r="1169" spans="1:15" ht="18" customHeight="1">
      <c r="A1169" s="42" t="s">
        <v>2</v>
      </c>
      <c r="B1169" s="82"/>
      <c r="C1169" s="83">
        <v>97.54</v>
      </c>
      <c r="D1169" s="84">
        <v>96.27</v>
      </c>
      <c r="E1169" s="84">
        <v>96.27</v>
      </c>
      <c r="F1169" s="84">
        <v>96.27</v>
      </c>
      <c r="G1169" s="84">
        <v>96.27</v>
      </c>
      <c r="H1169" s="84">
        <v>96.27</v>
      </c>
      <c r="I1169" s="84">
        <v>97.74</v>
      </c>
      <c r="J1169" s="84"/>
      <c r="K1169" s="84"/>
      <c r="L1169" s="86"/>
      <c r="M1169" s="45"/>
      <c r="N1169" s="47"/>
      <c r="O1169" s="21"/>
    </row>
    <row r="1170" spans="1:15" ht="18" customHeight="1">
      <c r="A1170" s="42" t="s">
        <v>1</v>
      </c>
      <c r="B1170" s="82"/>
      <c r="C1170" s="83">
        <v>0</v>
      </c>
      <c r="D1170" s="84">
        <v>0.6</v>
      </c>
      <c r="E1170" s="84">
        <v>0.7</v>
      </c>
      <c r="F1170" s="85">
        <v>1.7</v>
      </c>
      <c r="G1170" s="85">
        <v>2.7</v>
      </c>
      <c r="H1170" s="84">
        <v>2.8</v>
      </c>
      <c r="I1170" s="52">
        <v>3.6</v>
      </c>
      <c r="J1170" s="52"/>
      <c r="K1170" s="84"/>
      <c r="L1170" s="86"/>
      <c r="M1170" s="45"/>
      <c r="N1170" s="47"/>
      <c r="O1170" s="22"/>
    </row>
    <row r="1171" spans="1:15" ht="18" customHeight="1">
      <c r="A1171" s="42" t="s">
        <v>3</v>
      </c>
      <c r="B1171" s="87"/>
      <c r="C1171" s="83">
        <v>97.54</v>
      </c>
      <c r="D1171" s="84">
        <v>96.83</v>
      </c>
      <c r="E1171" s="84">
        <v>96.71</v>
      </c>
      <c r="F1171" s="84">
        <v>96.71</v>
      </c>
      <c r="G1171" s="84">
        <v>96.71</v>
      </c>
      <c r="H1171" s="84">
        <v>96.825000000000003</v>
      </c>
      <c r="I1171" s="84">
        <v>97.74</v>
      </c>
      <c r="J1171" s="84"/>
      <c r="K1171" s="84"/>
      <c r="L1171" s="86"/>
      <c r="M1171" s="45"/>
      <c r="N1171" s="52"/>
      <c r="O1171" s="23"/>
    </row>
    <row r="1172" spans="1:15" ht="18" customHeight="1">
      <c r="A1172" s="42" t="s">
        <v>18</v>
      </c>
      <c r="B1172" s="87"/>
      <c r="C1172" s="52">
        <f t="shared" ref="C1172:H1172" si="218">C1171-C1169</f>
        <v>0</v>
      </c>
      <c r="D1172" s="52">
        <f t="shared" si="218"/>
        <v>0.56000000000000227</v>
      </c>
      <c r="E1172" s="52">
        <f t="shared" si="218"/>
        <v>0.43999999999999773</v>
      </c>
      <c r="F1172" s="52">
        <f t="shared" si="218"/>
        <v>0.43999999999999773</v>
      </c>
      <c r="G1172" s="52">
        <f t="shared" si="218"/>
        <v>0.43999999999999773</v>
      </c>
      <c r="H1172" s="52">
        <f t="shared" si="218"/>
        <v>0.55500000000000682</v>
      </c>
      <c r="I1172" s="52">
        <f t="shared" ref="I1172" si="219">I1171-I1169</f>
        <v>0</v>
      </c>
      <c r="J1172" s="52"/>
      <c r="K1172" s="52"/>
      <c r="L1172" s="52"/>
      <c r="M1172" s="47"/>
      <c r="N1172" s="47"/>
      <c r="O1172" s="21"/>
    </row>
    <row r="1173" spans="1:15" ht="18" customHeight="1">
      <c r="A1173" s="42" t="s">
        <v>5</v>
      </c>
      <c r="B1173" s="87"/>
      <c r="C1173" s="52">
        <f t="shared" ref="C1173" si="220">(C1172+B1172)/2*(C1168-B1168)</f>
        <v>0</v>
      </c>
      <c r="D1173" s="52">
        <f t="shared" ref="D1173" si="221">(D1172+C1172)/2*(D1168-C1168)</f>
        <v>0.16800000000000068</v>
      </c>
      <c r="E1173" s="52">
        <f t="shared" ref="E1173" si="222">(E1172+D1172)/2*(E1168-D1168)</f>
        <v>4.9999999999999989E-2</v>
      </c>
      <c r="F1173" s="52">
        <f t="shared" ref="F1173" si="223">(F1172+E1172)/2*(F1168-E1168)</f>
        <v>0.43999999999999773</v>
      </c>
      <c r="G1173" s="52">
        <f t="shared" ref="G1173" si="224">(G1172+F1172)/2*(G1168-F1168)</f>
        <v>0.43999999999999784</v>
      </c>
      <c r="H1173" s="52">
        <f t="shared" ref="H1173" si="225">(H1172+G1172)/2*(H1168-G1168)</f>
        <v>4.9750000000000051E-2</v>
      </c>
      <c r="I1173" s="52">
        <f t="shared" ref="I1173" si="226">(I1172+H1172)/2*(I1168-H1168)</f>
        <v>0.22200000000000281</v>
      </c>
      <c r="J1173" s="52"/>
      <c r="K1173" s="52"/>
      <c r="L1173" s="52"/>
      <c r="M1173" s="47"/>
      <c r="N1173" s="77">
        <f>SUM(B1173:M1173)</f>
        <v>1.3697499999999991</v>
      </c>
      <c r="O1173" s="21"/>
    </row>
    <row r="1174" spans="1:15" ht="18" customHeight="1">
      <c r="A1174" s="2"/>
      <c r="B1174" s="2"/>
      <c r="C1174" s="30"/>
      <c r="D1174" s="30"/>
      <c r="E1174" s="4"/>
      <c r="F1174" s="4"/>
      <c r="G1174" s="4"/>
      <c r="H1174" s="4"/>
      <c r="I1174" s="4"/>
      <c r="J1174" s="179" t="s">
        <v>6</v>
      </c>
      <c r="K1174" s="179"/>
      <c r="L1174" s="179"/>
      <c r="M1174" s="179"/>
      <c r="N1174" s="101">
        <f>N1173</f>
        <v>1.3697499999999991</v>
      </c>
      <c r="O1174" s="21"/>
    </row>
    <row r="1175" spans="1:15" ht="18" customHeight="1">
      <c r="A1175" s="24"/>
      <c r="B1175" s="78"/>
      <c r="C1175" s="18"/>
      <c r="D1175" s="18"/>
      <c r="E1175" s="21"/>
      <c r="F1175" s="21"/>
      <c r="G1175" s="21"/>
      <c r="H1175" s="21"/>
      <c r="I1175" s="21"/>
      <c r="J1175" s="21"/>
      <c r="K1175" s="21"/>
      <c r="L1175" s="21"/>
      <c r="M1175" s="21"/>
      <c r="N1175" s="21"/>
      <c r="O1175" s="21"/>
    </row>
    <row r="1176" spans="1:15" ht="14.1" customHeight="1">
      <c r="A1176" s="2"/>
      <c r="B1176" s="2"/>
      <c r="C1176" s="30"/>
      <c r="D1176" s="30"/>
      <c r="E1176" s="21"/>
      <c r="F1176" s="21"/>
      <c r="G1176" s="21"/>
      <c r="H1176" s="21"/>
      <c r="I1176" s="21"/>
      <c r="J1176" s="30"/>
      <c r="K1176" s="30"/>
      <c r="L1176" s="30"/>
      <c r="M1176" s="30"/>
      <c r="N1176" s="30"/>
    </row>
    <row r="1177" spans="1:15" ht="14.1" customHeight="1">
      <c r="A1177" s="6"/>
      <c r="B1177" s="6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</row>
    <row r="1178" spans="1:15" ht="14.1" customHeight="1">
      <c r="A1178" s="6"/>
      <c r="B1178" s="6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</row>
    <row r="1179" spans="1:15" ht="14.1" customHeight="1">
      <c r="A1179" s="6"/>
      <c r="B1179" s="6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</row>
    <row r="1180" spans="1:15" ht="14.1" customHeight="1">
      <c r="A1180" s="6"/>
      <c r="B1180" s="6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</row>
    <row r="1181" spans="1:15" ht="14.1" customHeight="1">
      <c r="A1181" s="6"/>
      <c r="B1181" s="6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</row>
    <row r="1182" spans="1:15" ht="14.1" customHeight="1">
      <c r="A1182" s="6"/>
      <c r="B1182" s="6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</row>
    <row r="1183" spans="1:15" ht="14.1" customHeight="1">
      <c r="A1183" s="6"/>
      <c r="B1183" s="6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</row>
    <row r="1184" spans="1:15" ht="14.1" customHeight="1">
      <c r="A1184" s="6"/>
      <c r="B1184" s="6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</row>
    <row r="1185" spans="1:14" ht="14.1" customHeight="1">
      <c r="A1185" s="6"/>
      <c r="B1185" s="6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</row>
    <row r="1186" spans="1:14" ht="14.1" customHeight="1">
      <c r="A1186" s="6"/>
      <c r="B1186" s="6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</row>
    <row r="1187" spans="1:14" ht="14.1" customHeight="1">
      <c r="A1187" s="6"/>
      <c r="B1187" s="6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</row>
    <row r="1188" spans="1:14" ht="14.1" customHeight="1">
      <c r="A1188" s="6"/>
      <c r="B1188" s="6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</row>
    <row r="1189" spans="1:14" ht="14.1" customHeight="1">
      <c r="A1189" s="6"/>
      <c r="B1189" s="6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</row>
    <row r="1190" spans="1:14" ht="14.1" customHeight="1">
      <c r="A1190" s="6"/>
      <c r="B1190" s="6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</row>
    <row r="1191" spans="1:14" ht="14.1" customHeight="1">
      <c r="A1191" s="6"/>
      <c r="B1191" s="6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</row>
    <row r="1192" spans="1:14" ht="14.1" customHeight="1">
      <c r="A1192" s="6"/>
      <c r="B1192" s="6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</row>
    <row r="1193" spans="1:14" ht="14.1" customHeight="1">
      <c r="A1193" s="6"/>
      <c r="B1193" s="6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</row>
    <row r="1194" spans="1:14" ht="14.1" customHeight="1">
      <c r="A1194" s="6"/>
      <c r="B1194" s="6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</row>
    <row r="1195" spans="1:14" ht="14.1" customHeight="1">
      <c r="A1195" s="6"/>
      <c r="B1195" s="6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</row>
    <row r="1196" spans="1:14" ht="14.1" customHeight="1">
      <c r="A1196" s="6"/>
      <c r="B1196" s="6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</row>
    <row r="1197" spans="1:14" ht="14.1" customHeight="1">
      <c r="A1197" s="6"/>
      <c r="B1197" s="6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</row>
    <row r="1198" spans="1:14" ht="14.1" customHeight="1">
      <c r="A1198" s="6"/>
      <c r="B1198" s="6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</row>
    <row r="1199" spans="1:14" ht="14.1" customHeight="1">
      <c r="A1199" s="6"/>
      <c r="B1199" s="6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</row>
    <row r="1200" spans="1:14" ht="14.1" customHeight="1">
      <c r="A1200" s="6"/>
      <c r="B1200" s="6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</row>
    <row r="1201" spans="1:16" ht="14.1" customHeight="1">
      <c r="A1201" s="6"/>
      <c r="B1201" s="6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</row>
    <row r="1202" spans="1:16" ht="14.1" customHeight="1">
      <c r="A1202" s="6"/>
      <c r="B1202" s="6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</row>
    <row r="1203" spans="1:16" ht="14.1" customHeight="1">
      <c r="A1203" s="6"/>
      <c r="B1203" s="6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</row>
    <row r="1204" spans="1:16" ht="14.1" customHeight="1">
      <c r="A1204" s="6"/>
      <c r="B1204" s="6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</row>
    <row r="1205" spans="1:16" ht="14.1" customHeight="1">
      <c r="A1205" s="6"/>
      <c r="B1205" s="6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</row>
    <row r="1206" spans="1:16" ht="14.1" customHeight="1">
      <c r="A1206" s="6"/>
      <c r="B1206" s="6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</row>
    <row r="1207" spans="1:16" ht="14.1" customHeight="1">
      <c r="A1207" s="6"/>
      <c r="B1207" s="6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</row>
    <row r="1208" spans="1:16" ht="14.1" customHeight="1">
      <c r="A1208" s="6"/>
      <c r="B1208" s="6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</row>
    <row r="1209" spans="1:16" ht="14.1" customHeight="1">
      <c r="A1209" s="6"/>
      <c r="B1209" s="6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</row>
    <row r="1210" spans="1:16" ht="14.1" customHeight="1">
      <c r="A1210" s="6"/>
      <c r="B1210" s="181"/>
      <c r="C1210" s="181"/>
      <c r="D1210" s="181"/>
      <c r="E1210" s="25"/>
      <c r="F1210" s="25"/>
      <c r="G1210" s="167"/>
      <c r="H1210" s="167"/>
      <c r="I1210" s="167"/>
      <c r="J1210" s="7"/>
      <c r="K1210" s="182"/>
      <c r="L1210" s="182"/>
      <c r="M1210" s="7"/>
      <c r="N1210" s="7"/>
    </row>
    <row r="1211" spans="1:16" ht="14.1" customHeight="1">
      <c r="A1211" s="6"/>
      <c r="B1211" s="170"/>
      <c r="C1211" s="170"/>
      <c r="D1211" s="170"/>
      <c r="E1211" s="26"/>
      <c r="F1211" s="26"/>
      <c r="G1211" s="170"/>
      <c r="H1211" s="170"/>
      <c r="I1211" s="170"/>
      <c r="J1211" s="25"/>
      <c r="K1211" s="171"/>
      <c r="L1211" s="171"/>
      <c r="M1211" s="7"/>
      <c r="N1211" s="7"/>
    </row>
    <row r="1212" spans="1:16" ht="14.1" customHeight="1">
      <c r="A1212" s="6"/>
      <c r="B1212" s="6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</row>
    <row r="1213" spans="1:16" ht="14.1" customHeight="1">
      <c r="A1213" s="6"/>
      <c r="B1213" s="6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</row>
    <row r="1214" spans="1:16" ht="14.1" customHeight="1">
      <c r="A1214" s="6"/>
      <c r="B1214" s="6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</row>
    <row r="1215" spans="1:16" ht="18.75" customHeight="1">
      <c r="A1215" s="184" t="s">
        <v>0</v>
      </c>
      <c r="B1215" s="185"/>
      <c r="C1215" s="185"/>
      <c r="D1215" s="185"/>
      <c r="E1215" s="185"/>
      <c r="F1215" s="185"/>
      <c r="G1215" s="20">
        <v>3840</v>
      </c>
      <c r="H1215" s="1" t="s">
        <v>15</v>
      </c>
      <c r="I1215" s="1"/>
      <c r="J1215" s="32"/>
      <c r="K1215" s="1"/>
      <c r="L1215" s="1"/>
      <c r="M1215" s="1"/>
      <c r="N1215" s="1"/>
    </row>
    <row r="1216" spans="1:16" ht="18.75" customHeight="1">
      <c r="A1216" s="42" t="s">
        <v>1</v>
      </c>
      <c r="B1216" s="82"/>
      <c r="C1216" s="83">
        <v>0</v>
      </c>
      <c r="D1216" s="84">
        <v>0.6</v>
      </c>
      <c r="E1216" s="84">
        <v>0.7</v>
      </c>
      <c r="F1216" s="85">
        <v>1.7</v>
      </c>
      <c r="G1216" s="85">
        <v>2.7</v>
      </c>
      <c r="H1216" s="84">
        <v>2.8</v>
      </c>
      <c r="I1216" s="52">
        <v>3.5</v>
      </c>
      <c r="J1216" s="52"/>
      <c r="K1216" s="84"/>
      <c r="L1216" s="86"/>
      <c r="M1216" s="45"/>
      <c r="N1216" s="47"/>
      <c r="O1216" s="22"/>
      <c r="P1216" s="22"/>
    </row>
    <row r="1217" spans="1:16" ht="18.75" customHeight="1">
      <c r="A1217" s="42" t="s">
        <v>2</v>
      </c>
      <c r="B1217" s="82"/>
      <c r="C1217" s="83">
        <v>97.55</v>
      </c>
      <c r="D1217" s="84">
        <v>96.27</v>
      </c>
      <c r="E1217" s="84">
        <v>96.27</v>
      </c>
      <c r="F1217" s="84">
        <v>96.27</v>
      </c>
      <c r="G1217" s="84">
        <v>96.27</v>
      </c>
      <c r="H1217" s="84">
        <v>96.27</v>
      </c>
      <c r="I1217" s="84">
        <v>97.7</v>
      </c>
      <c r="J1217" s="84"/>
      <c r="K1217" s="84"/>
      <c r="L1217" s="86"/>
      <c r="M1217" s="45"/>
      <c r="N1217" s="47"/>
      <c r="O1217" s="21"/>
      <c r="P1217" s="21"/>
    </row>
    <row r="1218" spans="1:16" ht="18.75" customHeight="1">
      <c r="A1218" s="42" t="s">
        <v>1</v>
      </c>
      <c r="B1218" s="82"/>
      <c r="C1218" s="83">
        <v>0</v>
      </c>
      <c r="D1218" s="84">
        <v>0.6</v>
      </c>
      <c r="E1218" s="84">
        <v>0.7</v>
      </c>
      <c r="F1218" s="85">
        <v>1.7</v>
      </c>
      <c r="G1218" s="85">
        <v>2.7</v>
      </c>
      <c r="H1218" s="84">
        <v>2.8</v>
      </c>
      <c r="I1218" s="52">
        <v>3.5</v>
      </c>
      <c r="J1218" s="52"/>
      <c r="K1218" s="84"/>
      <c r="L1218" s="86"/>
      <c r="M1218" s="45"/>
      <c r="N1218" s="47"/>
      <c r="O1218" s="22"/>
      <c r="P1218" s="22"/>
    </row>
    <row r="1219" spans="1:16" ht="18.75" customHeight="1">
      <c r="A1219" s="42" t="s">
        <v>3</v>
      </c>
      <c r="B1219" s="87"/>
      <c r="C1219" s="83">
        <v>97.55</v>
      </c>
      <c r="D1219" s="84">
        <v>96.796000000000006</v>
      </c>
      <c r="E1219" s="84">
        <v>96.67</v>
      </c>
      <c r="F1219" s="84">
        <v>96.67</v>
      </c>
      <c r="G1219" s="84">
        <v>96.67</v>
      </c>
      <c r="H1219" s="84">
        <v>96.796999999999997</v>
      </c>
      <c r="I1219" s="84">
        <v>97.7</v>
      </c>
      <c r="J1219" s="84"/>
      <c r="K1219" s="84"/>
      <c r="L1219" s="86"/>
      <c r="M1219" s="45"/>
      <c r="N1219" s="52"/>
      <c r="O1219" s="23"/>
      <c r="P1219" s="23"/>
    </row>
    <row r="1220" spans="1:16" ht="18.75" customHeight="1">
      <c r="A1220" s="42" t="s">
        <v>18</v>
      </c>
      <c r="B1220" s="87"/>
      <c r="C1220" s="52">
        <f t="shared" ref="C1220" si="227">C1217-C1219</f>
        <v>0</v>
      </c>
      <c r="D1220" s="52">
        <f>D1219-D1217</f>
        <v>0.52600000000001046</v>
      </c>
      <c r="E1220" s="52">
        <f t="shared" ref="E1220:I1220" si="228">E1219-E1217</f>
        <v>0.40000000000000568</v>
      </c>
      <c r="F1220" s="52">
        <f t="shared" si="228"/>
        <v>0.40000000000000568</v>
      </c>
      <c r="G1220" s="52">
        <f t="shared" si="228"/>
        <v>0.40000000000000568</v>
      </c>
      <c r="H1220" s="52">
        <f t="shared" si="228"/>
        <v>0.52700000000000102</v>
      </c>
      <c r="I1220" s="52">
        <f t="shared" si="228"/>
        <v>0</v>
      </c>
      <c r="J1220" s="52"/>
      <c r="K1220" s="52"/>
      <c r="L1220" s="52"/>
      <c r="M1220" s="47"/>
      <c r="N1220" s="47"/>
      <c r="O1220" s="21"/>
      <c r="P1220" s="21"/>
    </row>
    <row r="1221" spans="1:16" ht="18.75" customHeight="1">
      <c r="A1221" s="42" t="s">
        <v>5</v>
      </c>
      <c r="B1221" s="87"/>
      <c r="C1221" s="52">
        <f t="shared" ref="C1221" si="229">(C1220+B1220)/2*(C1216-B1216)</f>
        <v>0</v>
      </c>
      <c r="D1221" s="52">
        <f>(D1220+C1220)/2*(D1216-C1216)</f>
        <v>0.15780000000000313</v>
      </c>
      <c r="E1221" s="52">
        <f t="shared" ref="E1221" si="230">(E1220+D1220)/2*(E1216-D1216)</f>
        <v>4.6300000000000799E-2</v>
      </c>
      <c r="F1221" s="52">
        <f t="shared" ref="F1221" si="231">(F1220+E1220)/2*(F1216-E1216)</f>
        <v>0.40000000000000568</v>
      </c>
      <c r="G1221" s="52">
        <f t="shared" ref="G1221" si="232">(G1220+F1220)/2*(G1216-F1216)</f>
        <v>0.4000000000000058</v>
      </c>
      <c r="H1221" s="52">
        <f t="shared" ref="H1221" si="233">(H1220+G1220)/2*(H1216-G1216)</f>
        <v>4.6350000000000169E-2</v>
      </c>
      <c r="I1221" s="52">
        <f t="shared" ref="I1221" si="234">(I1220+H1220)/2*(I1216-H1216)</f>
        <v>0.18445000000000039</v>
      </c>
      <c r="J1221" s="52"/>
      <c r="K1221" s="52"/>
      <c r="L1221" s="52"/>
      <c r="M1221" s="47"/>
      <c r="N1221" s="77">
        <f>SUM(B1221:M1221)</f>
        <v>1.2349000000000159</v>
      </c>
      <c r="O1221" s="21"/>
      <c r="P1221" s="21"/>
    </row>
    <row r="1222" spans="1:16" ht="18.75" customHeight="1">
      <c r="A1222" s="2"/>
      <c r="B1222" s="2"/>
      <c r="C1222" s="30"/>
      <c r="D1222" s="30"/>
      <c r="E1222" s="4"/>
      <c r="F1222" s="4"/>
      <c r="G1222" s="4"/>
      <c r="H1222" s="4"/>
      <c r="I1222" s="4"/>
      <c r="J1222" s="179" t="s">
        <v>6</v>
      </c>
      <c r="K1222" s="179"/>
      <c r="L1222" s="179"/>
      <c r="M1222" s="179"/>
      <c r="N1222" s="101">
        <f>N1221</f>
        <v>1.2349000000000159</v>
      </c>
      <c r="O1222" s="21"/>
      <c r="P1222" s="21"/>
    </row>
    <row r="1223" spans="1:16" ht="18.75" customHeight="1">
      <c r="A1223" s="24"/>
      <c r="B1223" s="78"/>
      <c r="C1223" s="18"/>
      <c r="D1223" s="18"/>
      <c r="E1223" s="21"/>
      <c r="F1223" s="21"/>
      <c r="G1223" s="21"/>
      <c r="H1223" s="21"/>
      <c r="I1223" s="21"/>
      <c r="J1223" s="21"/>
      <c r="K1223" s="21"/>
      <c r="L1223" s="21"/>
      <c r="M1223" s="21"/>
      <c r="N1223" s="21"/>
      <c r="O1223" s="31"/>
      <c r="P1223" s="21"/>
    </row>
    <row r="1224" spans="1:16" ht="18.75" customHeight="1">
      <c r="A1224" s="2"/>
      <c r="B1224" s="2"/>
      <c r="C1224" s="30"/>
      <c r="D1224" s="30"/>
      <c r="E1224" s="21"/>
      <c r="F1224" s="21"/>
      <c r="G1224" s="21"/>
      <c r="H1224" s="21"/>
      <c r="I1224" s="21"/>
      <c r="J1224" s="30"/>
      <c r="K1224" s="30"/>
      <c r="L1224" s="30"/>
      <c r="M1224" s="30"/>
      <c r="N1224" s="30"/>
    </row>
    <row r="1225" spans="1:16" ht="14.1" customHeight="1">
      <c r="A1225" s="6"/>
      <c r="B1225" s="6"/>
      <c r="C1225" s="7"/>
      <c r="D1225" s="7"/>
      <c r="E1225" s="7"/>
      <c r="F1225" s="7"/>
      <c r="G1225" s="7"/>
      <c r="H1225" s="7"/>
      <c r="I1225" s="7"/>
      <c r="K1225" s="7"/>
      <c r="L1225" s="7"/>
      <c r="M1225" s="7"/>
      <c r="N1225" s="7"/>
    </row>
    <row r="1226" spans="1:16" ht="14.1" customHeight="1">
      <c r="A1226" s="6"/>
      <c r="B1226" s="6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</row>
    <row r="1227" spans="1:16" ht="14.1" customHeight="1">
      <c r="A1227" s="6"/>
      <c r="B1227" s="6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</row>
    <row r="1228" spans="1:16" ht="14.1" customHeight="1">
      <c r="A1228" s="6"/>
      <c r="B1228" s="6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</row>
    <row r="1229" spans="1:16" ht="14.1" customHeight="1">
      <c r="A1229" s="6"/>
      <c r="B1229" s="6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</row>
    <row r="1230" spans="1:16" ht="14.1" customHeight="1">
      <c r="A1230" s="6"/>
      <c r="B1230" s="6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</row>
    <row r="1231" spans="1:16" ht="14.1" customHeight="1">
      <c r="A1231" s="6"/>
      <c r="B1231" s="6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</row>
    <row r="1232" spans="1:16" ht="14.1" customHeight="1">
      <c r="A1232" s="6"/>
      <c r="B1232" s="6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</row>
    <row r="1233" spans="1:14" ht="14.1" customHeight="1">
      <c r="A1233" s="6"/>
      <c r="B1233" s="6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</row>
    <row r="1234" spans="1:14" ht="14.1" customHeight="1">
      <c r="A1234" s="6"/>
      <c r="B1234" s="6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</row>
    <row r="1235" spans="1:14" ht="14.1" customHeight="1">
      <c r="A1235" s="6"/>
      <c r="B1235" s="6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</row>
    <row r="1236" spans="1:14" ht="14.1" customHeight="1">
      <c r="A1236" s="6"/>
      <c r="B1236" s="6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</row>
    <row r="1237" spans="1:14" ht="14.1" customHeight="1">
      <c r="A1237" s="6"/>
      <c r="B1237" s="6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</row>
    <row r="1238" spans="1:14" ht="14.1" customHeight="1">
      <c r="A1238" s="6"/>
      <c r="B1238" s="6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</row>
    <row r="1239" spans="1:14" ht="14.1" customHeight="1">
      <c r="A1239" s="6"/>
      <c r="B1239" s="6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</row>
    <row r="1240" spans="1:14" ht="14.1" customHeight="1">
      <c r="A1240" s="6"/>
      <c r="B1240" s="6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</row>
    <row r="1241" spans="1:14" ht="14.1" customHeight="1">
      <c r="A1241" s="6"/>
      <c r="B1241" s="6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</row>
    <row r="1242" spans="1:14" ht="14.1" customHeight="1">
      <c r="A1242" s="6"/>
      <c r="B1242" s="6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</row>
    <row r="1243" spans="1:14" ht="14.1" customHeight="1">
      <c r="A1243" s="6"/>
      <c r="B1243" s="6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</row>
    <row r="1244" spans="1:14" ht="14.1" customHeight="1">
      <c r="A1244" s="6"/>
      <c r="B1244" s="6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</row>
    <row r="1245" spans="1:14" ht="14.1" customHeight="1">
      <c r="A1245" s="6"/>
      <c r="B1245" s="6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</row>
    <row r="1246" spans="1:14" ht="14.1" customHeight="1">
      <c r="A1246" s="6"/>
      <c r="B1246" s="6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</row>
    <row r="1247" spans="1:14" ht="14.1" customHeight="1">
      <c r="A1247" s="6"/>
      <c r="B1247" s="6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</row>
    <row r="1248" spans="1:14" ht="14.1" customHeight="1">
      <c r="A1248" s="6"/>
      <c r="B1248" s="6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</row>
    <row r="1249" spans="1:16" ht="14.1" customHeight="1">
      <c r="A1249" s="6"/>
      <c r="B1249" s="6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</row>
    <row r="1250" spans="1:16" ht="18" customHeight="1">
      <c r="A1250" s="184" t="s">
        <v>0</v>
      </c>
      <c r="B1250" s="185"/>
      <c r="C1250" s="185"/>
      <c r="D1250" s="185"/>
      <c r="E1250" s="185"/>
      <c r="F1250" s="185"/>
      <c r="G1250" s="20">
        <v>3900</v>
      </c>
      <c r="H1250" s="1" t="s">
        <v>15</v>
      </c>
      <c r="I1250" s="1"/>
      <c r="J1250" s="32"/>
      <c r="K1250" s="1"/>
      <c r="L1250" s="1"/>
      <c r="M1250" s="1"/>
      <c r="N1250" s="1"/>
    </row>
    <row r="1251" spans="1:16" ht="18" customHeight="1">
      <c r="A1251" s="42" t="s">
        <v>1</v>
      </c>
      <c r="B1251" s="82"/>
      <c r="C1251" s="83">
        <v>0</v>
      </c>
      <c r="D1251" s="84">
        <v>0.6</v>
      </c>
      <c r="E1251" s="84">
        <v>0.7</v>
      </c>
      <c r="F1251" s="85">
        <v>1.7</v>
      </c>
      <c r="G1251" s="85">
        <v>2.7</v>
      </c>
      <c r="H1251" s="84">
        <v>2.8</v>
      </c>
      <c r="I1251" s="52">
        <v>3.6</v>
      </c>
      <c r="J1251" s="52"/>
      <c r="K1251" s="84"/>
      <c r="L1251" s="86"/>
      <c r="M1251" s="45"/>
      <c r="N1251" s="47"/>
      <c r="O1251" s="22"/>
      <c r="P1251" s="22"/>
    </row>
    <row r="1252" spans="1:16" ht="18" customHeight="1">
      <c r="A1252" s="42" t="s">
        <v>2</v>
      </c>
      <c r="B1252" s="82"/>
      <c r="C1252" s="83">
        <v>97.55</v>
      </c>
      <c r="D1252" s="84">
        <v>96.26</v>
      </c>
      <c r="E1252" s="84">
        <v>96.26</v>
      </c>
      <c r="F1252" s="84">
        <v>96.26</v>
      </c>
      <c r="G1252" s="84">
        <v>96.26</v>
      </c>
      <c r="H1252" s="84">
        <v>96.26</v>
      </c>
      <c r="I1252" s="84">
        <v>97.73</v>
      </c>
      <c r="J1252" s="84"/>
      <c r="K1252" s="84"/>
      <c r="L1252" s="86"/>
      <c r="M1252" s="45"/>
      <c r="N1252" s="47"/>
      <c r="O1252" s="21"/>
      <c r="P1252" s="21"/>
    </row>
    <row r="1253" spans="1:16" ht="18" customHeight="1">
      <c r="A1253" s="42" t="s">
        <v>1</v>
      </c>
      <c r="B1253" s="82"/>
      <c r="C1253" s="83">
        <v>0</v>
      </c>
      <c r="D1253" s="84">
        <v>0.6</v>
      </c>
      <c r="E1253" s="84">
        <v>0.7</v>
      </c>
      <c r="F1253" s="85">
        <v>1.7</v>
      </c>
      <c r="G1253" s="85">
        <v>2.7</v>
      </c>
      <c r="H1253" s="84">
        <v>2.8</v>
      </c>
      <c r="I1253" s="52">
        <v>3.6</v>
      </c>
      <c r="J1253" s="52"/>
      <c r="K1253" s="84"/>
      <c r="L1253" s="86"/>
      <c r="M1253" s="45"/>
      <c r="N1253" s="47"/>
      <c r="O1253" s="22"/>
      <c r="P1253" s="22"/>
    </row>
    <row r="1254" spans="1:16" ht="18" customHeight="1">
      <c r="A1254" s="42" t="s">
        <v>3</v>
      </c>
      <c r="B1254" s="87"/>
      <c r="C1254" s="83">
        <v>97.55</v>
      </c>
      <c r="D1254" s="84">
        <v>96.804000000000002</v>
      </c>
      <c r="E1254" s="84">
        <v>96.68</v>
      </c>
      <c r="F1254" s="84">
        <v>96.68</v>
      </c>
      <c r="G1254" s="84">
        <v>96.68</v>
      </c>
      <c r="H1254" s="84">
        <v>96.796999999999997</v>
      </c>
      <c r="I1254" s="84">
        <v>97.73</v>
      </c>
      <c r="J1254" s="84"/>
      <c r="K1254" s="84"/>
      <c r="L1254" s="86"/>
      <c r="M1254" s="45"/>
      <c r="N1254" s="52"/>
      <c r="O1254" s="23"/>
      <c r="P1254" s="23"/>
    </row>
    <row r="1255" spans="1:16" ht="18" customHeight="1">
      <c r="A1255" s="42" t="s">
        <v>18</v>
      </c>
      <c r="B1255" s="87"/>
      <c r="C1255" s="52">
        <f t="shared" ref="C1255" si="235">C1252-C1254</f>
        <v>0</v>
      </c>
      <c r="D1255" s="52">
        <f>D1254-D1252</f>
        <v>0.54399999999999693</v>
      </c>
      <c r="E1255" s="52">
        <f t="shared" ref="E1255:I1255" si="236">E1254-E1252</f>
        <v>0.42000000000000171</v>
      </c>
      <c r="F1255" s="52">
        <f t="shared" si="236"/>
        <v>0.42000000000000171</v>
      </c>
      <c r="G1255" s="52">
        <f t="shared" si="236"/>
        <v>0.42000000000000171</v>
      </c>
      <c r="H1255" s="52">
        <f t="shared" si="236"/>
        <v>0.53699999999999193</v>
      </c>
      <c r="I1255" s="52">
        <f t="shared" si="236"/>
        <v>0</v>
      </c>
      <c r="J1255" s="52"/>
      <c r="K1255" s="52"/>
      <c r="L1255" s="52"/>
      <c r="M1255" s="47"/>
      <c r="N1255" s="47"/>
      <c r="O1255" s="21"/>
      <c r="P1255" s="21"/>
    </row>
    <row r="1256" spans="1:16" ht="18" customHeight="1">
      <c r="A1256" s="42" t="s">
        <v>5</v>
      </c>
      <c r="B1256" s="87"/>
      <c r="C1256" s="52">
        <f t="shared" ref="C1256" si="237">(C1255+B1255)/2*(C1251-B1251)</f>
        <v>0</v>
      </c>
      <c r="D1256" s="52">
        <f>(D1255+C1255)/2*(D1251-C1251)</f>
        <v>0.16319999999999907</v>
      </c>
      <c r="E1256" s="52">
        <f t="shared" ref="E1256" si="238">(E1255+D1255)/2*(E1251-D1251)</f>
        <v>4.8199999999999923E-2</v>
      </c>
      <c r="F1256" s="52">
        <f t="shared" ref="F1256" si="239">(F1255+E1255)/2*(F1251-E1251)</f>
        <v>0.42000000000000171</v>
      </c>
      <c r="G1256" s="52">
        <f t="shared" ref="G1256" si="240">(G1255+F1255)/2*(G1251-F1251)</f>
        <v>0.42000000000000182</v>
      </c>
      <c r="H1256" s="52">
        <f t="shared" ref="H1256" si="241">(H1255+G1255)/2*(H1251-G1251)</f>
        <v>4.7849999999999511E-2</v>
      </c>
      <c r="I1256" s="52">
        <f t="shared" ref="I1256" si="242">(I1255+H1255)/2*(I1251-H1251)</f>
        <v>0.21479999999999685</v>
      </c>
      <c r="J1256" s="52"/>
      <c r="K1256" s="52"/>
      <c r="L1256" s="52"/>
      <c r="M1256" s="47"/>
      <c r="N1256" s="77">
        <f>SUM(B1256:M1256)</f>
        <v>1.3140499999999986</v>
      </c>
      <c r="O1256" s="21"/>
      <c r="P1256" s="21"/>
    </row>
    <row r="1257" spans="1:16" ht="18" customHeight="1">
      <c r="A1257" s="2"/>
      <c r="B1257" s="2"/>
      <c r="C1257" s="30"/>
      <c r="D1257" s="30"/>
      <c r="E1257" s="4"/>
      <c r="F1257" s="4"/>
      <c r="G1257" s="4"/>
      <c r="H1257" s="4"/>
      <c r="I1257" s="4"/>
      <c r="J1257" s="179" t="s">
        <v>6</v>
      </c>
      <c r="K1257" s="179"/>
      <c r="L1257" s="179"/>
      <c r="M1257" s="179"/>
      <c r="N1257" s="101">
        <f>N1256</f>
        <v>1.3140499999999986</v>
      </c>
      <c r="O1257" s="21"/>
      <c r="P1257" s="21"/>
    </row>
    <row r="1258" spans="1:16" ht="18" customHeight="1">
      <c r="A1258" s="24"/>
      <c r="B1258" s="78"/>
      <c r="C1258" s="18"/>
      <c r="D1258" s="18"/>
      <c r="E1258" s="21"/>
      <c r="F1258" s="21"/>
      <c r="G1258" s="21"/>
      <c r="H1258" s="21"/>
      <c r="I1258" s="21"/>
      <c r="J1258" s="21"/>
      <c r="K1258" s="21"/>
      <c r="L1258" s="21"/>
      <c r="M1258" s="21"/>
      <c r="N1258" s="21"/>
      <c r="O1258" s="31"/>
      <c r="P1258" s="21"/>
    </row>
    <row r="1259" spans="1:16" ht="14.1" customHeight="1">
      <c r="A1259" s="2"/>
      <c r="B1259" s="2"/>
      <c r="C1259" s="30"/>
      <c r="D1259" s="30"/>
      <c r="E1259" s="21"/>
      <c r="F1259" s="21"/>
      <c r="G1259" s="21"/>
      <c r="H1259" s="21"/>
      <c r="I1259" s="21"/>
      <c r="J1259" s="30"/>
      <c r="K1259" s="30"/>
      <c r="L1259" s="30"/>
      <c r="M1259" s="30"/>
      <c r="N1259" s="30"/>
    </row>
    <row r="1260" spans="1:16" ht="14.1" customHeight="1">
      <c r="A1260" s="2"/>
      <c r="B1260" s="2"/>
      <c r="C1260" s="30"/>
      <c r="D1260" s="30"/>
      <c r="E1260" s="4"/>
      <c r="F1260" s="4"/>
      <c r="G1260" s="4"/>
      <c r="H1260" s="4"/>
      <c r="I1260" s="4"/>
      <c r="J1260" s="30"/>
      <c r="K1260" s="30"/>
      <c r="L1260" s="30"/>
      <c r="M1260" s="30"/>
      <c r="N1260" s="30"/>
    </row>
    <row r="1261" spans="1:16" ht="14.1" customHeight="1">
      <c r="A1261" s="2"/>
      <c r="B1261" s="2"/>
      <c r="C1261" s="30"/>
      <c r="D1261" s="30"/>
      <c r="E1261" s="4"/>
      <c r="F1261" s="4"/>
      <c r="G1261" s="4"/>
      <c r="H1261" s="4"/>
      <c r="I1261" s="4"/>
      <c r="J1261" s="30"/>
      <c r="K1261" s="30"/>
      <c r="L1261" s="30"/>
      <c r="M1261" s="30"/>
      <c r="N1261" s="30"/>
    </row>
    <row r="1262" spans="1:16" ht="14.1" customHeight="1">
      <c r="A1262" s="6"/>
      <c r="B1262" s="6"/>
      <c r="C1262" s="7"/>
      <c r="D1262" s="7"/>
      <c r="E1262" s="7"/>
      <c r="F1262" s="7"/>
      <c r="G1262" s="7"/>
      <c r="H1262" s="7"/>
      <c r="I1262" s="7"/>
      <c r="K1262" s="7"/>
      <c r="L1262" s="7"/>
      <c r="M1262" s="7"/>
      <c r="N1262" s="7"/>
    </row>
    <row r="1263" spans="1:16" ht="14.1" customHeight="1">
      <c r="A1263" s="6"/>
      <c r="B1263" s="6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</row>
    <row r="1264" spans="1:16" ht="14.1" customHeight="1">
      <c r="A1264" s="6"/>
      <c r="B1264" s="6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</row>
    <row r="1265" spans="1:14" ht="14.1" customHeight="1">
      <c r="A1265" s="6"/>
      <c r="B1265" s="6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</row>
    <row r="1266" spans="1:14" ht="14.1" customHeight="1">
      <c r="A1266" s="6"/>
      <c r="B1266" s="6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</row>
    <row r="1267" spans="1:14" ht="14.1" customHeight="1">
      <c r="A1267" s="6"/>
      <c r="B1267" s="6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</row>
    <row r="1268" spans="1:14" ht="14.1" customHeight="1">
      <c r="A1268" s="6"/>
      <c r="B1268" s="6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</row>
    <row r="1269" spans="1:14" ht="14.1" customHeight="1">
      <c r="A1269" s="6"/>
      <c r="B1269" s="6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</row>
    <row r="1270" spans="1:14" ht="14.1" customHeight="1">
      <c r="A1270" s="6"/>
      <c r="B1270" s="6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</row>
    <row r="1271" spans="1:14" ht="14.1" customHeight="1">
      <c r="A1271" s="6"/>
      <c r="B1271" s="6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</row>
    <row r="1272" spans="1:14" ht="14.1" customHeight="1">
      <c r="A1272" s="6"/>
      <c r="B1272" s="6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</row>
    <row r="1273" spans="1:14" ht="14.1" customHeight="1">
      <c r="A1273" s="6"/>
      <c r="B1273" s="6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</row>
    <row r="1274" spans="1:14" ht="14.1" customHeight="1">
      <c r="A1274" s="6"/>
      <c r="B1274" s="6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</row>
    <row r="1275" spans="1:14" ht="14.1" customHeight="1">
      <c r="A1275" s="6"/>
      <c r="B1275" s="6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</row>
    <row r="1276" spans="1:14" ht="14.1" customHeight="1">
      <c r="A1276" s="6"/>
      <c r="B1276" s="6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</row>
    <row r="1277" spans="1:14" ht="14.1" customHeight="1">
      <c r="A1277" s="6"/>
      <c r="B1277" s="6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</row>
    <row r="1278" spans="1:14" ht="14.1" customHeight="1">
      <c r="A1278" s="6"/>
      <c r="B1278" s="6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</row>
    <row r="1279" spans="1:14" ht="14.1" customHeight="1">
      <c r="A1279" s="6"/>
      <c r="B1279" s="6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</row>
    <row r="1280" spans="1:14" ht="14.1" customHeight="1">
      <c r="A1280" s="6"/>
      <c r="B1280" s="6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</row>
    <row r="1281" spans="1:14" ht="14.1" customHeight="1">
      <c r="A1281" s="6"/>
      <c r="B1281" s="6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</row>
    <row r="1282" spans="1:14" ht="14.1" customHeight="1">
      <c r="A1282" s="6"/>
      <c r="B1282" s="6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</row>
    <row r="1283" spans="1:14" ht="14.1" customHeight="1">
      <c r="A1283" s="6"/>
      <c r="B1283" s="6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</row>
    <row r="1284" spans="1:14" ht="14.1" customHeight="1">
      <c r="A1284" s="6"/>
      <c r="B1284" s="6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</row>
    <row r="1285" spans="1:14" ht="14.1" customHeight="1">
      <c r="A1285" s="6"/>
      <c r="B1285" s="181"/>
      <c r="C1285" s="181"/>
      <c r="D1285" s="181"/>
      <c r="E1285" s="25"/>
      <c r="F1285" s="25"/>
      <c r="G1285" s="167"/>
      <c r="H1285" s="167"/>
      <c r="I1285" s="167"/>
      <c r="J1285" s="7"/>
      <c r="K1285" s="182"/>
      <c r="L1285" s="182"/>
      <c r="M1285" s="7"/>
      <c r="N1285" s="7"/>
    </row>
    <row r="1286" spans="1:14" ht="14.1" customHeight="1">
      <c r="A1286" s="6"/>
      <c r="B1286" s="170"/>
      <c r="C1286" s="170"/>
      <c r="D1286" s="170"/>
      <c r="E1286" s="26"/>
      <c r="F1286" s="26"/>
      <c r="G1286" s="170"/>
      <c r="H1286" s="170"/>
      <c r="I1286" s="170"/>
      <c r="J1286" s="25"/>
      <c r="K1286" s="171"/>
      <c r="L1286" s="171"/>
      <c r="M1286" s="7"/>
      <c r="N1286" s="7"/>
    </row>
    <row r="1287" spans="1:14" ht="14.1" customHeight="1">
      <c r="A1287" s="6"/>
      <c r="B1287" s="6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</row>
    <row r="1288" spans="1:14" ht="14.1" customHeight="1">
      <c r="A1288" s="6"/>
      <c r="B1288" s="6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</row>
    <row r="1289" spans="1:14" ht="14.1" customHeight="1">
      <c r="A1289" s="6"/>
      <c r="B1289" s="6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</row>
    <row r="1290" spans="1:14" ht="14.1" customHeight="1">
      <c r="A1290" s="6"/>
      <c r="B1290" s="6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</row>
    <row r="1291" spans="1:14" ht="14.1" customHeight="1">
      <c r="A1291" s="6"/>
      <c r="B1291" s="6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</row>
    <row r="1292" spans="1:14" ht="14.1" customHeight="1">
      <c r="A1292" s="6"/>
      <c r="B1292" s="6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</row>
    <row r="1293" spans="1:14" ht="14.1" customHeight="1">
      <c r="A1293" s="6"/>
      <c r="B1293" s="181"/>
      <c r="C1293" s="181"/>
      <c r="D1293" s="181"/>
      <c r="E1293" s="25"/>
      <c r="F1293" s="25"/>
      <c r="G1293" s="167"/>
      <c r="H1293" s="167"/>
      <c r="I1293" s="167"/>
      <c r="J1293" s="7"/>
      <c r="K1293" s="182"/>
      <c r="L1293" s="182"/>
      <c r="M1293" s="7"/>
      <c r="N1293" s="7"/>
    </row>
    <row r="1294" spans="1:14" ht="14.1" customHeight="1">
      <c r="A1294" s="6"/>
      <c r="B1294" s="170"/>
      <c r="C1294" s="170"/>
      <c r="D1294" s="170"/>
      <c r="E1294" s="26"/>
      <c r="F1294" s="26"/>
      <c r="G1294" s="170"/>
      <c r="H1294" s="170"/>
      <c r="I1294" s="170"/>
      <c r="J1294" s="25"/>
      <c r="K1294" s="171"/>
      <c r="L1294" s="171"/>
      <c r="M1294" s="7"/>
      <c r="N1294" s="7"/>
    </row>
    <row r="1295" spans="1:14" ht="14.1" customHeight="1">
      <c r="A1295" s="6"/>
      <c r="B1295" s="6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</row>
    <row r="1296" spans="1:14" ht="14.1" customHeight="1">
      <c r="A1296" s="6"/>
      <c r="B1296" s="6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</row>
    <row r="1297" spans="1:14" ht="18" customHeight="1">
      <c r="A1297" s="184" t="s">
        <v>0</v>
      </c>
      <c r="B1297" s="185"/>
      <c r="C1297" s="185"/>
      <c r="D1297" s="185"/>
      <c r="E1297" s="185"/>
      <c r="F1297" s="185"/>
      <c r="G1297" s="20">
        <v>3960</v>
      </c>
      <c r="H1297" s="1" t="s">
        <v>15</v>
      </c>
      <c r="I1297" s="1"/>
      <c r="J1297" s="32"/>
      <c r="K1297" s="1"/>
      <c r="L1297" s="1"/>
      <c r="M1297" s="1"/>
      <c r="N1297" s="1"/>
    </row>
    <row r="1298" spans="1:14" ht="18" customHeight="1">
      <c r="A1298" s="42" t="s">
        <v>1</v>
      </c>
      <c r="B1298" s="82"/>
      <c r="C1298" s="83">
        <v>0</v>
      </c>
      <c r="D1298" s="84">
        <v>0.6</v>
      </c>
      <c r="E1298" s="84">
        <v>0.7</v>
      </c>
      <c r="F1298" s="85">
        <v>1.7</v>
      </c>
      <c r="G1298" s="85">
        <v>2.7</v>
      </c>
      <c r="H1298" s="84">
        <v>2.8</v>
      </c>
      <c r="I1298" s="52">
        <v>3.5</v>
      </c>
      <c r="J1298" s="52"/>
      <c r="K1298" s="84"/>
      <c r="L1298" s="86"/>
      <c r="M1298" s="45"/>
      <c r="N1298" s="47"/>
    </row>
    <row r="1299" spans="1:14" ht="18" customHeight="1">
      <c r="A1299" s="42" t="s">
        <v>2</v>
      </c>
      <c r="B1299" s="82"/>
      <c r="C1299" s="83">
        <v>97.49</v>
      </c>
      <c r="D1299" s="84">
        <v>96.04</v>
      </c>
      <c r="E1299" s="84">
        <v>96.04</v>
      </c>
      <c r="F1299" s="84">
        <v>96.04</v>
      </c>
      <c r="G1299" s="84">
        <v>96.04</v>
      </c>
      <c r="H1299" s="84">
        <v>96.04</v>
      </c>
      <c r="I1299" s="84">
        <v>97.66</v>
      </c>
      <c r="J1299" s="84"/>
      <c r="K1299" s="84"/>
      <c r="L1299" s="86"/>
      <c r="M1299" s="45"/>
      <c r="N1299" s="47"/>
    </row>
    <row r="1300" spans="1:14" ht="18" customHeight="1">
      <c r="A1300" s="42" t="s">
        <v>1</v>
      </c>
      <c r="B1300" s="82"/>
      <c r="C1300" s="83">
        <v>0</v>
      </c>
      <c r="D1300" s="84">
        <v>0.6</v>
      </c>
      <c r="E1300" s="84">
        <v>0.7</v>
      </c>
      <c r="F1300" s="85">
        <v>1.7</v>
      </c>
      <c r="G1300" s="85">
        <v>2.7</v>
      </c>
      <c r="H1300" s="84">
        <v>2.8</v>
      </c>
      <c r="I1300" s="52">
        <v>3.5</v>
      </c>
      <c r="J1300" s="52"/>
      <c r="K1300" s="84"/>
      <c r="L1300" s="86"/>
      <c r="M1300" s="45"/>
      <c r="N1300" s="47"/>
    </row>
    <row r="1301" spans="1:14" ht="18" customHeight="1">
      <c r="A1301" s="42" t="s">
        <v>3</v>
      </c>
      <c r="B1301" s="87"/>
      <c r="C1301" s="83">
        <v>97.49</v>
      </c>
      <c r="D1301" s="84">
        <v>96.62</v>
      </c>
      <c r="E1301" s="84">
        <v>96.48</v>
      </c>
      <c r="F1301" s="84">
        <v>96.48</v>
      </c>
      <c r="G1301" s="84">
        <v>96.48</v>
      </c>
      <c r="H1301" s="84">
        <v>96.63</v>
      </c>
      <c r="I1301" s="84">
        <v>97.66</v>
      </c>
      <c r="J1301" s="84"/>
      <c r="K1301" s="84"/>
      <c r="L1301" s="86"/>
      <c r="M1301" s="45"/>
      <c r="N1301" s="52"/>
    </row>
    <row r="1302" spans="1:14" ht="18" customHeight="1">
      <c r="A1302" s="42" t="s">
        <v>18</v>
      </c>
      <c r="B1302" s="87"/>
      <c r="C1302" s="52">
        <f t="shared" ref="C1302" si="243">C1299-C1301</f>
        <v>0</v>
      </c>
      <c r="D1302" s="52">
        <f>D1301-D1299</f>
        <v>0.57999999999999829</v>
      </c>
      <c r="E1302" s="52">
        <f t="shared" ref="E1302:I1302" si="244">E1301-E1299</f>
        <v>0.43999999999999773</v>
      </c>
      <c r="F1302" s="52">
        <f t="shared" si="244"/>
        <v>0.43999999999999773</v>
      </c>
      <c r="G1302" s="52">
        <f t="shared" si="244"/>
        <v>0.43999999999999773</v>
      </c>
      <c r="H1302" s="52">
        <f t="shared" si="244"/>
        <v>0.5899999999999892</v>
      </c>
      <c r="I1302" s="52">
        <f t="shared" si="244"/>
        <v>0</v>
      </c>
      <c r="J1302" s="52"/>
      <c r="K1302" s="52"/>
      <c r="L1302" s="52"/>
      <c r="M1302" s="47"/>
      <c r="N1302" s="47"/>
    </row>
    <row r="1303" spans="1:14" ht="18" customHeight="1">
      <c r="A1303" s="42" t="s">
        <v>5</v>
      </c>
      <c r="B1303" s="87"/>
      <c r="C1303" s="52">
        <f t="shared" ref="C1303" si="245">(C1302+B1302)/2*(C1298-B1298)</f>
        <v>0</v>
      </c>
      <c r="D1303" s="52">
        <f>(D1302+C1302)/2*(D1298-C1298)</f>
        <v>0.17399999999999949</v>
      </c>
      <c r="E1303" s="52">
        <f t="shared" ref="E1303" si="246">(E1302+D1302)/2*(E1298-D1298)</f>
        <v>5.0999999999999789E-2</v>
      </c>
      <c r="F1303" s="52">
        <f t="shared" ref="F1303" si="247">(F1302+E1302)/2*(F1298-E1298)</f>
        <v>0.43999999999999773</v>
      </c>
      <c r="G1303" s="52">
        <f t="shared" ref="G1303" si="248">(G1302+F1302)/2*(G1298-F1298)</f>
        <v>0.43999999999999784</v>
      </c>
      <c r="H1303" s="52">
        <f t="shared" ref="H1303" si="249">(H1302+G1302)/2*(H1298-G1298)</f>
        <v>5.1499999999999165E-2</v>
      </c>
      <c r="I1303" s="52">
        <f t="shared" ref="I1303" si="250">(I1302+H1302)/2*(I1298-H1298)</f>
        <v>0.20649999999999627</v>
      </c>
      <c r="J1303" s="52"/>
      <c r="K1303" s="52"/>
      <c r="L1303" s="52"/>
      <c r="M1303" s="47"/>
      <c r="N1303" s="77">
        <f>SUM(B1303:M1303)</f>
        <v>1.3629999999999904</v>
      </c>
    </row>
    <row r="1304" spans="1:14" ht="18" customHeight="1">
      <c r="A1304" s="2"/>
      <c r="B1304" s="2"/>
      <c r="C1304" s="30"/>
      <c r="D1304" s="30"/>
      <c r="E1304" s="4"/>
      <c r="F1304" s="4"/>
      <c r="G1304" s="4"/>
      <c r="H1304" s="4"/>
      <c r="I1304" s="4"/>
      <c r="J1304" s="179" t="s">
        <v>6</v>
      </c>
      <c r="K1304" s="179"/>
      <c r="L1304" s="179"/>
      <c r="M1304" s="179"/>
      <c r="N1304" s="101">
        <f>N1303</f>
        <v>1.3629999999999904</v>
      </c>
    </row>
    <row r="1305" spans="1:14" ht="18" customHeight="1">
      <c r="A1305" s="24"/>
      <c r="B1305" s="78"/>
      <c r="C1305" s="18"/>
      <c r="D1305" s="18"/>
      <c r="E1305" s="21"/>
      <c r="F1305" s="21"/>
      <c r="G1305" s="21"/>
      <c r="H1305" s="21"/>
      <c r="I1305" s="21"/>
      <c r="J1305" s="21"/>
      <c r="K1305" s="21"/>
      <c r="L1305" s="21"/>
      <c r="M1305" s="21"/>
      <c r="N1305" s="21"/>
    </row>
    <row r="1306" spans="1:14" ht="14.1" customHeight="1">
      <c r="A1306" s="2"/>
      <c r="B1306" s="2"/>
      <c r="C1306" s="30"/>
      <c r="D1306" s="30"/>
      <c r="E1306" s="21"/>
      <c r="F1306" s="21"/>
      <c r="G1306" s="21"/>
      <c r="H1306" s="21"/>
      <c r="I1306" s="21"/>
      <c r="J1306" s="30"/>
      <c r="K1306" s="30"/>
      <c r="L1306" s="30"/>
      <c r="M1306" s="30"/>
      <c r="N1306" s="30"/>
    </row>
    <row r="1307" spans="1:14" ht="14.1" customHeight="1">
      <c r="A1307" s="6"/>
      <c r="B1307" s="6"/>
      <c r="C1307" s="7"/>
      <c r="D1307" s="7"/>
      <c r="E1307" s="7"/>
      <c r="F1307" s="7"/>
      <c r="G1307" s="7"/>
      <c r="H1307" s="7"/>
      <c r="I1307" s="7"/>
      <c r="K1307" s="7"/>
      <c r="L1307" s="7"/>
      <c r="M1307" s="7"/>
      <c r="N1307" s="7"/>
    </row>
    <row r="1308" spans="1:14" ht="14.1" customHeight="1">
      <c r="A1308" s="6"/>
      <c r="B1308" s="6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</row>
    <row r="1309" spans="1:14" ht="14.1" customHeight="1">
      <c r="A1309" s="6"/>
      <c r="B1309" s="6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</row>
    <row r="1310" spans="1:14" ht="14.1" customHeight="1">
      <c r="A1310" s="6"/>
      <c r="B1310" s="6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</row>
    <row r="1311" spans="1:14" ht="14.1" customHeight="1">
      <c r="A1311" s="6"/>
      <c r="B1311" s="6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</row>
    <row r="1312" spans="1:14" ht="14.1" customHeight="1">
      <c r="A1312" s="6"/>
      <c r="B1312" s="6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</row>
    <row r="1313" spans="1:14" ht="14.1" customHeight="1">
      <c r="A1313" s="6"/>
      <c r="B1313" s="6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</row>
    <row r="1314" spans="1:14" ht="14.1" customHeight="1">
      <c r="A1314" s="6"/>
      <c r="B1314" s="6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</row>
    <row r="1315" spans="1:14" ht="14.1" customHeight="1">
      <c r="A1315" s="6"/>
      <c r="B1315" s="6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</row>
    <row r="1316" spans="1:14" ht="14.1" customHeight="1">
      <c r="A1316" s="6"/>
      <c r="B1316" s="6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</row>
    <row r="1317" spans="1:14" ht="14.1" customHeight="1">
      <c r="A1317" s="6"/>
      <c r="B1317" s="6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</row>
    <row r="1318" spans="1:14" ht="14.1" customHeight="1">
      <c r="A1318" s="6"/>
      <c r="B1318" s="6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</row>
    <row r="1319" spans="1:14" ht="14.1" customHeight="1">
      <c r="A1319" s="6"/>
      <c r="B1319" s="6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</row>
    <row r="1320" spans="1:14" ht="14.1" customHeight="1">
      <c r="A1320" s="6"/>
      <c r="B1320" s="6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</row>
    <row r="1321" spans="1:14" ht="14.1" customHeight="1">
      <c r="A1321" s="6"/>
      <c r="B1321" s="6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</row>
    <row r="1322" spans="1:14" ht="14.1" customHeight="1">
      <c r="A1322" s="6"/>
      <c r="B1322" s="6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</row>
    <row r="1323" spans="1:14" ht="14.1" customHeight="1">
      <c r="A1323" s="6"/>
      <c r="B1323" s="6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</row>
    <row r="1324" spans="1:14" ht="14.1" customHeight="1">
      <c r="A1324" s="6"/>
      <c r="B1324" s="6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</row>
    <row r="1325" spans="1:14" ht="14.1" customHeight="1">
      <c r="A1325" s="6"/>
      <c r="B1325" s="6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</row>
    <row r="1326" spans="1:14" ht="14.1" customHeight="1">
      <c r="A1326" s="6"/>
      <c r="B1326" s="6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</row>
    <row r="1327" spans="1:14" ht="14.1" customHeight="1">
      <c r="A1327" s="6"/>
      <c r="B1327" s="6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</row>
    <row r="1328" spans="1:14" ht="14.1" customHeight="1">
      <c r="A1328" s="6"/>
      <c r="B1328" s="6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</row>
    <row r="1329" spans="1:15" ht="14.1" customHeight="1">
      <c r="A1329" s="6"/>
      <c r="B1329" s="6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</row>
    <row r="1330" spans="1:15" ht="14.1" customHeight="1">
      <c r="A1330" s="6"/>
      <c r="B1330" s="6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</row>
    <row r="1331" spans="1:15" ht="14.1" customHeight="1">
      <c r="A1331" s="6"/>
      <c r="B1331" s="6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</row>
    <row r="1332" spans="1:15" ht="14.1" customHeight="1">
      <c r="A1332" s="6"/>
      <c r="B1332" s="6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</row>
    <row r="1333" spans="1:15" ht="14.1" customHeight="1">
      <c r="A1333" s="6"/>
      <c r="B1333" s="6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</row>
    <row r="1334" spans="1:15" ht="18" customHeight="1">
      <c r="A1334" s="184" t="s">
        <v>0</v>
      </c>
      <c r="B1334" s="185"/>
      <c r="C1334" s="185"/>
      <c r="D1334" s="185"/>
      <c r="E1334" s="185"/>
      <c r="F1334" s="185"/>
      <c r="G1334" s="20">
        <v>4020</v>
      </c>
      <c r="H1334" s="1" t="s">
        <v>15</v>
      </c>
      <c r="I1334" s="1"/>
      <c r="J1334" s="32"/>
      <c r="K1334" s="1"/>
      <c r="L1334" s="1"/>
      <c r="M1334" s="1"/>
      <c r="N1334" s="1"/>
    </row>
    <row r="1335" spans="1:15" ht="18" customHeight="1">
      <c r="A1335" s="42" t="s">
        <v>1</v>
      </c>
      <c r="B1335" s="82"/>
      <c r="C1335" s="83">
        <v>0</v>
      </c>
      <c r="D1335" s="84">
        <v>0.6</v>
      </c>
      <c r="E1335" s="84">
        <v>0.7</v>
      </c>
      <c r="F1335" s="85">
        <v>1.7</v>
      </c>
      <c r="G1335" s="85">
        <v>2.7</v>
      </c>
      <c r="H1335" s="84">
        <v>2.8</v>
      </c>
      <c r="I1335" s="52">
        <v>3.6</v>
      </c>
      <c r="J1335" s="52"/>
      <c r="K1335" s="84"/>
      <c r="L1335" s="86"/>
      <c r="M1335" s="45"/>
      <c r="N1335" s="47"/>
      <c r="O1335" s="18"/>
    </row>
    <row r="1336" spans="1:15" ht="18" customHeight="1">
      <c r="A1336" s="42" t="s">
        <v>2</v>
      </c>
      <c r="B1336" s="82"/>
      <c r="C1336" s="83">
        <v>97.35</v>
      </c>
      <c r="D1336" s="84">
        <v>95.99</v>
      </c>
      <c r="E1336" s="84">
        <v>95.99</v>
      </c>
      <c r="F1336" s="84">
        <v>95.99</v>
      </c>
      <c r="G1336" s="84">
        <v>95.99</v>
      </c>
      <c r="H1336" s="84">
        <v>95.99</v>
      </c>
      <c r="I1336" s="84">
        <v>97.55</v>
      </c>
      <c r="J1336" s="84"/>
      <c r="K1336" s="84"/>
      <c r="L1336" s="86"/>
      <c r="M1336" s="45"/>
      <c r="N1336" s="47"/>
      <c r="O1336" s="18"/>
    </row>
    <row r="1337" spans="1:15" ht="18" customHeight="1">
      <c r="A1337" s="42" t="s">
        <v>1</v>
      </c>
      <c r="B1337" s="82"/>
      <c r="C1337" s="83">
        <v>0</v>
      </c>
      <c r="D1337" s="84">
        <v>0.6</v>
      </c>
      <c r="E1337" s="84">
        <v>0.7</v>
      </c>
      <c r="F1337" s="85">
        <v>1.7</v>
      </c>
      <c r="G1337" s="85">
        <v>2.7</v>
      </c>
      <c r="H1337" s="84">
        <v>2.8</v>
      </c>
      <c r="I1337" s="52">
        <v>3.6</v>
      </c>
      <c r="J1337" s="52"/>
      <c r="K1337" s="84"/>
      <c r="L1337" s="86"/>
      <c r="M1337" s="45"/>
      <c r="N1337" s="47"/>
      <c r="O1337" s="18"/>
    </row>
    <row r="1338" spans="1:15" ht="18" customHeight="1">
      <c r="A1338" s="42" t="s">
        <v>3</v>
      </c>
      <c r="B1338" s="87"/>
      <c r="C1338" s="83">
        <v>97.35</v>
      </c>
      <c r="D1338" s="84">
        <v>96.527000000000001</v>
      </c>
      <c r="E1338" s="84">
        <v>96.39</v>
      </c>
      <c r="F1338" s="84">
        <v>96.39</v>
      </c>
      <c r="G1338" s="84">
        <v>96.39</v>
      </c>
      <c r="H1338" s="84">
        <v>96.519000000000005</v>
      </c>
      <c r="I1338" s="84">
        <v>97.55</v>
      </c>
      <c r="J1338" s="84"/>
      <c r="K1338" s="84"/>
      <c r="L1338" s="86"/>
      <c r="M1338" s="45"/>
      <c r="N1338" s="52"/>
      <c r="O1338" s="18"/>
    </row>
    <row r="1339" spans="1:15" ht="18" customHeight="1">
      <c r="A1339" s="42" t="s">
        <v>18</v>
      </c>
      <c r="B1339" s="87"/>
      <c r="C1339" s="52">
        <f t="shared" ref="C1339" si="251">C1336-C1338</f>
        <v>0</v>
      </c>
      <c r="D1339" s="52">
        <f>D1338-D1336</f>
        <v>0.53700000000000614</v>
      </c>
      <c r="E1339" s="52">
        <f t="shared" ref="E1339:I1339" si="252">E1338-E1336</f>
        <v>0.40000000000000568</v>
      </c>
      <c r="F1339" s="52">
        <f t="shared" si="252"/>
        <v>0.40000000000000568</v>
      </c>
      <c r="G1339" s="52">
        <f t="shared" si="252"/>
        <v>0.40000000000000568</v>
      </c>
      <c r="H1339" s="52">
        <f t="shared" si="252"/>
        <v>0.52900000000001057</v>
      </c>
      <c r="I1339" s="52">
        <f t="shared" si="252"/>
        <v>0</v>
      </c>
      <c r="J1339" s="52"/>
      <c r="K1339" s="52"/>
      <c r="L1339" s="52"/>
      <c r="M1339" s="47"/>
      <c r="N1339" s="47"/>
      <c r="O1339" s="18"/>
    </row>
    <row r="1340" spans="1:15" ht="18" customHeight="1">
      <c r="A1340" s="42" t="s">
        <v>5</v>
      </c>
      <c r="B1340" s="87"/>
      <c r="C1340" s="52">
        <f t="shared" ref="C1340" si="253">(C1339+B1339)/2*(C1335-B1335)</f>
        <v>0</v>
      </c>
      <c r="D1340" s="52">
        <f>(D1339+C1339)/2*(D1335-C1335)</f>
        <v>0.16110000000000183</v>
      </c>
      <c r="E1340" s="52">
        <f t="shared" ref="E1340" si="254">(E1339+D1339)/2*(E1335-D1335)</f>
        <v>4.6850000000000579E-2</v>
      </c>
      <c r="F1340" s="52">
        <f t="shared" ref="F1340" si="255">(F1339+E1339)/2*(F1335-E1335)</f>
        <v>0.40000000000000568</v>
      </c>
      <c r="G1340" s="52">
        <f t="shared" ref="G1340" si="256">(G1339+F1339)/2*(G1335-F1335)</f>
        <v>0.4000000000000058</v>
      </c>
      <c r="H1340" s="52">
        <f t="shared" ref="H1340" si="257">(H1339+G1339)/2*(H1335-G1335)</f>
        <v>4.645000000000065E-2</v>
      </c>
      <c r="I1340" s="52">
        <f t="shared" ref="I1340" si="258">(I1339+H1339)/2*(I1335-H1335)</f>
        <v>0.21160000000000431</v>
      </c>
      <c r="J1340" s="52"/>
      <c r="K1340" s="52"/>
      <c r="L1340" s="52"/>
      <c r="M1340" s="47"/>
      <c r="N1340" s="77">
        <f>SUM(B1340:M1340)</f>
        <v>1.2660000000000187</v>
      </c>
      <c r="O1340" s="18"/>
    </row>
    <row r="1341" spans="1:15" ht="18" customHeight="1">
      <c r="A1341" s="2"/>
      <c r="B1341" s="2"/>
      <c r="C1341" s="30"/>
      <c r="D1341" s="30"/>
      <c r="E1341" s="4"/>
      <c r="F1341" s="4"/>
      <c r="G1341" s="4"/>
      <c r="H1341" s="4"/>
      <c r="I1341" s="4"/>
      <c r="J1341" s="179" t="s">
        <v>6</v>
      </c>
      <c r="K1341" s="179"/>
      <c r="L1341" s="179"/>
      <c r="M1341" s="179"/>
      <c r="N1341" s="101">
        <f>N1340</f>
        <v>1.2660000000000187</v>
      </c>
      <c r="O1341" s="18"/>
    </row>
    <row r="1342" spans="1:15" ht="18" customHeight="1">
      <c r="A1342" s="24"/>
      <c r="B1342" s="78"/>
      <c r="C1342" s="18"/>
      <c r="D1342" s="18"/>
      <c r="E1342" s="21"/>
      <c r="F1342" s="21"/>
      <c r="G1342" s="21"/>
      <c r="H1342" s="21"/>
      <c r="I1342" s="21"/>
      <c r="J1342" s="21"/>
      <c r="K1342" s="21"/>
      <c r="L1342" s="21"/>
      <c r="M1342" s="21"/>
      <c r="N1342" s="21"/>
      <c r="O1342" s="21"/>
    </row>
    <row r="1343" spans="1:15" ht="14.1" customHeight="1">
      <c r="A1343" s="2"/>
      <c r="B1343" s="2"/>
      <c r="C1343" s="30"/>
      <c r="D1343" s="30"/>
      <c r="E1343" s="21"/>
      <c r="F1343" s="21"/>
      <c r="G1343" s="21"/>
      <c r="H1343" s="21"/>
      <c r="I1343" s="21"/>
      <c r="J1343" s="30"/>
      <c r="K1343" s="30"/>
      <c r="L1343" s="30"/>
      <c r="M1343" s="30"/>
      <c r="N1343" s="30"/>
    </row>
    <row r="1344" spans="1:15" ht="14.1" customHeight="1">
      <c r="A1344" s="6"/>
      <c r="B1344" s="6"/>
      <c r="C1344" s="7"/>
      <c r="D1344" s="7"/>
      <c r="E1344" s="7"/>
      <c r="F1344" s="7"/>
      <c r="G1344" s="7"/>
      <c r="H1344" s="7"/>
      <c r="I1344" s="7"/>
      <c r="K1344" s="7"/>
      <c r="L1344" s="7"/>
      <c r="M1344" s="7"/>
      <c r="N1344" s="7"/>
    </row>
    <row r="1345" spans="1:14" ht="14.1" customHeight="1">
      <c r="A1345" s="6"/>
      <c r="B1345" s="6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</row>
    <row r="1346" spans="1:14" ht="14.1" customHeight="1">
      <c r="A1346" s="6"/>
      <c r="B1346" s="6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</row>
    <row r="1347" spans="1:14" ht="14.1" customHeight="1">
      <c r="A1347" s="6"/>
      <c r="B1347" s="6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</row>
    <row r="1348" spans="1:14" ht="14.1" customHeight="1">
      <c r="A1348" s="6"/>
      <c r="B1348" s="6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</row>
    <row r="1349" spans="1:14" ht="14.1" customHeight="1">
      <c r="A1349" s="6"/>
      <c r="B1349" s="6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</row>
    <row r="1350" spans="1:14" ht="14.1" customHeight="1">
      <c r="A1350" s="6"/>
      <c r="B1350" s="6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</row>
    <row r="1351" spans="1:14" ht="14.1" customHeight="1">
      <c r="A1351" s="6"/>
      <c r="B1351" s="6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</row>
    <row r="1352" spans="1:14" ht="14.1" customHeight="1">
      <c r="A1352" s="6"/>
      <c r="B1352" s="6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</row>
    <row r="1353" spans="1:14" ht="14.1" customHeight="1">
      <c r="A1353" s="6"/>
      <c r="B1353" s="6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</row>
    <row r="1354" spans="1:14" ht="14.1" customHeight="1">
      <c r="A1354" s="6"/>
      <c r="B1354" s="6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</row>
    <row r="1355" spans="1:14" ht="14.1" customHeight="1">
      <c r="A1355" s="6"/>
      <c r="B1355" s="6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</row>
    <row r="1356" spans="1:14" ht="14.1" customHeight="1">
      <c r="A1356" s="6"/>
      <c r="B1356" s="6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</row>
    <row r="1357" spans="1:14" ht="14.1" customHeight="1">
      <c r="A1357" s="6"/>
      <c r="B1357" s="6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</row>
    <row r="1358" spans="1:14" ht="14.1" customHeight="1">
      <c r="A1358" s="6"/>
      <c r="B1358" s="6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</row>
    <row r="1359" spans="1:14" ht="14.1" customHeight="1">
      <c r="A1359" s="6"/>
      <c r="B1359" s="6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</row>
    <row r="1360" spans="1:14" ht="14.1" customHeight="1">
      <c r="A1360" s="6"/>
      <c r="B1360" s="6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</row>
    <row r="1361" spans="1:15" ht="14.1" customHeight="1">
      <c r="A1361" s="6"/>
      <c r="B1361" s="6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</row>
    <row r="1362" spans="1:15" ht="14.1" customHeight="1">
      <c r="A1362" s="6"/>
      <c r="B1362" s="6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</row>
    <row r="1363" spans="1:15" ht="14.1" customHeight="1">
      <c r="A1363" s="6"/>
      <c r="B1363" s="6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</row>
    <row r="1364" spans="1:15" ht="14.1" customHeight="1">
      <c r="A1364" s="6"/>
      <c r="B1364" s="6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</row>
    <row r="1365" spans="1:15" ht="14.1" customHeight="1">
      <c r="A1365" s="6"/>
      <c r="B1365" s="6"/>
      <c r="C1365" s="7"/>
      <c r="D1365" s="7"/>
      <c r="E1365" s="7"/>
      <c r="F1365" s="7"/>
      <c r="G1365" s="7"/>
      <c r="H1365" s="7"/>
      <c r="I1365" s="7"/>
      <c r="J1365" s="36"/>
      <c r="K1365" s="7"/>
      <c r="L1365" s="7"/>
      <c r="M1365" s="7"/>
      <c r="N1365" s="7"/>
    </row>
    <row r="1366" spans="1:15" ht="14.1" customHeight="1">
      <c r="A1366" s="6"/>
      <c r="B1366" s="6"/>
      <c r="C1366" s="7"/>
      <c r="D1366" s="7"/>
      <c r="E1366" s="7"/>
      <c r="F1366" s="7"/>
      <c r="G1366" s="7"/>
      <c r="H1366" s="7"/>
      <c r="I1366" s="7"/>
      <c r="J1366" s="30"/>
      <c r="K1366" s="7"/>
      <c r="L1366" s="7"/>
      <c r="M1366" s="7"/>
      <c r="N1366" s="7"/>
    </row>
    <row r="1367" spans="1:15" ht="14.1" customHeight="1">
      <c r="A1367" s="6"/>
      <c r="B1367" s="6"/>
      <c r="C1367" s="7"/>
      <c r="D1367" s="7"/>
      <c r="E1367" s="7"/>
      <c r="F1367" s="7"/>
      <c r="G1367" s="7"/>
      <c r="H1367" s="7"/>
      <c r="I1367" s="7"/>
      <c r="J1367" s="30"/>
      <c r="K1367" s="7"/>
      <c r="L1367" s="7"/>
      <c r="M1367" s="7"/>
      <c r="N1367" s="7"/>
    </row>
    <row r="1368" spans="1:15" ht="14.1" customHeight="1">
      <c r="A1368" s="6"/>
      <c r="B1368" s="6"/>
      <c r="C1368" s="7"/>
      <c r="D1368" s="7"/>
      <c r="E1368" s="7"/>
      <c r="F1368" s="7"/>
      <c r="G1368" s="7"/>
      <c r="H1368" s="7"/>
      <c r="I1368" s="7"/>
      <c r="J1368" s="30"/>
      <c r="K1368" s="7"/>
      <c r="L1368" s="7"/>
      <c r="M1368" s="7"/>
      <c r="N1368" s="7"/>
    </row>
    <row r="1369" spans="1:15" ht="14.1" customHeight="1">
      <c r="A1369" s="6"/>
      <c r="B1369" s="6"/>
      <c r="C1369" s="7"/>
      <c r="D1369" s="7"/>
      <c r="E1369" s="7"/>
      <c r="F1369" s="7"/>
      <c r="G1369" s="7"/>
      <c r="H1369" s="7"/>
      <c r="I1369" s="7"/>
      <c r="J1369" s="30"/>
      <c r="K1369" s="7"/>
      <c r="L1369" s="7"/>
      <c r="M1369" s="7"/>
      <c r="N1369" s="7"/>
    </row>
    <row r="1370" spans="1:15" ht="14.1" customHeight="1">
      <c r="A1370" s="6"/>
      <c r="B1370" s="6"/>
      <c r="C1370" s="7"/>
      <c r="D1370" s="7"/>
      <c r="E1370" s="7"/>
      <c r="F1370" s="7"/>
      <c r="G1370" s="7"/>
      <c r="H1370" s="7"/>
      <c r="I1370" s="7"/>
      <c r="J1370" s="30"/>
      <c r="K1370" s="7"/>
      <c r="L1370" s="7"/>
      <c r="M1370" s="7"/>
      <c r="N1370" s="7"/>
    </row>
    <row r="1371" spans="1:15" ht="14.1" customHeight="1">
      <c r="A1371" s="6"/>
      <c r="B1371" s="6"/>
      <c r="C1371" s="7"/>
      <c r="D1371" s="7"/>
      <c r="E1371" s="7"/>
      <c r="F1371" s="7"/>
      <c r="G1371" s="7"/>
      <c r="H1371" s="7"/>
      <c r="I1371" s="7"/>
      <c r="J1371" s="30"/>
      <c r="K1371" s="7"/>
      <c r="L1371" s="7"/>
      <c r="M1371" s="7"/>
      <c r="N1371" s="7"/>
    </row>
    <row r="1372" spans="1:15" ht="14.1" customHeight="1">
      <c r="A1372" s="6"/>
      <c r="B1372" s="6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</row>
    <row r="1373" spans="1:15" ht="14.1" customHeight="1"/>
    <row r="1374" spans="1:15" ht="14.1" customHeight="1"/>
    <row r="1375" spans="1:15" ht="18" customHeight="1">
      <c r="A1375" s="184" t="s">
        <v>0</v>
      </c>
      <c r="B1375" s="185"/>
      <c r="C1375" s="185"/>
      <c r="D1375" s="185"/>
      <c r="E1375" s="185"/>
      <c r="F1375" s="185"/>
      <c r="G1375" s="20">
        <v>4080</v>
      </c>
      <c r="H1375" s="1" t="s">
        <v>15</v>
      </c>
      <c r="I1375" s="1"/>
      <c r="J1375" s="33"/>
      <c r="K1375" s="1"/>
      <c r="L1375" s="1"/>
      <c r="M1375" s="1"/>
      <c r="N1375" s="1"/>
    </row>
    <row r="1376" spans="1:15" ht="18" customHeight="1">
      <c r="A1376" s="42" t="s">
        <v>1</v>
      </c>
      <c r="B1376" s="82"/>
      <c r="C1376" s="83">
        <v>0</v>
      </c>
      <c r="D1376" s="84">
        <v>0.6</v>
      </c>
      <c r="E1376" s="84">
        <v>0.7</v>
      </c>
      <c r="F1376" s="85">
        <v>1.7</v>
      </c>
      <c r="G1376" s="85">
        <v>2.7</v>
      </c>
      <c r="H1376" s="84">
        <v>2.8</v>
      </c>
      <c r="I1376" s="52">
        <v>3.5</v>
      </c>
      <c r="J1376" s="52"/>
      <c r="K1376" s="84"/>
      <c r="L1376" s="86"/>
      <c r="M1376" s="45"/>
      <c r="N1376" s="47"/>
      <c r="O1376" s="22"/>
    </row>
    <row r="1377" spans="1:15" ht="18" customHeight="1">
      <c r="A1377" s="42" t="s">
        <v>2</v>
      </c>
      <c r="B1377" s="82"/>
      <c r="C1377" s="83">
        <v>97.17</v>
      </c>
      <c r="D1377" s="84">
        <v>95.98</v>
      </c>
      <c r="E1377" s="84">
        <v>95.98</v>
      </c>
      <c r="F1377" s="84">
        <v>95.98</v>
      </c>
      <c r="G1377" s="84">
        <v>95.98</v>
      </c>
      <c r="H1377" s="84">
        <v>95.98</v>
      </c>
      <c r="I1377" s="84">
        <v>97.32</v>
      </c>
      <c r="J1377" s="84"/>
      <c r="K1377" s="84"/>
      <c r="L1377" s="86"/>
      <c r="M1377" s="45"/>
      <c r="N1377" s="47"/>
      <c r="O1377" s="21"/>
    </row>
    <row r="1378" spans="1:15" ht="18" customHeight="1">
      <c r="A1378" s="42" t="s">
        <v>1</v>
      </c>
      <c r="B1378" s="82"/>
      <c r="C1378" s="83">
        <v>0</v>
      </c>
      <c r="D1378" s="84">
        <v>0.6</v>
      </c>
      <c r="E1378" s="84">
        <v>0.7</v>
      </c>
      <c r="F1378" s="85">
        <v>1.7</v>
      </c>
      <c r="G1378" s="85">
        <v>2.7</v>
      </c>
      <c r="H1378" s="84">
        <v>2.8</v>
      </c>
      <c r="I1378" s="52">
        <v>3.5</v>
      </c>
      <c r="J1378" s="52"/>
      <c r="K1378" s="84"/>
      <c r="L1378" s="86"/>
      <c r="M1378" s="45"/>
      <c r="N1378" s="47"/>
      <c r="O1378" s="22"/>
    </row>
    <row r="1379" spans="1:15" ht="18" customHeight="1">
      <c r="A1379" s="42" t="s">
        <v>3</v>
      </c>
      <c r="B1379" s="87"/>
      <c r="C1379" s="83">
        <v>97.17</v>
      </c>
      <c r="D1379" s="84">
        <v>96.51</v>
      </c>
      <c r="E1379" s="84">
        <v>96.4</v>
      </c>
      <c r="F1379" s="84">
        <v>96.4</v>
      </c>
      <c r="G1379" s="84">
        <v>96.4</v>
      </c>
      <c r="H1379" s="84">
        <v>96.515000000000001</v>
      </c>
      <c r="I1379" s="84">
        <v>97.32</v>
      </c>
      <c r="J1379" s="84"/>
      <c r="K1379" s="84"/>
      <c r="L1379" s="86"/>
      <c r="M1379" s="45"/>
      <c r="N1379" s="52"/>
      <c r="O1379" s="23"/>
    </row>
    <row r="1380" spans="1:15" ht="18" customHeight="1">
      <c r="A1380" s="42" t="s">
        <v>18</v>
      </c>
      <c r="B1380" s="87"/>
      <c r="C1380" s="52">
        <f t="shared" ref="C1380" si="259">C1377-C1379</f>
        <v>0</v>
      </c>
      <c r="D1380" s="52">
        <f>D1379-D1377</f>
        <v>0.53000000000000114</v>
      </c>
      <c r="E1380" s="52">
        <f t="shared" ref="E1380:I1380" si="260">E1379-E1377</f>
        <v>0.42000000000000171</v>
      </c>
      <c r="F1380" s="52">
        <f t="shared" si="260"/>
        <v>0.42000000000000171</v>
      </c>
      <c r="G1380" s="52">
        <f t="shared" si="260"/>
        <v>0.42000000000000171</v>
      </c>
      <c r="H1380" s="52">
        <f t="shared" si="260"/>
        <v>0.53499999999999659</v>
      </c>
      <c r="I1380" s="52">
        <f t="shared" si="260"/>
        <v>0</v>
      </c>
      <c r="J1380" s="52"/>
      <c r="K1380" s="52"/>
      <c r="L1380" s="52"/>
      <c r="M1380" s="47"/>
      <c r="N1380" s="47"/>
      <c r="O1380" s="21"/>
    </row>
    <row r="1381" spans="1:15" ht="18" customHeight="1">
      <c r="A1381" s="42" t="s">
        <v>5</v>
      </c>
      <c r="B1381" s="87"/>
      <c r="C1381" s="52">
        <f t="shared" ref="C1381" si="261">(C1380+B1380)/2*(C1376-B1376)</f>
        <v>0</v>
      </c>
      <c r="D1381" s="52">
        <f>(D1380+C1380)/2*(D1376-C1376)</f>
        <v>0.15900000000000034</v>
      </c>
      <c r="E1381" s="52">
        <f t="shared" ref="E1381" si="262">(E1380+D1380)/2*(E1376-D1376)</f>
        <v>4.7500000000000132E-2</v>
      </c>
      <c r="F1381" s="52">
        <f t="shared" ref="F1381" si="263">(F1380+E1380)/2*(F1376-E1376)</f>
        <v>0.42000000000000171</v>
      </c>
      <c r="G1381" s="52">
        <f t="shared" ref="G1381" si="264">(G1380+F1380)/2*(G1376-F1376)</f>
        <v>0.42000000000000182</v>
      </c>
      <c r="H1381" s="52">
        <f t="shared" ref="H1381" si="265">(H1380+G1380)/2*(H1376-G1376)</f>
        <v>4.7749999999999744E-2</v>
      </c>
      <c r="I1381" s="52">
        <f t="shared" ref="I1381" si="266">(I1380+H1380)/2*(I1376-H1376)</f>
        <v>0.18724999999999886</v>
      </c>
      <c r="J1381" s="52"/>
      <c r="K1381" s="52"/>
      <c r="L1381" s="52"/>
      <c r="M1381" s="47"/>
      <c r="N1381" s="77">
        <f>SUM(B1381:M1381)</f>
        <v>1.2815000000000025</v>
      </c>
      <c r="O1381" s="21"/>
    </row>
    <row r="1382" spans="1:15" ht="18" customHeight="1">
      <c r="A1382" s="2"/>
      <c r="B1382" s="2"/>
      <c r="C1382" s="30"/>
      <c r="D1382" s="30"/>
      <c r="E1382" s="4"/>
      <c r="F1382" s="4"/>
      <c r="G1382" s="4"/>
      <c r="H1382" s="4"/>
      <c r="I1382" s="4"/>
      <c r="J1382" s="179" t="s">
        <v>6</v>
      </c>
      <c r="K1382" s="179"/>
      <c r="L1382" s="179"/>
      <c r="M1382" s="179"/>
      <c r="N1382" s="101">
        <f>N1381</f>
        <v>1.2815000000000025</v>
      </c>
      <c r="O1382" s="21"/>
    </row>
    <row r="1383" spans="1:15" ht="18" customHeight="1">
      <c r="A1383" s="24"/>
      <c r="B1383" s="78"/>
      <c r="C1383" s="18"/>
      <c r="D1383" s="18"/>
      <c r="E1383" s="21"/>
      <c r="F1383" s="21"/>
      <c r="G1383" s="21"/>
      <c r="H1383" s="21"/>
      <c r="I1383" s="21"/>
      <c r="J1383" s="21"/>
      <c r="K1383" s="21"/>
      <c r="L1383" s="21"/>
      <c r="M1383" s="21"/>
      <c r="N1383" s="21"/>
      <c r="O1383" s="21"/>
    </row>
    <row r="1384" spans="1:15" ht="14.1" customHeight="1">
      <c r="A1384" s="2"/>
      <c r="B1384" s="2"/>
      <c r="C1384" s="30"/>
      <c r="D1384" s="30"/>
      <c r="E1384" s="21"/>
      <c r="F1384" s="21"/>
      <c r="G1384" s="21"/>
      <c r="H1384" s="21"/>
      <c r="I1384" s="21"/>
      <c r="J1384" s="30"/>
      <c r="K1384" s="30"/>
      <c r="L1384" s="30"/>
      <c r="M1384" s="30"/>
      <c r="N1384" s="30"/>
    </row>
    <row r="1385" spans="1:15" ht="14.1" customHeight="1">
      <c r="A1385" s="6"/>
      <c r="B1385" s="6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</row>
    <row r="1386" spans="1:15" ht="14.1" customHeight="1">
      <c r="A1386" s="6"/>
      <c r="B1386" s="6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</row>
    <row r="1387" spans="1:15" ht="14.1" customHeight="1">
      <c r="A1387" s="6"/>
      <c r="B1387" s="6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</row>
    <row r="1388" spans="1:15" ht="14.1" customHeight="1">
      <c r="A1388" s="6"/>
      <c r="B1388" s="6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</row>
    <row r="1389" spans="1:15" ht="14.1" customHeight="1">
      <c r="A1389" s="6"/>
      <c r="B1389" s="6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</row>
    <row r="1390" spans="1:15" ht="14.1" customHeight="1">
      <c r="A1390" s="6"/>
      <c r="B1390" s="6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</row>
    <row r="1391" spans="1:15" ht="14.1" customHeight="1">
      <c r="A1391" s="6"/>
      <c r="B1391" s="6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</row>
    <row r="1392" spans="1:15" ht="14.1" customHeight="1">
      <c r="A1392" s="6"/>
      <c r="B1392" s="6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</row>
    <row r="1393" spans="1:14" ht="14.1" customHeight="1">
      <c r="A1393" s="6"/>
      <c r="B1393" s="6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</row>
    <row r="1394" spans="1:14" ht="14.1" customHeight="1">
      <c r="A1394" s="6"/>
      <c r="B1394" s="6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</row>
    <row r="1395" spans="1:14" ht="14.1" customHeight="1">
      <c r="A1395" s="6"/>
      <c r="B1395" s="6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</row>
    <row r="1396" spans="1:14" ht="14.1" customHeight="1">
      <c r="A1396" s="6"/>
      <c r="B1396" s="6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</row>
    <row r="1397" spans="1:14" ht="14.1" customHeight="1">
      <c r="A1397" s="6"/>
      <c r="B1397" s="6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</row>
    <row r="1398" spans="1:14" ht="14.1" customHeight="1">
      <c r="A1398" s="6"/>
      <c r="B1398" s="6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</row>
    <row r="1399" spans="1:14" ht="14.1" customHeight="1">
      <c r="A1399" s="6"/>
      <c r="B1399" s="6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</row>
    <row r="1400" spans="1:14" ht="14.1" customHeight="1">
      <c r="A1400" s="6"/>
      <c r="B1400" s="6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</row>
    <row r="1401" spans="1:14" ht="14.1" customHeight="1">
      <c r="A1401" s="6"/>
      <c r="B1401" s="6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</row>
    <row r="1402" spans="1:14" ht="14.1" customHeight="1">
      <c r="A1402" s="6"/>
      <c r="B1402" s="6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</row>
    <row r="1403" spans="1:14" ht="14.1" customHeight="1">
      <c r="A1403" s="6"/>
      <c r="B1403" s="6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</row>
    <row r="1404" spans="1:14" ht="14.1" customHeight="1">
      <c r="A1404" s="6"/>
      <c r="B1404" s="6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</row>
    <row r="1405" spans="1:14" ht="14.1" customHeight="1">
      <c r="A1405" s="6"/>
      <c r="B1405" s="6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</row>
    <row r="1406" spans="1:14" ht="14.1" customHeight="1">
      <c r="A1406" s="6"/>
      <c r="B1406" s="6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</row>
    <row r="1407" spans="1:14" ht="14.1" customHeight="1">
      <c r="A1407" s="6"/>
      <c r="B1407" s="6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</row>
    <row r="1408" spans="1:14" ht="14.1" customHeight="1">
      <c r="A1408" s="6"/>
      <c r="B1408" s="6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</row>
    <row r="1409" spans="1:16" ht="14.1" customHeight="1">
      <c r="A1409" s="6"/>
      <c r="B1409" s="6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</row>
    <row r="1410" spans="1:16" ht="14.1" customHeight="1">
      <c r="A1410" s="6"/>
      <c r="B1410" s="6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</row>
    <row r="1411" spans="1:16" ht="14.1" customHeight="1">
      <c r="A1411" s="6"/>
      <c r="B1411" s="6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</row>
    <row r="1412" spans="1:16" ht="14.1" customHeight="1">
      <c r="A1412" s="6"/>
      <c r="B1412" s="6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</row>
    <row r="1413" spans="1:16" ht="14.1" customHeight="1">
      <c r="A1413" s="6"/>
      <c r="B1413" s="6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</row>
    <row r="1414" spans="1:16" ht="14.1" customHeight="1">
      <c r="A1414" s="6"/>
      <c r="B1414" s="6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</row>
    <row r="1415" spans="1:16" ht="14.1" customHeight="1">
      <c r="A1415" s="6"/>
      <c r="B1415" s="6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</row>
    <row r="1416" spans="1:16" ht="14.1" customHeight="1">
      <c r="A1416" s="6"/>
      <c r="B1416" s="6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</row>
    <row r="1417" spans="1:16" ht="14.1" customHeight="1">
      <c r="A1417" s="6"/>
      <c r="B1417" s="6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</row>
    <row r="1418" spans="1:16" ht="18.75" customHeight="1">
      <c r="A1418" s="184" t="s">
        <v>0</v>
      </c>
      <c r="B1418" s="185"/>
      <c r="C1418" s="185"/>
      <c r="D1418" s="185"/>
      <c r="E1418" s="185"/>
      <c r="F1418" s="185"/>
      <c r="G1418" s="20">
        <v>4140</v>
      </c>
      <c r="H1418" s="1" t="s">
        <v>15</v>
      </c>
      <c r="I1418" s="1"/>
      <c r="J1418" s="32"/>
      <c r="K1418" s="1"/>
      <c r="L1418" s="1"/>
      <c r="M1418" s="1"/>
      <c r="N1418" s="1"/>
    </row>
    <row r="1419" spans="1:16" ht="18.75" customHeight="1">
      <c r="A1419" s="42" t="s">
        <v>1</v>
      </c>
      <c r="B1419" s="82"/>
      <c r="C1419" s="83">
        <v>0</v>
      </c>
      <c r="D1419" s="84">
        <v>0.6</v>
      </c>
      <c r="E1419" s="84">
        <v>0.7</v>
      </c>
      <c r="F1419" s="85">
        <v>1.7</v>
      </c>
      <c r="G1419" s="85">
        <v>2.7</v>
      </c>
      <c r="H1419" s="84">
        <v>2.8</v>
      </c>
      <c r="I1419" s="52">
        <v>3.6</v>
      </c>
      <c r="J1419" s="52"/>
      <c r="K1419" s="84"/>
      <c r="L1419" s="86"/>
      <c r="M1419" s="45"/>
      <c r="N1419" s="47"/>
      <c r="O1419" s="22"/>
      <c r="P1419" s="22"/>
    </row>
    <row r="1420" spans="1:16" ht="18.75" customHeight="1">
      <c r="A1420" s="42" t="s">
        <v>2</v>
      </c>
      <c r="B1420" s="82"/>
      <c r="C1420" s="83">
        <v>97.12</v>
      </c>
      <c r="D1420" s="84">
        <v>95.98</v>
      </c>
      <c r="E1420" s="84">
        <v>95.98</v>
      </c>
      <c r="F1420" s="84">
        <v>95.98</v>
      </c>
      <c r="G1420" s="84">
        <v>95.98</v>
      </c>
      <c r="H1420" s="84">
        <v>95.98</v>
      </c>
      <c r="I1420" s="84">
        <v>97.3</v>
      </c>
      <c r="J1420" s="84"/>
      <c r="K1420" s="84"/>
      <c r="L1420" s="86"/>
      <c r="M1420" s="45"/>
      <c r="N1420" s="47"/>
      <c r="O1420" s="21"/>
      <c r="P1420" s="21"/>
    </row>
    <row r="1421" spans="1:16" ht="18.75" customHeight="1">
      <c r="A1421" s="42" t="s">
        <v>1</v>
      </c>
      <c r="B1421" s="82"/>
      <c r="C1421" s="83">
        <v>0</v>
      </c>
      <c r="D1421" s="84">
        <v>0.6</v>
      </c>
      <c r="E1421" s="84">
        <v>0.7</v>
      </c>
      <c r="F1421" s="85">
        <v>1.7</v>
      </c>
      <c r="G1421" s="85">
        <v>2.7</v>
      </c>
      <c r="H1421" s="84">
        <v>2.8</v>
      </c>
      <c r="I1421" s="52">
        <v>3.6</v>
      </c>
      <c r="J1421" s="52"/>
      <c r="K1421" s="84"/>
      <c r="L1421" s="86"/>
      <c r="M1421" s="45"/>
      <c r="N1421" s="47"/>
      <c r="O1421" s="22"/>
      <c r="P1421" s="22"/>
    </row>
    <row r="1422" spans="1:16" ht="18.75" customHeight="1">
      <c r="A1422" s="42" t="s">
        <v>3</v>
      </c>
      <c r="B1422" s="87"/>
      <c r="C1422" s="83">
        <v>97.12</v>
      </c>
      <c r="D1422" s="84">
        <v>96.52</v>
      </c>
      <c r="E1422" s="84">
        <v>96.42</v>
      </c>
      <c r="F1422" s="84">
        <v>96.42</v>
      </c>
      <c r="G1422" s="84">
        <v>96.42</v>
      </c>
      <c r="H1422" s="84">
        <v>96.518000000000001</v>
      </c>
      <c r="I1422" s="84">
        <v>97.3</v>
      </c>
      <c r="J1422" s="84"/>
      <c r="K1422" s="84"/>
      <c r="L1422" s="86"/>
      <c r="M1422" s="45"/>
      <c r="N1422" s="52"/>
      <c r="O1422" s="23"/>
      <c r="P1422" s="23"/>
    </row>
    <row r="1423" spans="1:16" ht="18.75" customHeight="1">
      <c r="A1423" s="42" t="s">
        <v>18</v>
      </c>
      <c r="B1423" s="87"/>
      <c r="C1423" s="52">
        <f t="shared" ref="C1423" si="267">C1420-C1422</f>
        <v>0</v>
      </c>
      <c r="D1423" s="52">
        <f>D1422-D1420</f>
        <v>0.53999999999999204</v>
      </c>
      <c r="E1423" s="52">
        <f t="shared" ref="E1423:I1423" si="268">E1422-E1420</f>
        <v>0.43999999999999773</v>
      </c>
      <c r="F1423" s="52">
        <f t="shared" si="268"/>
        <v>0.43999999999999773</v>
      </c>
      <c r="G1423" s="52">
        <f t="shared" si="268"/>
        <v>0.43999999999999773</v>
      </c>
      <c r="H1423" s="52">
        <f t="shared" si="268"/>
        <v>0.5379999999999967</v>
      </c>
      <c r="I1423" s="52">
        <f t="shared" si="268"/>
        <v>0</v>
      </c>
      <c r="J1423" s="52"/>
      <c r="K1423" s="52"/>
      <c r="L1423" s="52"/>
      <c r="M1423" s="47"/>
      <c r="N1423" s="47"/>
      <c r="O1423" s="21"/>
      <c r="P1423" s="21"/>
    </row>
    <row r="1424" spans="1:16" ht="18.75" customHeight="1">
      <c r="A1424" s="42" t="s">
        <v>5</v>
      </c>
      <c r="B1424" s="87"/>
      <c r="C1424" s="52">
        <f t="shared" ref="C1424" si="269">(C1423+B1423)/2*(C1419-B1419)</f>
        <v>0</v>
      </c>
      <c r="D1424" s="52">
        <f>(D1423+C1423)/2*(D1419-C1419)</f>
        <v>0.16199999999999762</v>
      </c>
      <c r="E1424" s="52">
        <f t="shared" ref="E1424" si="270">(E1423+D1423)/2*(E1419-D1419)</f>
        <v>4.8999999999999475E-2</v>
      </c>
      <c r="F1424" s="52">
        <f t="shared" ref="F1424" si="271">(F1423+E1423)/2*(F1419-E1419)</f>
        <v>0.43999999999999773</v>
      </c>
      <c r="G1424" s="52">
        <f t="shared" ref="G1424" si="272">(G1423+F1423)/2*(G1419-F1419)</f>
        <v>0.43999999999999784</v>
      </c>
      <c r="H1424" s="52">
        <f t="shared" ref="H1424" si="273">(H1423+G1423)/2*(H1419-G1419)</f>
        <v>4.8899999999999548E-2</v>
      </c>
      <c r="I1424" s="52">
        <f t="shared" ref="I1424" si="274">(I1423+H1423)/2*(I1419-H1419)</f>
        <v>0.21519999999999875</v>
      </c>
      <c r="J1424" s="52"/>
      <c r="K1424" s="52"/>
      <c r="L1424" s="52"/>
      <c r="M1424" s="47"/>
      <c r="N1424" s="77">
        <f>SUM(B1424:M1424)</f>
        <v>1.3550999999999909</v>
      </c>
      <c r="O1424" s="21"/>
      <c r="P1424" s="21"/>
    </row>
    <row r="1425" spans="1:16" ht="18.75" customHeight="1">
      <c r="A1425" s="2"/>
      <c r="B1425" s="2"/>
      <c r="C1425" s="30"/>
      <c r="D1425" s="30"/>
      <c r="E1425" s="4"/>
      <c r="F1425" s="4"/>
      <c r="G1425" s="4"/>
      <c r="H1425" s="4"/>
      <c r="I1425" s="4"/>
      <c r="J1425" s="179" t="s">
        <v>6</v>
      </c>
      <c r="K1425" s="179"/>
      <c r="L1425" s="179"/>
      <c r="M1425" s="179"/>
      <c r="N1425" s="101">
        <f>N1424</f>
        <v>1.3550999999999909</v>
      </c>
      <c r="O1425" s="21"/>
      <c r="P1425" s="21"/>
    </row>
    <row r="1426" spans="1:16" ht="18.75" customHeight="1">
      <c r="A1426" s="24"/>
      <c r="B1426" s="78"/>
      <c r="C1426" s="18"/>
      <c r="D1426" s="18"/>
      <c r="E1426" s="21"/>
      <c r="F1426" s="21"/>
      <c r="G1426" s="21"/>
      <c r="H1426" s="21"/>
      <c r="I1426" s="21"/>
      <c r="J1426" s="21"/>
      <c r="K1426" s="21"/>
      <c r="L1426" s="21"/>
      <c r="M1426" s="21"/>
      <c r="N1426" s="21"/>
      <c r="O1426" s="31"/>
      <c r="P1426" s="21"/>
    </row>
    <row r="1427" spans="1:16" ht="18.75" customHeight="1">
      <c r="A1427" s="2"/>
      <c r="B1427" s="2"/>
      <c r="C1427" s="30"/>
      <c r="D1427" s="30"/>
      <c r="E1427" s="21"/>
      <c r="F1427" s="21"/>
      <c r="G1427" s="21"/>
      <c r="H1427" s="21"/>
      <c r="I1427" s="21"/>
      <c r="J1427" s="30"/>
      <c r="K1427" s="30"/>
      <c r="L1427" s="30"/>
      <c r="M1427" s="30"/>
      <c r="N1427" s="30"/>
    </row>
    <row r="1428" spans="1:16" ht="14.1" customHeight="1">
      <c r="A1428" s="6"/>
      <c r="B1428" s="6"/>
      <c r="C1428" s="7"/>
      <c r="D1428" s="7"/>
      <c r="E1428" s="7"/>
      <c r="F1428" s="7"/>
      <c r="G1428" s="7"/>
      <c r="H1428" s="7"/>
      <c r="I1428" s="7"/>
      <c r="K1428" s="7"/>
      <c r="L1428" s="7"/>
      <c r="M1428" s="7"/>
      <c r="N1428" s="7"/>
    </row>
    <row r="1429" spans="1:16" ht="14.1" customHeight="1">
      <c r="A1429" s="6"/>
      <c r="B1429" s="6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</row>
    <row r="1430" spans="1:16" ht="14.1" customHeight="1">
      <c r="A1430" s="6"/>
      <c r="B1430" s="6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</row>
    <row r="1431" spans="1:16" ht="14.1" customHeight="1">
      <c r="A1431" s="6"/>
      <c r="B1431" s="6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</row>
    <row r="1432" spans="1:16" ht="14.1" customHeight="1">
      <c r="A1432" s="6"/>
      <c r="B1432" s="6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</row>
    <row r="1433" spans="1:16" ht="14.1" customHeight="1">
      <c r="A1433" s="6"/>
      <c r="B1433" s="6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</row>
    <row r="1434" spans="1:16" ht="14.1" customHeight="1">
      <c r="A1434" s="6"/>
      <c r="B1434" s="6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</row>
    <row r="1435" spans="1:16" ht="14.1" customHeight="1">
      <c r="A1435" s="6"/>
      <c r="B1435" s="6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</row>
    <row r="1436" spans="1:16" ht="14.1" customHeight="1">
      <c r="A1436" s="6"/>
      <c r="B1436" s="6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</row>
    <row r="1437" spans="1:16" ht="14.1" customHeight="1">
      <c r="A1437" s="6"/>
      <c r="B1437" s="6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</row>
    <row r="1438" spans="1:16" ht="14.1" customHeight="1">
      <c r="A1438" s="6"/>
      <c r="B1438" s="6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</row>
    <row r="1439" spans="1:16" ht="14.1" customHeight="1">
      <c r="A1439" s="6"/>
      <c r="B1439" s="6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</row>
    <row r="1440" spans="1:16" ht="14.1" customHeight="1">
      <c r="A1440" s="6"/>
      <c r="B1440" s="6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</row>
    <row r="1441" spans="1:14" ht="14.1" customHeight="1">
      <c r="A1441" s="6"/>
      <c r="B1441" s="6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</row>
    <row r="1442" spans="1:14" ht="14.1" customHeight="1">
      <c r="A1442" s="6"/>
      <c r="B1442" s="6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</row>
    <row r="1443" spans="1:14" ht="14.1" customHeight="1">
      <c r="A1443" s="6"/>
      <c r="B1443" s="6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</row>
    <row r="1444" spans="1:14" ht="14.1" customHeight="1">
      <c r="A1444" s="6"/>
      <c r="B1444" s="6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</row>
    <row r="1445" spans="1:14" ht="14.1" customHeight="1">
      <c r="A1445" s="6"/>
      <c r="B1445" s="6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</row>
    <row r="1446" spans="1:14" ht="14.1" customHeight="1">
      <c r="A1446" s="6"/>
      <c r="B1446" s="6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</row>
    <row r="1447" spans="1:14" ht="14.1" customHeight="1">
      <c r="A1447" s="6"/>
      <c r="B1447" s="6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</row>
    <row r="1448" spans="1:14" ht="14.1" customHeight="1">
      <c r="A1448" s="6"/>
      <c r="B1448" s="6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</row>
    <row r="1449" spans="1:14" ht="14.1" customHeight="1">
      <c r="A1449" s="6"/>
      <c r="B1449" s="6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</row>
    <row r="1450" spans="1:14" ht="14.1" customHeight="1">
      <c r="A1450" s="6"/>
      <c r="B1450" s="6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</row>
    <row r="1451" spans="1:14" ht="14.1" customHeight="1">
      <c r="A1451" s="6"/>
      <c r="B1451" s="6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</row>
    <row r="1452" spans="1:14" ht="14.1" customHeight="1">
      <c r="A1452" s="6"/>
      <c r="B1452" s="6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</row>
    <row r="1453" spans="1:14" ht="14.1" customHeight="1"/>
    <row r="1454" spans="1:14" ht="14.1" customHeight="1"/>
    <row r="1455" spans="1:14" ht="14.1" customHeight="1"/>
    <row r="1456" spans="1:14" ht="14.1" customHeight="1"/>
    <row r="1457" ht="14.1" customHeight="1"/>
    <row r="1458" ht="14.1" customHeight="1"/>
    <row r="1459" ht="14.1" customHeight="1"/>
    <row r="1460" ht="14.1" customHeight="1"/>
    <row r="1461" ht="14.1" customHeight="1"/>
    <row r="1462" ht="14.1" customHeight="1"/>
    <row r="1463" ht="14.1" customHeight="1"/>
    <row r="1464" ht="14.1" customHeight="1"/>
    <row r="1465" ht="14.1" customHeight="1"/>
    <row r="1466" ht="14.1" customHeight="1"/>
    <row r="1467" ht="14.1" customHeight="1"/>
    <row r="1468" ht="14.1" customHeight="1"/>
    <row r="1469" ht="14.1" customHeight="1"/>
    <row r="1470" ht="14.1" customHeight="1"/>
    <row r="1471" ht="14.1" customHeight="1"/>
    <row r="1472" ht="14.1" customHeight="1"/>
    <row r="1473" ht="14.1" customHeight="1"/>
    <row r="1474" ht="14.1" customHeight="1"/>
    <row r="1475" ht="14.1" customHeight="1"/>
    <row r="1476" ht="14.1" customHeight="1"/>
    <row r="1477" ht="14.1" customHeight="1"/>
    <row r="1478" ht="14.1" customHeight="1"/>
    <row r="1479" ht="14.1" customHeight="1"/>
    <row r="1480" ht="14.1" customHeight="1"/>
    <row r="1481" ht="14.1" customHeight="1"/>
    <row r="1482" ht="14.1" customHeight="1"/>
    <row r="1483" ht="14.1" customHeight="1"/>
    <row r="1484" ht="14.1" customHeight="1"/>
    <row r="1485" ht="14.1" customHeight="1"/>
    <row r="1486" ht="14.1" customHeight="1"/>
    <row r="1487" ht="14.1" customHeight="1"/>
    <row r="1488" ht="14.1" customHeight="1"/>
    <row r="1489" ht="14.1" customHeight="1"/>
    <row r="1490" ht="14.1" customHeight="1"/>
    <row r="1491" ht="14.1" customHeight="1"/>
    <row r="1492" ht="14.1" customHeight="1"/>
    <row r="1493" ht="14.1" customHeight="1"/>
    <row r="1494" ht="14.1" customHeight="1"/>
    <row r="1495" ht="14.1" customHeight="1"/>
    <row r="1496" ht="14.1" customHeight="1"/>
    <row r="1497" ht="14.1" customHeight="1"/>
    <row r="1498" ht="14.1" customHeight="1"/>
    <row r="1499" ht="14.1" customHeight="1"/>
    <row r="1500" ht="14.1" customHeight="1"/>
    <row r="1501" ht="14.1" customHeight="1"/>
    <row r="1502" ht="14.1" customHeight="1"/>
    <row r="1503" ht="14.1" customHeight="1"/>
    <row r="1504" ht="14.1" customHeight="1"/>
    <row r="1505" ht="14.1" customHeight="1"/>
    <row r="1506" ht="14.1" customHeight="1"/>
    <row r="1507" ht="14.1" customHeight="1"/>
    <row r="1508" ht="14.1" customHeight="1"/>
    <row r="1509" ht="14.1" customHeight="1"/>
    <row r="1510" ht="14.1" customHeight="1"/>
    <row r="1511" ht="14.1" customHeight="1"/>
    <row r="1512" ht="14.1" customHeight="1"/>
    <row r="1513" ht="14.1" customHeight="1"/>
    <row r="1514" ht="14.1" customHeight="1"/>
    <row r="1515" ht="14.1" customHeight="1"/>
    <row r="1516" ht="14.1" customHeight="1"/>
    <row r="1517" ht="14.1" customHeight="1"/>
    <row r="1518" ht="14.1" customHeight="1"/>
    <row r="1519" ht="14.1" customHeight="1"/>
    <row r="1520" ht="14.1" customHeight="1"/>
    <row r="1521" ht="14.1" customHeight="1"/>
    <row r="1522" ht="14.1" customHeight="1"/>
    <row r="1523" ht="14.1" customHeight="1"/>
    <row r="1524" ht="14.1" customHeight="1"/>
    <row r="1525" ht="14.1" customHeight="1"/>
    <row r="1526" ht="14.1" customHeight="1"/>
    <row r="1527" ht="14.1" customHeight="1"/>
    <row r="1528" ht="14.1" customHeight="1"/>
    <row r="1529" ht="14.1" customHeight="1"/>
    <row r="1530" ht="14.1" customHeight="1"/>
    <row r="1531" ht="14.1" customHeight="1"/>
    <row r="1532" ht="14.1" customHeight="1"/>
    <row r="1533" ht="14.1" customHeight="1"/>
    <row r="1534" ht="14.1" customHeight="1"/>
    <row r="1535" ht="14.1" customHeight="1"/>
    <row r="1536" ht="14.1" customHeight="1"/>
    <row r="1537" ht="14.1" customHeight="1"/>
    <row r="1538" ht="14.1" customHeight="1"/>
    <row r="1539" ht="14.1" customHeight="1"/>
    <row r="1540" ht="14.1" customHeight="1"/>
    <row r="1541" ht="14.1" customHeight="1"/>
    <row r="1542" ht="14.1" customHeight="1"/>
    <row r="1543" ht="14.1" customHeight="1"/>
    <row r="1544" ht="14.1" customHeight="1"/>
    <row r="1545" ht="14.1" customHeight="1"/>
    <row r="1546" ht="14.1" customHeight="1"/>
    <row r="1547" ht="14.1" customHeight="1"/>
    <row r="1548" ht="14.1" customHeight="1"/>
    <row r="1549" ht="14.1" customHeight="1"/>
    <row r="1550" ht="14.1" customHeight="1"/>
    <row r="1551" ht="14.1" customHeight="1"/>
    <row r="1552" ht="14.1" customHeight="1"/>
    <row r="1553" ht="14.1" customHeight="1"/>
    <row r="1554" ht="14.1" customHeight="1"/>
    <row r="1555" ht="14.1" customHeight="1"/>
    <row r="1556" ht="14.1" customHeight="1"/>
    <row r="1557" ht="14.1" customHeight="1"/>
    <row r="1558" ht="14.1" customHeight="1"/>
    <row r="1559" ht="14.1" customHeight="1"/>
    <row r="1560" ht="14.1" customHeight="1"/>
    <row r="1561" ht="14.1" customHeight="1"/>
    <row r="1562" ht="14.1" customHeight="1"/>
    <row r="1563" ht="14.1" customHeight="1"/>
    <row r="1564" ht="14.1" customHeight="1"/>
    <row r="1565" ht="14.1" customHeight="1"/>
    <row r="1566" ht="14.1" customHeight="1"/>
    <row r="1567" ht="14.1" customHeight="1"/>
    <row r="1568" ht="14.1" customHeight="1"/>
    <row r="1569" ht="14.1" customHeight="1"/>
    <row r="1570" ht="14.1" customHeight="1"/>
    <row r="1571" ht="14.1" customHeight="1"/>
    <row r="1572" ht="14.1" customHeight="1"/>
    <row r="1573" ht="14.1" customHeight="1"/>
    <row r="1574" ht="14.1" customHeight="1"/>
    <row r="1575" ht="14.1" customHeight="1"/>
    <row r="1576" ht="14.1" customHeight="1"/>
    <row r="1577" ht="14.1" customHeight="1"/>
    <row r="1578" ht="14.1" customHeight="1"/>
    <row r="1579" ht="14.1" customHeight="1"/>
    <row r="1580" ht="14.1" customHeight="1"/>
    <row r="1581" ht="14.1" customHeight="1"/>
    <row r="1582" ht="14.1" customHeight="1"/>
    <row r="1583" ht="14.1" customHeight="1"/>
    <row r="1584" ht="14.1" customHeight="1"/>
    <row r="1585" ht="14.1" customHeight="1"/>
    <row r="1586" ht="14.1" customHeight="1"/>
    <row r="1587" ht="14.1" customHeight="1"/>
    <row r="1588" ht="14.1" customHeight="1"/>
    <row r="1589" ht="14.1" customHeight="1"/>
    <row r="1590" ht="14.1" customHeight="1"/>
    <row r="1591" ht="14.1" customHeight="1"/>
    <row r="1592" ht="14.1" customHeight="1"/>
    <row r="1593" ht="14.1" customHeight="1"/>
    <row r="1594" ht="14.1" customHeight="1"/>
    <row r="1595" ht="14.1" customHeight="1"/>
    <row r="1596" ht="14.1" customHeight="1"/>
    <row r="1597" ht="14.1" customHeight="1"/>
    <row r="1598" ht="14.1" customHeight="1"/>
    <row r="1599" ht="14.1" customHeight="1"/>
    <row r="1600" ht="14.1" customHeight="1"/>
    <row r="1601" ht="14.1" customHeight="1"/>
    <row r="1602" ht="14.1" customHeight="1"/>
    <row r="1603" ht="14.1" customHeight="1"/>
    <row r="1604" ht="14.1" customHeight="1"/>
    <row r="1605" ht="14.1" customHeight="1"/>
    <row r="1606" ht="14.1" customHeight="1"/>
    <row r="1607" ht="14.1" customHeight="1"/>
    <row r="1608" ht="14.1" customHeight="1"/>
    <row r="1609" ht="14.1" customHeight="1"/>
    <row r="1610" ht="14.1" customHeight="1"/>
    <row r="1611" ht="14.1" customHeight="1"/>
    <row r="1612" ht="14.1" customHeight="1"/>
    <row r="1613" ht="14.1" customHeight="1"/>
    <row r="1614" ht="14.1" customHeight="1"/>
    <row r="1615" ht="14.1" customHeight="1"/>
    <row r="1616" ht="14.1" customHeight="1"/>
    <row r="1617" ht="14.1" customHeight="1"/>
    <row r="1618" ht="14.1" customHeight="1"/>
    <row r="1619" ht="14.1" customHeight="1"/>
    <row r="1620" ht="14.1" customHeight="1"/>
    <row r="1621" ht="14.1" customHeight="1"/>
    <row r="1622" ht="14.1" customHeight="1"/>
    <row r="1623" ht="14.1" customHeight="1"/>
    <row r="1624" ht="14.1" customHeight="1"/>
    <row r="1625" ht="14.1" customHeight="1"/>
    <row r="1626" ht="14.1" customHeight="1"/>
    <row r="1627" ht="14.1" customHeight="1"/>
    <row r="1628" ht="14.1" customHeight="1"/>
    <row r="1629" ht="14.1" customHeight="1"/>
    <row r="1630" ht="14.1" customHeight="1"/>
    <row r="1631" ht="14.1" customHeight="1"/>
    <row r="1632" ht="14.1" customHeight="1"/>
    <row r="1633" ht="14.1" customHeight="1"/>
    <row r="1634" ht="14.1" customHeight="1"/>
    <row r="1635" ht="14.1" customHeight="1"/>
    <row r="1636" ht="14.1" customHeight="1"/>
    <row r="1637" ht="14.1" customHeight="1"/>
    <row r="1638" ht="14.1" customHeight="1"/>
    <row r="1639" ht="14.1" customHeight="1"/>
    <row r="1640" ht="14.1" customHeight="1"/>
    <row r="1641" ht="14.1" customHeight="1"/>
    <row r="1642" ht="14.1" customHeight="1"/>
    <row r="1643" ht="14.1" customHeight="1"/>
    <row r="1644" ht="14.1" customHeight="1"/>
    <row r="1645" ht="14.1" customHeight="1"/>
    <row r="1646" ht="14.1" customHeight="1"/>
    <row r="1647" ht="14.1" customHeight="1"/>
    <row r="1648" ht="14.1" customHeight="1"/>
    <row r="1649" ht="14.1" customHeight="1"/>
    <row r="1650" ht="14.1" customHeight="1"/>
    <row r="1651" ht="14.1" customHeight="1"/>
    <row r="1652" ht="14.1" customHeight="1"/>
    <row r="1653" ht="14.1" customHeight="1"/>
    <row r="1654" ht="14.1" customHeight="1"/>
    <row r="1655" ht="14.1" customHeight="1"/>
    <row r="1656" ht="14.1" customHeight="1"/>
    <row r="1657" ht="14.1" customHeight="1"/>
    <row r="1658" ht="14.1" customHeight="1"/>
    <row r="1659" ht="14.1" customHeight="1"/>
    <row r="1660" ht="14.1" customHeight="1"/>
    <row r="1661" ht="14.1" customHeight="1"/>
    <row r="1662" ht="14.1" customHeight="1"/>
    <row r="1663" ht="14.1" customHeight="1"/>
    <row r="1664" ht="14.1" customHeight="1"/>
    <row r="1665" ht="14.1" customHeight="1"/>
    <row r="1666" ht="14.1" customHeight="1"/>
    <row r="1667" ht="14.1" customHeight="1"/>
    <row r="1668" ht="14.1" customHeight="1"/>
    <row r="1669" ht="14.1" customHeight="1"/>
    <row r="1670" ht="14.1" customHeight="1"/>
    <row r="1671" ht="14.1" customHeight="1"/>
    <row r="1672" ht="14.1" customHeight="1"/>
    <row r="1673" ht="14.1" customHeight="1"/>
    <row r="1674" ht="14.1" customHeight="1"/>
    <row r="1675" ht="14.1" customHeight="1"/>
    <row r="1676" ht="14.1" customHeight="1"/>
    <row r="1677" ht="14.1" customHeight="1"/>
    <row r="1678" ht="14.1" customHeight="1"/>
    <row r="1679" ht="14.1" customHeight="1"/>
    <row r="1680" ht="14.1" customHeight="1"/>
    <row r="1681" ht="14.1" customHeight="1"/>
    <row r="1682" ht="14.1" customHeight="1"/>
    <row r="1683" ht="14.1" customHeight="1"/>
    <row r="1684" ht="14.1" customHeight="1"/>
    <row r="1685" ht="14.1" customHeight="1"/>
    <row r="1686" ht="14.1" customHeight="1"/>
    <row r="1687" ht="14.1" customHeight="1"/>
    <row r="1688" ht="14.1" customHeight="1"/>
    <row r="1689" ht="14.1" customHeight="1"/>
    <row r="1690" ht="14.1" customHeight="1"/>
    <row r="1691" ht="14.1" customHeight="1"/>
    <row r="1692" ht="14.1" customHeight="1"/>
    <row r="1693" ht="14.1" customHeight="1"/>
    <row r="1694" ht="14.1" customHeight="1"/>
    <row r="1695" ht="14.1" customHeight="1"/>
    <row r="1696" ht="14.1" customHeight="1"/>
    <row r="1697" ht="14.1" customHeight="1"/>
    <row r="1698" ht="14.1" customHeight="1"/>
    <row r="1699" ht="14.1" customHeight="1"/>
    <row r="1700" ht="14.1" customHeight="1"/>
    <row r="1701" ht="14.1" customHeight="1"/>
    <row r="1702" ht="14.1" customHeight="1"/>
    <row r="1703" ht="14.1" customHeight="1"/>
    <row r="1704" ht="14.1" customHeight="1"/>
    <row r="1705" ht="14.1" customHeight="1"/>
    <row r="1706" ht="14.1" customHeight="1"/>
    <row r="1707" ht="14.1" customHeight="1"/>
    <row r="1708" ht="14.1" customHeight="1"/>
    <row r="1709" ht="14.1" customHeight="1"/>
    <row r="1710" ht="14.1" customHeight="1"/>
    <row r="1711" ht="14.1" customHeight="1"/>
    <row r="1712" ht="14.1" customHeight="1"/>
    <row r="1713" ht="14.1" customHeight="1"/>
    <row r="1714" ht="14.1" customHeight="1"/>
    <row r="1715" ht="14.1" customHeight="1"/>
    <row r="1716" ht="14.1" customHeight="1"/>
    <row r="1717" ht="14.1" customHeight="1"/>
    <row r="1718" ht="14.1" customHeight="1"/>
    <row r="1719" ht="14.1" customHeight="1"/>
    <row r="1720" ht="14.1" customHeight="1"/>
    <row r="1721" ht="14.1" customHeight="1"/>
    <row r="1722" ht="14.1" customHeight="1"/>
    <row r="1723" ht="14.1" customHeight="1"/>
    <row r="1724" ht="14.1" customHeight="1"/>
    <row r="1725" ht="14.1" customHeight="1"/>
    <row r="1726" ht="14.1" customHeight="1"/>
    <row r="1727" ht="14.1" customHeight="1"/>
    <row r="1728" ht="14.1" customHeight="1"/>
    <row r="1729" ht="14.1" customHeight="1"/>
    <row r="1730" ht="14.1" customHeight="1"/>
    <row r="1731" ht="14.1" customHeight="1"/>
    <row r="1732" ht="14.1" customHeight="1"/>
    <row r="1733" ht="14.1" customHeight="1"/>
    <row r="1734" ht="14.1" customHeight="1"/>
    <row r="1735" ht="14.1" customHeight="1"/>
    <row r="1736" ht="14.1" customHeight="1"/>
    <row r="1737" ht="14.1" customHeight="1"/>
    <row r="1738" ht="14.1" customHeight="1"/>
    <row r="1739" ht="14.1" customHeight="1"/>
    <row r="1740" ht="14.1" customHeight="1"/>
    <row r="1741" ht="14.1" customHeight="1"/>
    <row r="1742" ht="14.1" customHeight="1"/>
    <row r="1743" ht="14.1" customHeight="1"/>
    <row r="1744" ht="14.1" customHeight="1"/>
    <row r="1745" ht="14.1" customHeight="1"/>
    <row r="1746" ht="14.1" customHeight="1"/>
    <row r="1747" ht="14.1" customHeight="1"/>
    <row r="1748" ht="14.1" customHeight="1"/>
    <row r="1749" ht="14.1" customHeight="1"/>
    <row r="1750" ht="14.1" customHeight="1"/>
    <row r="1751" ht="14.1" customHeight="1"/>
    <row r="1752" ht="14.1" customHeight="1"/>
    <row r="1753" ht="14.1" customHeight="1"/>
    <row r="1754" ht="14.1" customHeight="1"/>
    <row r="1755" ht="14.1" customHeight="1"/>
    <row r="1756" ht="14.1" customHeight="1"/>
    <row r="1757" ht="14.1" customHeight="1"/>
    <row r="1758" ht="14.1" customHeight="1"/>
    <row r="1759" ht="14.1" customHeight="1"/>
    <row r="1760" ht="14.1" customHeight="1"/>
    <row r="1761" ht="14.1" customHeight="1"/>
    <row r="1762" ht="14.1" customHeight="1"/>
    <row r="1763" ht="14.1" customHeight="1"/>
    <row r="1764" ht="14.1" customHeight="1"/>
    <row r="1765" ht="14.1" customHeight="1"/>
    <row r="1766" ht="14.1" customHeight="1"/>
    <row r="1767" ht="14.1" customHeight="1"/>
    <row r="1768" ht="14.1" customHeight="1"/>
    <row r="1769" ht="14.1" customHeight="1"/>
    <row r="1770" ht="14.1" customHeight="1"/>
    <row r="1771" ht="14.1" customHeight="1"/>
    <row r="1772" ht="14.1" customHeight="1"/>
    <row r="1773" ht="14.1" customHeight="1"/>
    <row r="1774" ht="14.1" customHeight="1"/>
    <row r="1775" ht="14.1" customHeight="1"/>
    <row r="1776" ht="14.1" customHeight="1"/>
    <row r="1777" ht="14.1" customHeight="1"/>
    <row r="1778" ht="14.1" customHeight="1"/>
    <row r="1779" ht="14.1" customHeight="1"/>
    <row r="1780" ht="14.1" customHeight="1"/>
    <row r="1781" ht="14.1" customHeight="1"/>
    <row r="1782" ht="14.1" customHeight="1"/>
    <row r="1783" ht="14.1" customHeight="1"/>
    <row r="1784" ht="14.1" customHeight="1"/>
    <row r="1785" ht="14.1" customHeight="1"/>
    <row r="1786" ht="14.1" customHeight="1"/>
    <row r="1787" ht="14.1" customHeight="1"/>
    <row r="1788" ht="14.1" customHeight="1"/>
    <row r="1789" ht="14.1" customHeight="1"/>
    <row r="1790" ht="14.1" customHeight="1"/>
    <row r="1791" ht="14.1" customHeight="1"/>
    <row r="1792" ht="14.1" customHeight="1"/>
    <row r="1793" ht="14.1" customHeight="1"/>
    <row r="1794" ht="14.1" customHeight="1"/>
    <row r="1795" ht="14.1" customHeight="1"/>
    <row r="1796" ht="14.1" customHeight="1"/>
    <row r="1797" ht="14.1" customHeight="1"/>
    <row r="1798" ht="14.1" customHeight="1"/>
    <row r="1799" ht="14.1" customHeight="1"/>
    <row r="1800" ht="14.1" customHeight="1"/>
    <row r="1801" ht="14.1" customHeight="1"/>
    <row r="1802" ht="14.1" customHeight="1"/>
    <row r="1803" ht="14.1" customHeight="1"/>
    <row r="1804" ht="14.1" customHeight="1"/>
    <row r="1805" ht="14.1" customHeight="1"/>
    <row r="1806" ht="14.1" customHeight="1"/>
    <row r="1807" ht="14.1" customHeight="1"/>
    <row r="1808" ht="14.1" customHeight="1"/>
    <row r="1809" ht="14.1" customHeight="1"/>
    <row r="1810" ht="14.1" customHeight="1"/>
    <row r="1811" ht="14.1" customHeight="1"/>
    <row r="1812" ht="14.1" customHeight="1"/>
    <row r="1813" ht="14.1" customHeight="1"/>
    <row r="1814" ht="14.1" customHeight="1"/>
    <row r="1815" ht="14.1" customHeight="1"/>
    <row r="1816" ht="14.1" customHeight="1"/>
    <row r="1817" ht="14.1" customHeight="1"/>
    <row r="1818" ht="14.1" customHeight="1"/>
    <row r="1819" ht="14.1" customHeight="1"/>
    <row r="1820" ht="14.1" customHeight="1"/>
    <row r="1821" ht="14.1" customHeight="1"/>
    <row r="1822" ht="14.1" customHeight="1"/>
    <row r="1823" ht="14.1" customHeight="1"/>
    <row r="1824" ht="14.1" customHeight="1"/>
    <row r="1825" ht="14.1" customHeight="1"/>
    <row r="1826" ht="14.1" customHeight="1"/>
    <row r="1827" ht="14.1" customHeight="1"/>
    <row r="1828" ht="14.1" customHeight="1"/>
    <row r="1829" ht="14.1" customHeight="1"/>
    <row r="1830" ht="14.1" customHeight="1"/>
    <row r="1831" ht="14.1" customHeight="1"/>
    <row r="1832" ht="14.1" customHeight="1"/>
    <row r="1833" ht="14.1" customHeight="1"/>
    <row r="1834" ht="14.1" customHeight="1"/>
    <row r="1835" ht="14.1" customHeight="1"/>
    <row r="1836" ht="14.1" customHeight="1"/>
    <row r="1837" ht="14.1" customHeight="1"/>
    <row r="1838" ht="14.1" customHeight="1"/>
    <row r="1839" ht="14.1" customHeight="1"/>
    <row r="1840" ht="14.1" customHeight="1"/>
    <row r="1841" ht="14.1" customHeight="1"/>
    <row r="1842" ht="14.1" customHeight="1"/>
    <row r="1843" ht="14.1" customHeight="1"/>
    <row r="1844" ht="14.1" customHeight="1"/>
    <row r="1845" ht="14.1" customHeight="1"/>
    <row r="1846" ht="14.1" customHeight="1"/>
    <row r="1847" ht="14.1" customHeight="1"/>
    <row r="1848" ht="14.1" customHeight="1"/>
    <row r="1849" ht="14.1" customHeight="1"/>
    <row r="1850" ht="14.1" customHeight="1"/>
    <row r="1851" ht="14.1" customHeight="1"/>
    <row r="1852" ht="14.1" customHeight="1"/>
    <row r="1853" ht="14.1" customHeight="1"/>
    <row r="1854" ht="14.1" customHeight="1"/>
    <row r="1855" ht="14.1" customHeight="1"/>
    <row r="1856" ht="14.1" customHeight="1"/>
    <row r="1857" ht="14.1" customHeight="1"/>
    <row r="1858" ht="14.1" customHeight="1"/>
    <row r="1859" ht="14.1" customHeight="1"/>
    <row r="1860" ht="14.1" customHeight="1"/>
    <row r="1861" ht="14.1" customHeight="1"/>
    <row r="1862" ht="14.1" customHeight="1"/>
    <row r="1863" ht="14.1" customHeight="1"/>
    <row r="1864" ht="14.1" customHeight="1"/>
    <row r="1865" ht="14.1" customHeight="1"/>
    <row r="1866" ht="14.1" customHeight="1"/>
    <row r="1867" ht="14.1" customHeight="1"/>
    <row r="1868" ht="14.1" customHeight="1"/>
    <row r="1869" ht="14.1" customHeight="1"/>
    <row r="1870" ht="14.1" customHeight="1"/>
    <row r="1871" ht="14.1" customHeight="1"/>
    <row r="1872" ht="14.1" customHeight="1"/>
    <row r="1873" ht="14.1" customHeight="1"/>
    <row r="1874" ht="14.1" customHeight="1"/>
    <row r="1875" ht="14.1" customHeight="1"/>
    <row r="1876" ht="14.1" customHeight="1"/>
    <row r="1877" ht="14.1" customHeight="1"/>
    <row r="1878" ht="14.1" customHeight="1"/>
    <row r="1879" ht="14.1" customHeight="1"/>
    <row r="1880" ht="14.1" customHeight="1"/>
    <row r="1881" ht="14.1" customHeight="1"/>
    <row r="1882" ht="14.1" customHeight="1"/>
    <row r="1883" ht="14.1" customHeight="1"/>
    <row r="1884" ht="14.1" customHeight="1"/>
    <row r="1885" ht="14.1" customHeight="1"/>
    <row r="1886" ht="14.1" customHeight="1"/>
    <row r="1887" ht="14.1" customHeight="1"/>
    <row r="1888" ht="14.1" customHeight="1"/>
    <row r="1889" ht="14.1" customHeight="1"/>
    <row r="1890" ht="14.1" customHeight="1"/>
    <row r="1891" ht="14.1" customHeight="1"/>
    <row r="1892" ht="14.1" customHeight="1"/>
    <row r="1893" ht="14.1" customHeight="1"/>
    <row r="1894" ht="14.1" customHeight="1"/>
    <row r="1895" ht="14.1" customHeight="1"/>
    <row r="1896" ht="14.1" customHeight="1"/>
    <row r="1897" ht="14.1" customHeight="1"/>
    <row r="1898" ht="14.1" customHeight="1"/>
    <row r="1899" ht="14.1" customHeight="1"/>
    <row r="1900" ht="14.1" customHeight="1"/>
    <row r="1901" ht="14.1" customHeight="1"/>
    <row r="1902" ht="14.1" customHeight="1"/>
    <row r="1903" ht="14.1" customHeight="1"/>
    <row r="1904" ht="14.1" customHeight="1"/>
    <row r="1905" ht="14.1" customHeight="1"/>
    <row r="1906" ht="14.1" customHeight="1"/>
    <row r="1907" ht="14.1" customHeight="1"/>
    <row r="1908" ht="14.1" customHeight="1"/>
    <row r="1909" ht="14.1" customHeight="1"/>
    <row r="1910" ht="14.1" customHeight="1"/>
    <row r="1911" ht="14.1" customHeight="1"/>
    <row r="1912" ht="14.1" customHeight="1"/>
    <row r="1913" ht="14.1" customHeight="1"/>
    <row r="1914" ht="14.1" customHeight="1"/>
    <row r="1915" ht="14.1" customHeight="1"/>
    <row r="1916" ht="14.1" customHeight="1"/>
    <row r="1917" ht="14.1" customHeight="1"/>
    <row r="1918" ht="14.1" customHeight="1"/>
    <row r="1919" ht="14.1" customHeight="1"/>
    <row r="1920" ht="14.1" customHeight="1"/>
    <row r="1921" ht="14.1" customHeight="1"/>
    <row r="1922" ht="14.1" customHeight="1"/>
    <row r="1923" ht="14.1" customHeight="1"/>
    <row r="1924" ht="14.1" customHeight="1"/>
    <row r="1925" ht="14.1" customHeight="1"/>
    <row r="1926" ht="14.1" customHeight="1"/>
    <row r="1927" ht="14.1" customHeight="1"/>
    <row r="1928" ht="14.1" customHeight="1"/>
    <row r="1929" ht="14.1" customHeight="1"/>
    <row r="1930" ht="14.1" customHeight="1"/>
    <row r="1931" ht="14.1" customHeight="1"/>
    <row r="1932" ht="14.1" customHeight="1"/>
    <row r="1933" ht="14.1" customHeight="1"/>
    <row r="1934" ht="14.1" customHeight="1"/>
    <row r="1935" ht="14.1" customHeight="1"/>
    <row r="1936" ht="14.1" customHeight="1"/>
    <row r="1937" ht="14.1" customHeight="1"/>
    <row r="1938" ht="14.1" customHeight="1"/>
    <row r="1939" ht="14.1" customHeight="1"/>
    <row r="1940" ht="14.1" customHeight="1"/>
    <row r="1941" ht="14.1" customHeight="1"/>
    <row r="1942" ht="14.1" customHeight="1"/>
    <row r="1943" ht="14.1" customHeight="1"/>
    <row r="1944" ht="14.1" customHeight="1"/>
    <row r="1945" ht="14.1" customHeight="1"/>
    <row r="1946" ht="14.1" customHeight="1"/>
    <row r="1947" ht="14.1" customHeight="1"/>
    <row r="1948" ht="14.1" customHeight="1"/>
    <row r="1949" ht="14.1" customHeight="1"/>
    <row r="1950" ht="14.1" customHeight="1"/>
    <row r="1951" ht="14.1" customHeight="1"/>
    <row r="1952" ht="14.1" customHeight="1"/>
    <row r="1953" ht="14.1" customHeight="1"/>
    <row r="1954" ht="14.1" customHeight="1"/>
    <row r="1955" ht="14.1" customHeight="1"/>
    <row r="1956" ht="14.1" customHeight="1"/>
    <row r="1957" ht="14.1" customHeight="1"/>
    <row r="1958" ht="14.1" customHeight="1"/>
    <row r="1959" ht="14.1" customHeight="1"/>
    <row r="1960" ht="14.1" customHeight="1"/>
    <row r="1961" ht="14.1" customHeight="1"/>
    <row r="1962" ht="14.1" customHeight="1"/>
    <row r="1963" ht="14.1" customHeight="1"/>
    <row r="1964" ht="14.1" customHeight="1"/>
    <row r="1965" ht="14.1" customHeight="1"/>
    <row r="1966" ht="14.1" customHeight="1"/>
    <row r="1967" ht="14.1" customHeight="1"/>
    <row r="1968" ht="14.1" customHeight="1"/>
    <row r="1969" ht="14.1" customHeight="1"/>
    <row r="1970" ht="14.1" customHeight="1"/>
    <row r="1971" ht="14.1" customHeight="1"/>
    <row r="1972" ht="14.1" customHeight="1"/>
    <row r="1973" ht="14.1" customHeight="1"/>
    <row r="1974" ht="14.1" customHeight="1"/>
    <row r="1975" ht="14.1" customHeight="1"/>
    <row r="1976" ht="14.1" customHeight="1"/>
    <row r="1977" ht="14.1" customHeight="1"/>
    <row r="1978" ht="14.1" customHeight="1"/>
    <row r="1979" ht="14.1" customHeight="1"/>
    <row r="1980" ht="14.1" customHeight="1"/>
    <row r="1981" ht="14.1" customHeight="1"/>
    <row r="1982" ht="14.1" customHeight="1"/>
    <row r="1983" ht="14.1" customHeight="1"/>
    <row r="1984" ht="14.1" customHeight="1"/>
    <row r="1985" ht="14.1" customHeight="1"/>
    <row r="1986" ht="14.1" customHeight="1"/>
    <row r="1987" ht="14.1" customHeight="1"/>
    <row r="1988" ht="14.1" customHeight="1"/>
    <row r="1989" ht="14.1" customHeight="1"/>
    <row r="1990" ht="14.1" customHeight="1"/>
    <row r="1991" ht="14.1" customHeight="1"/>
    <row r="1992" ht="14.1" customHeight="1"/>
    <row r="1993" ht="14.1" customHeight="1"/>
    <row r="1994" ht="14.1" customHeight="1"/>
    <row r="1995" ht="14.1" customHeight="1"/>
    <row r="1996" ht="14.1" customHeight="1"/>
    <row r="1997" ht="14.1" customHeight="1"/>
    <row r="1998" ht="14.1" customHeight="1"/>
    <row r="1999" ht="14.1" customHeight="1"/>
    <row r="2000" ht="14.1" customHeight="1"/>
    <row r="2001" ht="14.1" customHeight="1"/>
    <row r="2002" ht="14.1" customHeight="1"/>
    <row r="2003" ht="14.1" customHeight="1"/>
    <row r="2004" ht="14.1" customHeight="1"/>
    <row r="2005" ht="14.1" customHeight="1"/>
    <row r="2006" ht="14.1" customHeight="1"/>
    <row r="2007" ht="14.1" customHeight="1"/>
    <row r="2008" ht="14.1" customHeight="1"/>
    <row r="2009" ht="14.1" customHeight="1"/>
    <row r="2010" ht="14.1" customHeight="1"/>
    <row r="2011" ht="14.1" customHeight="1"/>
    <row r="2012" ht="14.1" customHeight="1"/>
    <row r="2013" ht="14.1" customHeight="1"/>
    <row r="2014" ht="14.1" customHeight="1"/>
    <row r="2015" ht="14.1" customHeight="1"/>
    <row r="2016" ht="14.1" customHeight="1"/>
    <row r="2017" ht="14.1" customHeight="1"/>
    <row r="2018" ht="14.1" customHeight="1"/>
    <row r="2019" ht="14.1" customHeight="1"/>
    <row r="2020" ht="14.1" customHeight="1"/>
    <row r="2021" ht="14.1" customHeight="1"/>
    <row r="2022" ht="14.1" customHeight="1"/>
    <row r="2023" ht="14.1" customHeight="1"/>
    <row r="2024" ht="14.1" customHeight="1"/>
    <row r="2025" ht="14.1" customHeight="1"/>
    <row r="2026" ht="14.1" customHeight="1"/>
    <row r="2027" ht="14.1" customHeight="1"/>
    <row r="2028" ht="14.1" customHeight="1"/>
    <row r="2029" ht="14.1" customHeight="1"/>
    <row r="2030" ht="14.1" customHeight="1"/>
    <row r="2031" ht="14.1" customHeight="1"/>
    <row r="2032" ht="14.1" customHeight="1"/>
    <row r="2033" ht="14.1" customHeight="1"/>
    <row r="2034" ht="14.1" customHeight="1"/>
    <row r="2035" ht="14.1" customHeight="1"/>
    <row r="2036" ht="14.1" customHeight="1"/>
    <row r="2037" ht="14.1" customHeight="1"/>
    <row r="2038" ht="14.1" customHeight="1"/>
    <row r="2039" ht="14.1" customHeight="1"/>
    <row r="2040" ht="14.1" customHeight="1"/>
    <row r="2041" ht="14.1" customHeight="1"/>
    <row r="2042" ht="14.1" customHeight="1"/>
    <row r="2043" ht="14.1" customHeight="1"/>
    <row r="2044" ht="14.1" customHeight="1"/>
    <row r="2045" ht="14.1" customHeight="1"/>
    <row r="2046" ht="14.1" customHeight="1"/>
    <row r="2047" ht="14.1" customHeight="1"/>
    <row r="2048" ht="14.1" customHeight="1"/>
    <row r="2049" ht="14.1" customHeight="1"/>
    <row r="2050" ht="14.1" customHeight="1"/>
    <row r="2051" ht="14.1" customHeight="1"/>
    <row r="2052" ht="14.1" customHeight="1"/>
    <row r="2053" ht="14.1" customHeight="1"/>
    <row r="2054" ht="14.1" customHeight="1"/>
    <row r="2055" ht="14.1" customHeight="1"/>
    <row r="2056" ht="14.1" customHeight="1"/>
    <row r="2057" ht="14.1" customHeight="1"/>
    <row r="2058" ht="14.1" customHeight="1"/>
    <row r="2059" ht="14.1" customHeight="1"/>
    <row r="2060" ht="14.1" customHeight="1"/>
    <row r="2061" ht="14.1" customHeight="1"/>
    <row r="2062" ht="14.1" customHeight="1"/>
    <row r="2063" ht="14.1" customHeight="1"/>
    <row r="2064" ht="14.1" customHeight="1"/>
    <row r="2065" ht="14.1" customHeight="1"/>
    <row r="2066" ht="14.1" customHeight="1"/>
    <row r="2067" ht="14.1" customHeight="1"/>
    <row r="2068" ht="14.1" customHeight="1"/>
    <row r="2069" ht="14.1" customHeight="1"/>
    <row r="2070" ht="14.1" customHeight="1"/>
    <row r="2071" ht="14.1" customHeight="1"/>
    <row r="2072" ht="14.1" customHeight="1"/>
    <row r="2073" ht="14.1" customHeight="1"/>
    <row r="2074" ht="14.1" customHeight="1"/>
    <row r="2075" ht="14.1" customHeight="1"/>
    <row r="2076" ht="14.1" customHeight="1"/>
    <row r="2077" ht="14.1" customHeight="1"/>
    <row r="2078" ht="14.1" customHeight="1"/>
    <row r="2079" ht="14.1" customHeight="1"/>
    <row r="2080" ht="14.1" customHeight="1"/>
    <row r="2081" ht="14.1" customHeight="1"/>
    <row r="2082" ht="14.1" customHeight="1"/>
    <row r="2083" ht="14.1" customHeight="1"/>
    <row r="2084" ht="14.1" customHeight="1"/>
    <row r="2085" ht="14.1" customHeight="1"/>
    <row r="2086" ht="14.1" customHeight="1"/>
    <row r="2087" ht="14.1" customHeight="1"/>
    <row r="2088" ht="14.1" customHeight="1"/>
    <row r="2089" ht="14.1" customHeight="1"/>
    <row r="2090" ht="14.1" customHeight="1"/>
    <row r="2091" ht="14.1" customHeight="1"/>
    <row r="2092" ht="14.1" customHeight="1"/>
    <row r="2093" ht="14.1" customHeight="1"/>
    <row r="2094" ht="14.1" customHeight="1"/>
    <row r="2095" ht="14.1" customHeight="1"/>
    <row r="2096" ht="14.1" customHeight="1"/>
    <row r="2097" ht="14.1" customHeight="1"/>
    <row r="2098" ht="14.1" customHeight="1"/>
    <row r="2099" ht="14.1" customHeight="1"/>
    <row r="2100" ht="14.1" customHeight="1"/>
    <row r="2101" ht="14.1" customHeight="1"/>
    <row r="2102" ht="14.1" customHeight="1"/>
    <row r="2103" ht="14.1" customHeight="1"/>
    <row r="2104" ht="14.1" customHeight="1"/>
    <row r="2105" ht="14.1" customHeight="1"/>
    <row r="2106" ht="14.1" customHeight="1"/>
    <row r="2107" ht="14.1" customHeight="1"/>
    <row r="2108" ht="14.1" customHeight="1"/>
    <row r="2109" ht="14.1" customHeight="1"/>
    <row r="2110" ht="14.1" customHeight="1"/>
    <row r="2111" ht="14.1" customHeight="1"/>
    <row r="2112" ht="14.1" customHeight="1"/>
    <row r="2113" ht="14.1" customHeight="1"/>
    <row r="2114" ht="14.1" customHeight="1"/>
    <row r="2115" ht="14.1" customHeight="1"/>
    <row r="2116" ht="14.1" customHeight="1"/>
    <row r="2117" ht="14.1" customHeight="1"/>
    <row r="2118" ht="14.1" customHeight="1"/>
    <row r="2119" ht="14.1" customHeight="1"/>
    <row r="2120" ht="14.1" customHeight="1"/>
    <row r="2121" ht="14.1" customHeight="1"/>
    <row r="2122" ht="14.1" customHeight="1"/>
    <row r="2123" ht="14.1" customHeight="1"/>
    <row r="2124" ht="14.1" customHeight="1"/>
    <row r="2125" ht="14.1" customHeight="1"/>
    <row r="2126" ht="14.1" customHeight="1"/>
    <row r="2127" ht="14.1" customHeight="1"/>
    <row r="2128" ht="14.1" customHeight="1"/>
    <row r="2129" ht="14.1" customHeight="1"/>
    <row r="2130" ht="14.1" customHeight="1"/>
    <row r="2131" ht="14.1" customHeight="1"/>
    <row r="2132" ht="14.1" customHeight="1"/>
    <row r="2133" ht="14.1" customHeight="1"/>
    <row r="2134" ht="14.1" customHeight="1"/>
    <row r="2135" ht="14.1" customHeight="1"/>
    <row r="2136" ht="14.1" customHeight="1"/>
    <row r="2137" ht="14.1" customHeight="1"/>
    <row r="2138" ht="14.1" customHeight="1"/>
    <row r="2139" ht="14.1" customHeight="1"/>
    <row r="2140" ht="14.1" customHeight="1"/>
    <row r="2141" ht="14.1" customHeight="1"/>
    <row r="2142" ht="14.1" customHeight="1"/>
    <row r="2143" ht="14.1" customHeight="1"/>
    <row r="2144" ht="14.1" customHeight="1"/>
    <row r="2145" ht="14.1" customHeight="1"/>
    <row r="2146" ht="14.1" customHeight="1"/>
    <row r="2147" ht="14.1" customHeight="1"/>
    <row r="2148" ht="14.1" customHeight="1"/>
    <row r="2149" ht="14.1" customHeight="1"/>
    <row r="2150" ht="14.1" customHeight="1"/>
    <row r="2151" ht="14.1" customHeight="1"/>
    <row r="2152" ht="14.1" customHeight="1"/>
    <row r="2153" ht="14.1" customHeight="1"/>
    <row r="2154" ht="14.1" customHeight="1"/>
    <row r="2155" ht="14.1" customHeight="1"/>
    <row r="2156" ht="14.1" customHeight="1"/>
    <row r="2157" ht="14.1" customHeight="1"/>
    <row r="2158" ht="14.1" customHeight="1"/>
    <row r="2159" ht="14.1" customHeight="1"/>
    <row r="2160" ht="14.1" customHeight="1"/>
    <row r="2161" ht="14.1" customHeight="1"/>
    <row r="2162" ht="14.1" customHeight="1"/>
    <row r="2163" ht="14.1" customHeight="1"/>
    <row r="2164" ht="14.1" customHeight="1"/>
    <row r="2165" ht="14.1" customHeight="1"/>
    <row r="2166" ht="14.1" customHeight="1"/>
    <row r="2167" ht="14.1" customHeight="1"/>
    <row r="2168" ht="14.1" customHeight="1"/>
    <row r="2169" ht="14.1" customHeight="1"/>
    <row r="2170" ht="14.1" customHeight="1"/>
    <row r="2171" ht="14.1" customHeight="1"/>
    <row r="2172" ht="14.1" customHeight="1"/>
    <row r="2173" ht="14.1" customHeight="1"/>
    <row r="2174" ht="14.1" customHeight="1"/>
    <row r="2175" ht="14.1" customHeight="1"/>
    <row r="2176" ht="14.1" customHeight="1"/>
    <row r="2177" ht="14.1" customHeight="1"/>
    <row r="2178" ht="14.1" customHeight="1"/>
    <row r="2179" ht="14.1" customHeight="1"/>
    <row r="2180" ht="14.1" customHeight="1"/>
    <row r="2181" ht="14.1" customHeight="1"/>
    <row r="2182" ht="14.1" customHeight="1"/>
    <row r="2183" ht="14.1" customHeight="1"/>
    <row r="2184" ht="14.1" customHeight="1"/>
    <row r="2185" ht="14.1" customHeight="1"/>
    <row r="2186" ht="14.1" customHeight="1"/>
    <row r="2187" ht="14.1" customHeight="1"/>
    <row r="2188" ht="14.1" customHeight="1"/>
    <row r="2189" ht="14.1" customHeight="1"/>
    <row r="2190" ht="14.1" customHeight="1"/>
    <row r="2191" ht="14.1" customHeight="1"/>
    <row r="2192" ht="14.1" customHeight="1"/>
    <row r="2193" ht="14.1" customHeight="1"/>
    <row r="2194" ht="14.1" customHeight="1"/>
    <row r="2195" ht="14.1" customHeight="1"/>
    <row r="2196" ht="14.1" customHeight="1"/>
    <row r="2197" ht="14.1" customHeight="1"/>
    <row r="2198" ht="14.1" customHeight="1"/>
    <row r="2199" ht="14.1" customHeight="1"/>
    <row r="2200" ht="14.1" customHeight="1"/>
    <row r="2201" ht="14.1" customHeight="1"/>
    <row r="2202" ht="14.1" customHeight="1"/>
    <row r="2203" ht="14.1" customHeight="1"/>
    <row r="2204" ht="14.1" customHeight="1"/>
    <row r="2205" ht="14.1" customHeight="1"/>
    <row r="2206" ht="14.1" customHeight="1"/>
    <row r="2207" ht="14.1" customHeight="1"/>
    <row r="2208" ht="14.1" customHeight="1"/>
    <row r="2209" ht="14.1" customHeight="1"/>
    <row r="2210" ht="14.1" customHeight="1"/>
    <row r="2211" ht="14.1" customHeight="1"/>
    <row r="2212" ht="14.1" customHeight="1"/>
    <row r="2213" ht="14.1" customHeight="1"/>
    <row r="2214" ht="14.1" customHeight="1"/>
    <row r="2215" ht="14.1" customHeight="1"/>
    <row r="2216" ht="14.1" customHeight="1"/>
    <row r="2217" ht="14.1" customHeight="1"/>
    <row r="2218" ht="14.1" customHeight="1"/>
    <row r="2219" ht="14.1" customHeight="1"/>
    <row r="2220" ht="14.1" customHeight="1"/>
    <row r="2221" ht="14.1" customHeight="1"/>
    <row r="2222" ht="14.1" customHeight="1"/>
    <row r="2223" ht="14.1" customHeight="1"/>
    <row r="2224" ht="14.1" customHeight="1"/>
    <row r="2225" ht="14.1" customHeight="1"/>
    <row r="2226" ht="14.1" customHeight="1"/>
    <row r="2227" ht="14.1" customHeight="1"/>
    <row r="2228" ht="14.1" customHeight="1"/>
    <row r="2229" ht="14.1" customHeight="1"/>
    <row r="2230" ht="14.1" customHeight="1"/>
    <row r="2231" ht="14.1" customHeight="1"/>
    <row r="2232" ht="14.1" customHeight="1"/>
    <row r="2233" ht="14.1" customHeight="1"/>
    <row r="2234" ht="14.1" customHeight="1"/>
    <row r="2235" ht="14.1" customHeight="1"/>
    <row r="2236" ht="14.1" customHeight="1"/>
    <row r="2237" ht="14.1" customHeight="1"/>
    <row r="2238" ht="14.1" customHeight="1"/>
    <row r="2239" ht="14.1" customHeight="1"/>
    <row r="2240" ht="14.1" customHeight="1"/>
    <row r="2241" ht="14.1" customHeight="1"/>
    <row r="2242" ht="14.1" customHeight="1"/>
    <row r="2243" ht="14.1" customHeight="1"/>
    <row r="2244" ht="14.1" customHeight="1"/>
    <row r="2245" ht="14.1" customHeight="1"/>
    <row r="2246" ht="14.1" customHeight="1"/>
    <row r="2247" ht="14.1" customHeight="1"/>
    <row r="2248" ht="14.1" customHeight="1"/>
    <row r="2249" ht="14.1" customHeight="1"/>
    <row r="2250" ht="14.1" customHeight="1"/>
    <row r="2251" ht="14.1" customHeight="1"/>
    <row r="2252" ht="14.1" customHeight="1"/>
    <row r="2253" ht="14.1" customHeight="1"/>
    <row r="2254" ht="14.1" customHeight="1"/>
    <row r="2255" ht="14.1" customHeight="1"/>
    <row r="2256" ht="14.1" customHeight="1"/>
    <row r="2257" ht="14.1" customHeight="1"/>
    <row r="2258" ht="14.1" customHeight="1"/>
    <row r="2259" ht="14.1" customHeight="1"/>
    <row r="2260" ht="14.1" customHeight="1"/>
    <row r="2261" ht="14.1" customHeight="1"/>
    <row r="2262" ht="14.1" customHeight="1"/>
    <row r="2263" ht="14.1" customHeight="1"/>
    <row r="2264" ht="14.1" customHeight="1"/>
    <row r="2265" ht="14.1" customHeight="1"/>
    <row r="2266" ht="14.1" customHeight="1"/>
    <row r="2267" ht="14.1" customHeight="1"/>
    <row r="2268" ht="14.1" customHeight="1"/>
    <row r="2269" ht="14.1" customHeight="1"/>
    <row r="2270" ht="14.1" customHeight="1"/>
    <row r="2271" ht="14.1" customHeight="1"/>
    <row r="2272" ht="14.1" customHeight="1"/>
    <row r="2273" ht="14.1" customHeight="1"/>
    <row r="2274" ht="14.1" customHeight="1"/>
    <row r="2275" ht="14.1" customHeight="1"/>
    <row r="2276" ht="14.1" customHeight="1"/>
    <row r="2277" ht="14.1" customHeight="1"/>
    <row r="2278" ht="14.1" customHeight="1"/>
    <row r="2279" ht="14.1" customHeight="1"/>
    <row r="2280" ht="14.1" customHeight="1"/>
    <row r="2281" ht="14.1" customHeight="1"/>
    <row r="2282" ht="14.1" customHeight="1"/>
    <row r="2283" ht="14.1" customHeight="1"/>
    <row r="2284" ht="14.1" customHeight="1"/>
    <row r="2285" ht="14.1" customHeight="1"/>
    <row r="2286" ht="14.1" customHeight="1"/>
    <row r="2287" ht="14.1" customHeight="1"/>
    <row r="2288" ht="14.1" customHeight="1"/>
    <row r="2289" ht="14.1" customHeight="1"/>
    <row r="2290" ht="14.1" customHeight="1"/>
    <row r="2291" ht="14.1" customHeight="1"/>
    <row r="2292" ht="14.1" customHeight="1"/>
    <row r="2293" ht="14.1" customHeight="1"/>
    <row r="2294" ht="14.1" customHeight="1"/>
    <row r="2295" ht="14.1" customHeight="1"/>
    <row r="2296" ht="14.1" customHeight="1"/>
    <row r="2297" ht="14.1" customHeight="1"/>
    <row r="2298" ht="14.1" customHeight="1"/>
    <row r="2299" ht="14.1" customHeight="1"/>
    <row r="2300" ht="14.1" customHeight="1"/>
    <row r="2301" ht="14.1" customHeight="1"/>
    <row r="2302" ht="14.1" customHeight="1"/>
    <row r="2303" ht="14.1" customHeight="1"/>
    <row r="2304" ht="14.1" customHeight="1"/>
    <row r="2305" ht="14.1" customHeight="1"/>
    <row r="2306" ht="14.1" customHeight="1"/>
    <row r="2307" ht="14.1" customHeight="1"/>
    <row r="2308" ht="14.1" customHeight="1"/>
    <row r="2309" ht="14.1" customHeight="1"/>
    <row r="2310" ht="14.1" customHeight="1"/>
    <row r="2311" ht="14.1" customHeight="1"/>
    <row r="2312" ht="14.1" customHeight="1"/>
    <row r="2313" ht="14.1" customHeight="1"/>
    <row r="2314" ht="14.1" customHeight="1"/>
    <row r="2315" ht="14.1" customHeight="1"/>
    <row r="2316" ht="14.1" customHeight="1"/>
    <row r="2317" ht="14.1" customHeight="1"/>
    <row r="2318" ht="14.1" customHeight="1"/>
    <row r="2319" ht="14.1" customHeight="1"/>
    <row r="2320" ht="14.1" customHeight="1"/>
    <row r="2321" ht="14.1" customHeight="1"/>
    <row r="2322" ht="14.1" customHeight="1"/>
    <row r="2323" ht="14.1" customHeight="1"/>
    <row r="2324" ht="14.1" customHeight="1"/>
    <row r="2325" ht="14.1" customHeight="1"/>
    <row r="2326" ht="14.1" customHeight="1"/>
    <row r="2327" ht="14.1" customHeight="1"/>
    <row r="2328" ht="14.1" customHeight="1"/>
    <row r="2329" ht="14.1" customHeight="1"/>
    <row r="2330" ht="14.1" customHeight="1"/>
    <row r="2331" ht="14.1" customHeight="1"/>
    <row r="2332" ht="14.1" customHeight="1"/>
    <row r="2333" ht="14.1" customHeight="1"/>
    <row r="2334" ht="14.1" customHeight="1"/>
    <row r="2335" ht="14.1" customHeight="1"/>
    <row r="2336" ht="14.1" customHeight="1"/>
    <row r="2337" ht="14.1" customHeight="1"/>
    <row r="2338" ht="14.1" customHeight="1"/>
    <row r="2339" ht="14.1" customHeight="1"/>
    <row r="2340" ht="14.1" customHeight="1"/>
    <row r="2341" ht="14.1" customHeight="1"/>
    <row r="2342" ht="14.1" customHeight="1"/>
    <row r="2343" ht="14.1" customHeight="1"/>
    <row r="2344" ht="14.1" customHeight="1"/>
    <row r="2345" ht="14.1" customHeight="1"/>
    <row r="2346" ht="14.1" customHeight="1"/>
    <row r="2347" ht="14.1" customHeight="1"/>
    <row r="2348" ht="14.1" customHeight="1"/>
    <row r="2349" ht="14.1" customHeight="1"/>
    <row r="2350" ht="14.1" customHeight="1"/>
    <row r="2351" ht="14.1" customHeight="1"/>
    <row r="2352" ht="14.1" customHeight="1"/>
    <row r="2353" ht="14.1" customHeight="1"/>
    <row r="2354" ht="14.1" customHeight="1"/>
    <row r="2355" ht="14.1" customHeight="1"/>
    <row r="2356" ht="14.1" customHeight="1"/>
    <row r="2357" ht="14.1" customHeight="1"/>
    <row r="2358" ht="14.1" customHeight="1"/>
    <row r="2359" ht="14.1" customHeight="1"/>
    <row r="2360" ht="14.1" customHeight="1"/>
    <row r="2361" ht="14.1" customHeight="1"/>
    <row r="2362" ht="14.1" customHeight="1"/>
    <row r="2363" ht="14.1" customHeight="1"/>
    <row r="2364" ht="14.1" customHeight="1"/>
    <row r="2365" ht="14.1" customHeight="1"/>
    <row r="2366" ht="14.1" customHeight="1"/>
    <row r="2367" ht="14.1" customHeight="1"/>
    <row r="2368" ht="14.1" customHeight="1"/>
    <row r="2369" ht="14.1" customHeight="1"/>
    <row r="2370" ht="14.1" customHeight="1"/>
    <row r="2371" ht="14.1" customHeight="1"/>
    <row r="2372" ht="14.1" customHeight="1"/>
    <row r="2373" ht="14.1" customHeight="1"/>
    <row r="2374" ht="14.1" customHeight="1"/>
    <row r="2375" ht="14.1" customHeight="1"/>
    <row r="2376" ht="14.1" customHeight="1"/>
    <row r="2377" ht="14.1" customHeight="1"/>
    <row r="2378" ht="14.1" customHeight="1"/>
    <row r="2379" ht="14.1" customHeight="1"/>
    <row r="2380" ht="14.1" customHeight="1"/>
    <row r="2381" ht="14.1" customHeight="1"/>
    <row r="2382" ht="14.1" customHeight="1"/>
    <row r="2383" ht="14.1" customHeight="1"/>
    <row r="2384" ht="14.1" customHeight="1"/>
    <row r="2385" ht="14.1" customHeight="1"/>
    <row r="2386" ht="14.1" customHeight="1"/>
    <row r="2387" ht="14.1" customHeight="1"/>
    <row r="2388" ht="14.1" customHeight="1"/>
    <row r="2389" ht="14.1" customHeight="1"/>
    <row r="2390" ht="14.1" customHeight="1"/>
    <row r="2391" ht="14.1" customHeight="1"/>
    <row r="2392" ht="14.1" customHeight="1"/>
    <row r="2393" ht="14.1" customHeight="1"/>
    <row r="2394" ht="14.1" customHeight="1"/>
    <row r="2395" ht="14.1" customHeight="1"/>
    <row r="2396" ht="14.1" customHeight="1"/>
    <row r="2397" ht="14.1" customHeight="1"/>
    <row r="2398" ht="14.1" customHeight="1"/>
    <row r="2399" ht="14.1" customHeight="1"/>
    <row r="2400" ht="14.1" customHeight="1"/>
    <row r="2401" ht="14.1" customHeight="1"/>
    <row r="2402" ht="14.1" customHeight="1"/>
    <row r="2403" ht="14.1" customHeight="1"/>
    <row r="2404" ht="14.1" customHeight="1"/>
    <row r="2405" ht="14.1" customHeight="1"/>
    <row r="2406" ht="14.1" customHeight="1"/>
    <row r="2407" ht="14.1" customHeight="1"/>
    <row r="2408" ht="14.1" customHeight="1"/>
    <row r="2409" ht="14.1" customHeight="1"/>
    <row r="2410" ht="14.1" customHeight="1"/>
    <row r="2411" ht="14.1" customHeight="1"/>
    <row r="2412" ht="14.1" customHeight="1"/>
    <row r="2413" ht="14.1" customHeight="1"/>
    <row r="2414" ht="14.1" customHeight="1"/>
    <row r="2415" ht="14.1" customHeight="1"/>
    <row r="2416" ht="14.1" customHeight="1"/>
    <row r="2417" ht="14.1" customHeight="1"/>
    <row r="2418" ht="14.1" customHeight="1"/>
    <row r="2419" ht="14.1" customHeight="1"/>
    <row r="2420" ht="14.1" customHeight="1"/>
    <row r="2421" ht="14.1" customHeight="1"/>
    <row r="2422" ht="14.1" customHeight="1"/>
    <row r="2423" ht="14.1" customHeight="1"/>
    <row r="2424" ht="14.1" customHeight="1"/>
    <row r="2425" ht="14.1" customHeight="1"/>
    <row r="2426" ht="14.1" customHeight="1"/>
    <row r="2427" ht="14.1" customHeight="1"/>
    <row r="2428" ht="14.1" customHeight="1"/>
    <row r="2429" ht="14.1" customHeight="1"/>
    <row r="2430" ht="14.1" customHeight="1"/>
    <row r="2431" ht="14.1" customHeight="1"/>
    <row r="2432" ht="14.1" customHeight="1"/>
    <row r="2433" ht="14.1" customHeight="1"/>
    <row r="2434" ht="14.1" customHeight="1"/>
    <row r="2435" ht="14.1" customHeight="1"/>
    <row r="2436" ht="14.1" customHeight="1"/>
    <row r="2437" ht="14.1" customHeight="1"/>
    <row r="2438" ht="14.1" customHeight="1"/>
    <row r="2439" ht="14.1" customHeight="1"/>
    <row r="2440" ht="14.1" customHeight="1"/>
    <row r="2441" ht="14.1" customHeight="1"/>
    <row r="2442" ht="14.1" customHeight="1"/>
    <row r="2443" ht="14.1" customHeight="1"/>
    <row r="2444" ht="14.1" customHeight="1"/>
    <row r="2445" ht="14.1" customHeight="1"/>
    <row r="2446" ht="14.1" customHeight="1"/>
    <row r="2447" ht="14.1" customHeight="1"/>
    <row r="2448" ht="14.1" customHeight="1"/>
    <row r="2449" ht="14.1" customHeight="1"/>
    <row r="2450" ht="14.1" customHeight="1"/>
    <row r="2451" ht="14.1" customHeight="1"/>
    <row r="2452" ht="14.1" customHeight="1"/>
    <row r="2453" ht="14.1" customHeight="1"/>
    <row r="2454" ht="14.1" customHeight="1"/>
    <row r="2455" ht="14.1" customHeight="1"/>
    <row r="2456" ht="14.1" customHeight="1"/>
    <row r="2457" ht="14.1" customHeight="1"/>
    <row r="2458" ht="14.1" customHeight="1"/>
    <row r="2459" ht="14.1" customHeight="1"/>
    <row r="2460" ht="14.1" customHeight="1"/>
    <row r="2461" ht="14.1" customHeight="1"/>
    <row r="2462" ht="14.1" customHeight="1"/>
    <row r="2463" ht="14.1" customHeight="1"/>
    <row r="2464" ht="14.1" customHeight="1"/>
    <row r="2465" ht="14.1" customHeight="1"/>
    <row r="2466" ht="14.1" customHeight="1"/>
    <row r="2467" ht="14.1" customHeight="1"/>
    <row r="2468" ht="14.1" customHeight="1"/>
    <row r="2469" ht="14.1" customHeight="1"/>
    <row r="2470" ht="14.1" customHeight="1"/>
    <row r="2471" ht="14.1" customHeight="1"/>
    <row r="2472" ht="14.1" customHeight="1"/>
    <row r="2473" ht="14.1" customHeight="1"/>
    <row r="2474" ht="14.1" customHeight="1"/>
    <row r="2475" ht="14.1" customHeight="1"/>
    <row r="2476" ht="14.1" customHeight="1"/>
    <row r="2477" ht="14.1" customHeight="1"/>
    <row r="2478" ht="14.1" customHeight="1"/>
    <row r="2479" ht="14.1" customHeight="1"/>
    <row r="2480" ht="14.1" customHeight="1"/>
    <row r="2481" ht="14.1" customHeight="1"/>
    <row r="2482" ht="14.1" customHeight="1"/>
    <row r="2483" ht="14.1" customHeight="1"/>
    <row r="2484" ht="14.1" customHeight="1"/>
    <row r="2485" ht="14.1" customHeight="1"/>
    <row r="2486" ht="14.1" customHeight="1"/>
    <row r="2487" ht="14.1" customHeight="1"/>
    <row r="2488" ht="14.1" customHeight="1"/>
    <row r="2489" ht="14.1" customHeight="1"/>
    <row r="2490" ht="14.1" customHeight="1"/>
    <row r="2491" ht="14.1" customHeight="1"/>
    <row r="2492" ht="14.1" customHeight="1"/>
    <row r="2493" ht="14.1" customHeight="1"/>
    <row r="2494" ht="14.1" customHeight="1"/>
    <row r="2495" ht="14.1" customHeight="1"/>
    <row r="2496" ht="14.1" customHeight="1"/>
    <row r="2497" ht="14.1" customHeight="1"/>
    <row r="2498" ht="14.1" customHeight="1"/>
    <row r="2499" ht="14.1" customHeight="1"/>
    <row r="2500" ht="14.1" customHeight="1"/>
    <row r="2501" ht="14.1" customHeight="1"/>
    <row r="2502" ht="14.1" customHeight="1"/>
    <row r="2503" ht="14.1" customHeight="1"/>
    <row r="2504" ht="14.1" customHeight="1"/>
    <row r="2505" ht="14.1" customHeight="1"/>
    <row r="2506" ht="14.1" customHeight="1"/>
    <row r="2507" ht="14.1" customHeight="1"/>
    <row r="2508" ht="14.1" customHeight="1"/>
    <row r="2509" ht="14.1" customHeight="1"/>
    <row r="2510" ht="14.1" customHeight="1"/>
    <row r="2511" ht="14.1" customHeight="1"/>
    <row r="2512" ht="14.1" customHeight="1"/>
    <row r="2513" ht="14.1" customHeight="1"/>
    <row r="2514" ht="14.1" customHeight="1"/>
    <row r="2515" ht="14.1" customHeight="1"/>
    <row r="2516" ht="14.1" customHeight="1"/>
    <row r="2517" ht="14.1" customHeight="1"/>
    <row r="2518" ht="14.1" customHeight="1"/>
    <row r="2519" ht="14.1" customHeight="1"/>
    <row r="2520" ht="14.1" customHeight="1"/>
    <row r="2521" ht="14.1" customHeight="1"/>
    <row r="2522" ht="14.1" customHeight="1"/>
    <row r="2523" ht="14.1" customHeight="1"/>
    <row r="2524" ht="14.1" customHeight="1"/>
    <row r="2525" ht="14.1" customHeight="1"/>
    <row r="2526" ht="14.1" customHeight="1"/>
    <row r="2527" ht="14.1" customHeight="1"/>
    <row r="2528" ht="14.1" customHeight="1"/>
    <row r="2529" ht="14.1" customHeight="1"/>
    <row r="2530" ht="14.1" customHeight="1"/>
    <row r="2531" ht="14.1" customHeight="1"/>
    <row r="2532" ht="14.1" customHeight="1"/>
    <row r="2533" ht="14.1" customHeight="1"/>
    <row r="2534" ht="14.1" customHeight="1"/>
    <row r="2535" ht="14.1" customHeight="1"/>
    <row r="2536" ht="14.1" customHeight="1"/>
    <row r="2537" ht="14.1" customHeight="1"/>
    <row r="2538" ht="14.1" customHeight="1"/>
    <row r="2539" ht="14.1" customHeight="1"/>
    <row r="2540" ht="14.1" customHeight="1"/>
    <row r="2541" ht="14.1" customHeight="1"/>
    <row r="2542" ht="14.1" customHeight="1"/>
    <row r="2543" ht="14.1" customHeight="1"/>
    <row r="2544" ht="14.1" customHeight="1"/>
    <row r="2545" ht="14.1" customHeight="1"/>
    <row r="2546" ht="14.1" customHeight="1"/>
    <row r="2547" ht="14.1" customHeight="1"/>
    <row r="2548" ht="14.1" customHeight="1"/>
    <row r="2549" ht="14.1" customHeight="1"/>
    <row r="2550" ht="14.1" customHeight="1"/>
    <row r="2551" ht="14.1" customHeight="1"/>
    <row r="2552" ht="14.1" customHeight="1"/>
    <row r="2553" ht="14.1" customHeight="1"/>
    <row r="2554" ht="14.1" customHeight="1"/>
    <row r="2555" ht="14.1" customHeight="1"/>
    <row r="2556" ht="14.1" customHeight="1"/>
    <row r="2557" ht="14.1" customHeight="1"/>
    <row r="2558" ht="14.1" customHeight="1"/>
    <row r="2559" ht="14.1" customHeight="1"/>
    <row r="2560" ht="14.1" customHeight="1"/>
    <row r="2561" ht="14.1" customHeight="1"/>
    <row r="2562" ht="14.1" customHeight="1"/>
    <row r="2563" ht="14.1" customHeight="1"/>
    <row r="2564" ht="14.1" customHeight="1"/>
    <row r="2565" ht="14.1" customHeight="1"/>
    <row r="2566" ht="14.1" customHeight="1"/>
    <row r="2567" ht="14.1" customHeight="1"/>
    <row r="2568" ht="14.1" customHeight="1"/>
    <row r="2569" ht="14.1" customHeight="1"/>
    <row r="2570" ht="14.1" customHeight="1"/>
    <row r="2571" ht="14.1" customHeight="1"/>
    <row r="2572" ht="14.1" customHeight="1"/>
    <row r="2573" ht="14.1" customHeight="1"/>
    <row r="2574" ht="14.1" customHeight="1"/>
    <row r="2575" ht="14.1" customHeight="1"/>
    <row r="2576" ht="14.1" customHeight="1"/>
    <row r="2577" ht="14.1" customHeight="1"/>
    <row r="2578" ht="14.1" customHeight="1"/>
    <row r="2579" ht="14.1" customHeight="1"/>
    <row r="2580" ht="14.1" customHeight="1"/>
    <row r="2581" ht="14.1" customHeight="1"/>
    <row r="2582" ht="14.1" customHeight="1"/>
    <row r="2583" ht="14.1" customHeight="1"/>
    <row r="2584" ht="14.1" customHeight="1"/>
    <row r="2585" ht="14.1" customHeight="1"/>
    <row r="2586" ht="14.1" customHeight="1"/>
    <row r="2587" ht="14.1" customHeight="1"/>
    <row r="2588" ht="14.1" customHeight="1"/>
    <row r="2589" ht="14.1" customHeight="1"/>
    <row r="2590" ht="14.1" customHeight="1"/>
    <row r="2591" ht="14.1" customHeight="1"/>
    <row r="2592" ht="14.1" customHeight="1"/>
    <row r="2593" ht="14.1" customHeight="1"/>
    <row r="2594" ht="14.1" customHeight="1"/>
    <row r="2595" ht="14.1" customHeight="1"/>
    <row r="2596" ht="14.1" customHeight="1"/>
    <row r="2597" ht="14.1" customHeight="1"/>
    <row r="2598" ht="14.1" customHeight="1"/>
    <row r="2599" ht="14.1" customHeight="1"/>
    <row r="2600" ht="14.1" customHeight="1"/>
    <row r="2601" ht="14.1" customHeight="1"/>
    <row r="2602" ht="14.1" customHeight="1"/>
    <row r="2603" ht="14.1" customHeight="1"/>
    <row r="2604" ht="14.1" customHeight="1"/>
    <row r="2605" ht="14.1" customHeight="1"/>
    <row r="2606" ht="14.1" customHeight="1"/>
    <row r="2607" ht="14.1" customHeight="1"/>
    <row r="2608" ht="14.1" customHeight="1"/>
    <row r="2609" ht="14.1" customHeight="1"/>
    <row r="2610" ht="14.1" customHeight="1"/>
    <row r="2611" ht="14.1" customHeight="1"/>
    <row r="2612" ht="14.1" customHeight="1"/>
    <row r="2613" ht="14.1" customHeight="1"/>
    <row r="2614" ht="14.1" customHeight="1"/>
    <row r="2615" ht="14.1" customHeight="1"/>
    <row r="2616" ht="14.1" customHeight="1"/>
    <row r="2617" ht="14.1" customHeight="1"/>
    <row r="2618" ht="14.1" customHeight="1"/>
    <row r="2619" ht="14.1" customHeight="1"/>
    <row r="2620" ht="14.1" customHeight="1"/>
    <row r="2621" ht="14.1" customHeight="1"/>
    <row r="2622" ht="14.1" customHeight="1"/>
    <row r="2623" ht="14.1" customHeight="1"/>
    <row r="2624" ht="14.1" customHeight="1"/>
    <row r="2625" ht="14.1" customHeight="1"/>
    <row r="2626" ht="14.1" customHeight="1"/>
    <row r="2627" ht="14.1" customHeight="1"/>
    <row r="2628" ht="14.1" customHeight="1"/>
    <row r="2629" ht="14.1" customHeight="1"/>
    <row r="2630" ht="14.1" customHeight="1"/>
    <row r="2631" ht="14.1" customHeight="1"/>
    <row r="2632" ht="14.1" customHeight="1"/>
    <row r="2633" ht="14.1" customHeight="1"/>
    <row r="2634" ht="14.1" customHeight="1"/>
    <row r="2635" ht="14.1" customHeight="1"/>
    <row r="2636" ht="14.1" customHeight="1"/>
    <row r="2637" ht="14.1" customHeight="1"/>
    <row r="2638" ht="14.1" customHeight="1"/>
    <row r="2639" ht="14.1" customHeight="1"/>
    <row r="2640" ht="14.1" customHeight="1"/>
    <row r="2641" ht="14.1" customHeight="1"/>
    <row r="2642" ht="14.1" customHeight="1"/>
    <row r="2643" ht="14.1" customHeight="1"/>
    <row r="2644" ht="14.1" customHeight="1"/>
    <row r="2645" ht="14.1" customHeight="1"/>
    <row r="2646" ht="14.1" customHeight="1"/>
    <row r="2647" ht="14.1" customHeight="1"/>
    <row r="2648" ht="14.1" customHeight="1"/>
    <row r="2649" ht="14.1" customHeight="1"/>
    <row r="2650" ht="14.1" customHeight="1"/>
    <row r="2651" ht="14.1" customHeight="1"/>
    <row r="2652" ht="14.1" customHeight="1"/>
    <row r="2653" ht="14.1" customHeight="1"/>
    <row r="2654" ht="14.1" customHeight="1"/>
    <row r="2655" ht="14.1" customHeight="1"/>
    <row r="2656" ht="14.1" customHeight="1"/>
    <row r="2657" ht="14.1" customHeight="1"/>
    <row r="2658" ht="14.1" customHeight="1"/>
    <row r="2659" ht="14.1" customHeight="1"/>
    <row r="2660" ht="14.1" customHeight="1"/>
    <row r="2661" ht="14.1" customHeight="1"/>
    <row r="2662" ht="14.1" customHeight="1"/>
    <row r="2663" ht="14.1" customHeight="1"/>
    <row r="2664" ht="14.1" customHeight="1"/>
    <row r="2665" ht="14.1" customHeight="1"/>
    <row r="2666" ht="14.1" customHeight="1"/>
    <row r="2667" ht="14.1" customHeight="1"/>
    <row r="2668" ht="14.1" customHeight="1"/>
    <row r="2669" ht="14.1" customHeight="1"/>
    <row r="2670" ht="14.1" customHeight="1"/>
    <row r="2671" ht="14.1" customHeight="1"/>
    <row r="2672" ht="14.1" customHeight="1"/>
    <row r="2673" ht="14.1" customHeight="1"/>
    <row r="2674" ht="14.1" customHeight="1"/>
    <row r="2675" ht="14.1" customHeight="1"/>
    <row r="2676" ht="14.1" customHeight="1"/>
    <row r="2677" ht="14.1" customHeight="1"/>
    <row r="2678" ht="14.1" customHeight="1"/>
    <row r="2679" ht="14.1" customHeight="1"/>
    <row r="2680" ht="14.1" customHeight="1"/>
    <row r="2681" ht="14.1" customHeight="1"/>
    <row r="2682" ht="14.1" customHeight="1"/>
    <row r="2683" ht="14.1" customHeight="1"/>
    <row r="2684" ht="14.1" customHeight="1"/>
    <row r="2685" ht="14.1" customHeight="1"/>
    <row r="2686" ht="14.1" customHeight="1"/>
    <row r="2687" ht="14.1" customHeight="1"/>
    <row r="2688" ht="14.1" customHeight="1"/>
    <row r="2689" ht="14.1" customHeight="1"/>
    <row r="2690" ht="14.1" customHeight="1"/>
    <row r="2691" ht="14.1" customHeight="1"/>
    <row r="2692" ht="14.1" customHeight="1"/>
    <row r="2693" ht="14.1" customHeight="1"/>
    <row r="2694" ht="14.1" customHeight="1"/>
    <row r="2695" ht="14.1" customHeight="1"/>
    <row r="2696" ht="14.1" customHeight="1"/>
    <row r="2697" ht="14.1" customHeight="1"/>
    <row r="2698" ht="14.1" customHeight="1"/>
    <row r="2699" ht="14.1" customHeight="1"/>
    <row r="2700" ht="14.1" customHeight="1"/>
    <row r="2701" ht="14.1" customHeight="1"/>
    <row r="2702" ht="14.1" customHeight="1"/>
    <row r="2703" ht="14.1" customHeight="1"/>
    <row r="2704" ht="14.1" customHeight="1"/>
    <row r="2705" ht="14.1" customHeight="1"/>
    <row r="2706" ht="14.1" customHeight="1"/>
    <row r="2707" ht="14.1" customHeight="1"/>
    <row r="2708" ht="14.1" customHeight="1"/>
    <row r="2709" ht="14.1" customHeight="1"/>
    <row r="2710" ht="14.1" customHeight="1"/>
    <row r="2711" ht="14.1" customHeight="1"/>
    <row r="2712" ht="14.1" customHeight="1"/>
    <row r="2713" ht="14.1" customHeight="1"/>
    <row r="2714" ht="14.1" customHeight="1"/>
    <row r="2715" ht="14.1" customHeight="1"/>
    <row r="2716" ht="14.1" customHeight="1"/>
    <row r="2717" ht="14.1" customHeight="1"/>
    <row r="2718" ht="14.1" customHeight="1"/>
    <row r="2719" ht="14.1" customHeight="1"/>
    <row r="2720" ht="14.1" customHeight="1"/>
    <row r="2721" ht="14.1" customHeight="1"/>
    <row r="2722" ht="14.1" customHeight="1"/>
    <row r="2723" ht="14.1" customHeight="1"/>
    <row r="2724" ht="14.1" customHeight="1"/>
    <row r="2725" ht="14.1" customHeight="1"/>
    <row r="2726" ht="14.1" customHeight="1"/>
    <row r="2727" ht="14.1" customHeight="1"/>
    <row r="2728" ht="14.1" customHeight="1"/>
    <row r="2729" ht="14.1" customHeight="1"/>
    <row r="2730" ht="14.1" customHeight="1"/>
    <row r="2731" ht="14.1" customHeight="1"/>
    <row r="2732" ht="14.1" customHeight="1"/>
    <row r="2733" ht="14.1" customHeight="1"/>
    <row r="2734" ht="14.1" customHeight="1"/>
    <row r="2735" ht="14.1" customHeight="1"/>
    <row r="2736" ht="14.1" customHeight="1"/>
    <row r="2737" ht="14.1" customHeight="1"/>
    <row r="2738" ht="14.1" customHeight="1"/>
    <row r="2739" ht="14.1" customHeight="1"/>
    <row r="2740" ht="14.1" customHeight="1"/>
    <row r="2741" ht="14.1" customHeight="1"/>
    <row r="2742" ht="14.1" customHeight="1"/>
    <row r="2743" ht="14.1" customHeight="1"/>
    <row r="2744" ht="14.1" customHeight="1"/>
    <row r="2745" ht="14.1" customHeight="1"/>
    <row r="2746" ht="14.1" customHeight="1"/>
    <row r="2747" ht="14.1" customHeight="1"/>
    <row r="2748" ht="14.1" customHeight="1"/>
    <row r="2749" ht="14.1" customHeight="1"/>
    <row r="2750" ht="14.1" customHeight="1"/>
    <row r="2751" ht="14.1" customHeight="1"/>
    <row r="2752" ht="14.1" customHeight="1"/>
    <row r="2753" ht="14.1" customHeight="1"/>
    <row r="2754" ht="14.1" customHeight="1"/>
    <row r="2755" ht="14.1" customHeight="1"/>
    <row r="2756" ht="14.1" customHeight="1"/>
    <row r="2757" ht="14.1" customHeight="1"/>
    <row r="2758" ht="14.1" customHeight="1"/>
    <row r="2759" ht="14.1" customHeight="1"/>
    <row r="2760" ht="14.1" customHeight="1"/>
    <row r="2761" ht="14.1" customHeight="1"/>
    <row r="2762" ht="14.1" customHeight="1"/>
    <row r="2763" ht="14.1" customHeight="1"/>
    <row r="2764" ht="14.1" customHeight="1"/>
    <row r="2765" ht="14.1" customHeight="1"/>
    <row r="2766" ht="14.1" customHeight="1"/>
    <row r="2767" ht="14.1" customHeight="1"/>
    <row r="2768" ht="14.1" customHeight="1"/>
    <row r="2769" ht="14.1" customHeight="1"/>
    <row r="2770" ht="14.1" customHeight="1"/>
    <row r="2771" ht="14.1" customHeight="1"/>
    <row r="2772" ht="14.1" customHeight="1"/>
    <row r="2773" ht="14.1" customHeight="1"/>
    <row r="2774" ht="14.1" customHeight="1"/>
    <row r="2775" ht="14.1" customHeight="1"/>
    <row r="2776" ht="14.1" customHeight="1"/>
    <row r="2777" ht="14.1" customHeight="1"/>
    <row r="2778" ht="14.1" customHeight="1"/>
    <row r="2779" ht="14.1" customHeight="1"/>
    <row r="2780" ht="14.1" customHeight="1"/>
    <row r="2781" ht="14.1" customHeight="1"/>
    <row r="2782" ht="14.1" customHeight="1"/>
    <row r="2783" ht="14.1" customHeight="1"/>
    <row r="2784" ht="14.1" customHeight="1"/>
    <row r="2785" ht="14.1" customHeight="1"/>
    <row r="2786" ht="14.1" customHeight="1"/>
    <row r="2787" ht="14.1" customHeight="1"/>
    <row r="2788" ht="14.1" customHeight="1"/>
    <row r="2789" ht="14.1" customHeight="1"/>
    <row r="2790" ht="14.1" customHeight="1"/>
    <row r="2791" ht="14.1" customHeight="1"/>
    <row r="2792" ht="14.1" customHeight="1"/>
    <row r="2793" ht="14.1" customHeight="1"/>
    <row r="2794" ht="14.1" customHeight="1"/>
  </sheetData>
  <mergeCells count="185">
    <mergeCell ref="A1418:F1418"/>
    <mergeCell ref="B1294:D1294"/>
    <mergeCell ref="G1294:I1294"/>
    <mergeCell ref="K1294:L1294"/>
    <mergeCell ref="A1297:F1297"/>
    <mergeCell ref="A1334:F1334"/>
    <mergeCell ref="A1375:F1375"/>
    <mergeCell ref="B1286:D1286"/>
    <mergeCell ref="G1286:I1286"/>
    <mergeCell ref="K1286:L1286"/>
    <mergeCell ref="B1293:D1293"/>
    <mergeCell ref="G1293:I1293"/>
    <mergeCell ref="K1293:L1293"/>
    <mergeCell ref="J1304:M1304"/>
    <mergeCell ref="J1341:M1341"/>
    <mergeCell ref="J1382:M1382"/>
    <mergeCell ref="B1211:D1211"/>
    <mergeCell ref="G1211:I1211"/>
    <mergeCell ref="K1211:L1211"/>
    <mergeCell ref="A1215:F1215"/>
    <mergeCell ref="A1250:F1250"/>
    <mergeCell ref="B1285:D1285"/>
    <mergeCell ref="G1285:I1285"/>
    <mergeCell ref="K1285:L1285"/>
    <mergeCell ref="A1126:F1126"/>
    <mergeCell ref="A1167:F1167"/>
    <mergeCell ref="B1210:D1210"/>
    <mergeCell ref="G1210:I1210"/>
    <mergeCell ref="K1210:L1210"/>
    <mergeCell ref="J1133:M1133"/>
    <mergeCell ref="J1174:M1174"/>
    <mergeCell ref="J1222:M1222"/>
    <mergeCell ref="J1257:M1257"/>
    <mergeCell ref="A1044:F1044"/>
    <mergeCell ref="A1083:F1083"/>
    <mergeCell ref="B1121:D1121"/>
    <mergeCell ref="G1121:I1121"/>
    <mergeCell ref="K1121:L1121"/>
    <mergeCell ref="B1122:D1122"/>
    <mergeCell ref="G1122:I1122"/>
    <mergeCell ref="K1122:L1122"/>
    <mergeCell ref="A960:F960"/>
    <mergeCell ref="A999:F999"/>
    <mergeCell ref="B1036:D1036"/>
    <mergeCell ref="G1036:I1036"/>
    <mergeCell ref="K1036:L1036"/>
    <mergeCell ref="B1037:D1037"/>
    <mergeCell ref="G1037:I1037"/>
    <mergeCell ref="K1037:L1037"/>
    <mergeCell ref="J967:M967"/>
    <mergeCell ref="J1006:M1006"/>
    <mergeCell ref="J1051:M1051"/>
    <mergeCell ref="J1090:M1090"/>
    <mergeCell ref="A879:F879"/>
    <mergeCell ref="A916:F916"/>
    <mergeCell ref="B955:D955"/>
    <mergeCell ref="G955:I955"/>
    <mergeCell ref="K955:L955"/>
    <mergeCell ref="B956:D956"/>
    <mergeCell ref="G956:I956"/>
    <mergeCell ref="K956:L956"/>
    <mergeCell ref="B875:D875"/>
    <mergeCell ref="G875:I875"/>
    <mergeCell ref="K875:L875"/>
    <mergeCell ref="B876:D876"/>
    <mergeCell ref="G876:I876"/>
    <mergeCell ref="K876:L876"/>
    <mergeCell ref="J886:M886"/>
    <mergeCell ref="J923:M923"/>
    <mergeCell ref="J756:M756"/>
    <mergeCell ref="A797:F797"/>
    <mergeCell ref="A832:F832"/>
    <mergeCell ref="B867:D867"/>
    <mergeCell ref="G867:I867"/>
    <mergeCell ref="K867:L867"/>
    <mergeCell ref="B868:D868"/>
    <mergeCell ref="G868:I868"/>
    <mergeCell ref="K868:L868"/>
    <mergeCell ref="B792:D792"/>
    <mergeCell ref="G792:I792"/>
    <mergeCell ref="K792:L792"/>
    <mergeCell ref="B793:D793"/>
    <mergeCell ref="G793:I793"/>
    <mergeCell ref="K793:L793"/>
    <mergeCell ref="J804:M804"/>
    <mergeCell ref="J839:M839"/>
    <mergeCell ref="B704:D704"/>
    <mergeCell ref="G704:I704"/>
    <mergeCell ref="K704:L704"/>
    <mergeCell ref="A708:F708"/>
    <mergeCell ref="A749:F749"/>
    <mergeCell ref="B619:D619"/>
    <mergeCell ref="G619:I619"/>
    <mergeCell ref="K619:L619"/>
    <mergeCell ref="A626:F626"/>
    <mergeCell ref="A665:F665"/>
    <mergeCell ref="B703:D703"/>
    <mergeCell ref="G703:I703"/>
    <mergeCell ref="K703:L703"/>
    <mergeCell ref="J633:M633"/>
    <mergeCell ref="J672:M672"/>
    <mergeCell ref="J715:M715"/>
    <mergeCell ref="B538:D538"/>
    <mergeCell ref="G538:I538"/>
    <mergeCell ref="K538:L538"/>
    <mergeCell ref="A542:F542"/>
    <mergeCell ref="A581:F581"/>
    <mergeCell ref="B618:D618"/>
    <mergeCell ref="G618:I618"/>
    <mergeCell ref="K618:L618"/>
    <mergeCell ref="A463:F463"/>
    <mergeCell ref="A498:F498"/>
    <mergeCell ref="B537:D537"/>
    <mergeCell ref="G537:I537"/>
    <mergeCell ref="K537:L537"/>
    <mergeCell ref="J470:M470"/>
    <mergeCell ref="J505:M505"/>
    <mergeCell ref="J549:M549"/>
    <mergeCell ref="J588:M588"/>
    <mergeCell ref="A414:F414"/>
    <mergeCell ref="B451:D451"/>
    <mergeCell ref="G451:I451"/>
    <mergeCell ref="K451:L451"/>
    <mergeCell ref="B452:D452"/>
    <mergeCell ref="G452:I452"/>
    <mergeCell ref="K452:L452"/>
    <mergeCell ref="B410:D410"/>
    <mergeCell ref="G410:I410"/>
    <mergeCell ref="K410:L410"/>
    <mergeCell ref="B411:D411"/>
    <mergeCell ref="G411:I411"/>
    <mergeCell ref="K411:L411"/>
    <mergeCell ref="J421:M421"/>
    <mergeCell ref="J212:M212"/>
    <mergeCell ref="J255:M255"/>
    <mergeCell ref="J290:M290"/>
    <mergeCell ref="A331:F331"/>
    <mergeCell ref="A367:F367"/>
    <mergeCell ref="B402:D402"/>
    <mergeCell ref="G402:I402"/>
    <mergeCell ref="K402:L402"/>
    <mergeCell ref="B403:D403"/>
    <mergeCell ref="G403:I403"/>
    <mergeCell ref="K403:L403"/>
    <mergeCell ref="B326:D326"/>
    <mergeCell ref="G326:I326"/>
    <mergeCell ref="K326:L326"/>
    <mergeCell ref="B327:D327"/>
    <mergeCell ref="G327:I327"/>
    <mergeCell ref="K327:L327"/>
    <mergeCell ref="J338:M338"/>
    <mergeCell ref="J374:M374"/>
    <mergeCell ref="A1:N2"/>
    <mergeCell ref="A3:F3"/>
    <mergeCell ref="A38:F38"/>
    <mergeCell ref="B77:D77"/>
    <mergeCell ref="G77:I77"/>
    <mergeCell ref="K77:L77"/>
    <mergeCell ref="J10:M10"/>
    <mergeCell ref="J45:M45"/>
    <mergeCell ref="J89:M89"/>
    <mergeCell ref="J1425:M1425"/>
    <mergeCell ref="B78:D78"/>
    <mergeCell ref="G78:I78"/>
    <mergeCell ref="K78:L78"/>
    <mergeCell ref="A82:F82"/>
    <mergeCell ref="A120:F120"/>
    <mergeCell ref="B157:D157"/>
    <mergeCell ref="G157:I157"/>
    <mergeCell ref="K157:L157"/>
    <mergeCell ref="J127:M127"/>
    <mergeCell ref="B244:D244"/>
    <mergeCell ref="G244:I244"/>
    <mergeCell ref="K244:L244"/>
    <mergeCell ref="A248:F248"/>
    <mergeCell ref="A283:F283"/>
    <mergeCell ref="B158:D158"/>
    <mergeCell ref="G158:I158"/>
    <mergeCell ref="K158:L158"/>
    <mergeCell ref="A165:F165"/>
    <mergeCell ref="A205:F205"/>
    <mergeCell ref="B243:D243"/>
    <mergeCell ref="G243:I243"/>
    <mergeCell ref="K243:L243"/>
    <mergeCell ref="J172:M172"/>
  </mergeCells>
  <pageMargins left="0.95" right="0.45" top="0.75" bottom="0.5" header="0.3" footer="0.3"/>
  <pageSetup paperSize="9" scale="6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O2794"/>
  <sheetViews>
    <sheetView view="pageBreakPreview" topLeftCell="A67" zoomScale="91" zoomScaleSheetLayoutView="91" workbookViewId="0">
      <selection activeCell="J4" sqref="J4:L4"/>
    </sheetView>
  </sheetViews>
  <sheetFormatPr defaultRowHeight="15"/>
  <cols>
    <col min="1" max="1" width="14.42578125" customWidth="1"/>
    <col min="2" max="2" width="10.42578125" customWidth="1"/>
    <col min="3" max="3" width="9.7109375" customWidth="1"/>
    <col min="4" max="4" width="11.5703125" customWidth="1"/>
    <col min="5" max="5" width="9.7109375" customWidth="1"/>
    <col min="6" max="6" width="8.5703125" customWidth="1"/>
    <col min="7" max="8" width="9.7109375" customWidth="1"/>
    <col min="9" max="9" width="10.85546875" customWidth="1"/>
    <col min="10" max="12" width="9.7109375" customWidth="1"/>
    <col min="13" max="14" width="8.5703125" customWidth="1"/>
  </cols>
  <sheetData>
    <row r="1" spans="1:14" ht="24.75" customHeight="1">
      <c r="A1" s="183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4" ht="24.75" customHeight="1">
      <c r="A2" s="177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</row>
    <row r="3" spans="1:14" ht="18" customHeight="1">
      <c r="A3" s="184" t="s">
        <v>0</v>
      </c>
      <c r="B3" s="185"/>
      <c r="C3" s="185"/>
      <c r="D3" s="185"/>
      <c r="E3" s="185"/>
      <c r="F3" s="185"/>
      <c r="G3" s="20">
        <v>0</v>
      </c>
      <c r="H3" s="1" t="s">
        <v>15</v>
      </c>
      <c r="I3" s="1"/>
      <c r="J3" s="33"/>
      <c r="K3" s="1"/>
      <c r="L3" s="1"/>
      <c r="M3" s="1"/>
      <c r="N3" s="1"/>
    </row>
    <row r="4" spans="1:14" ht="18" customHeight="1">
      <c r="A4" s="164" t="s">
        <v>0</v>
      </c>
      <c r="B4" s="165"/>
      <c r="C4" s="165"/>
      <c r="D4" s="165"/>
      <c r="E4" s="165"/>
      <c r="F4" s="165"/>
      <c r="G4" s="172"/>
      <c r="H4" s="39">
        <v>0</v>
      </c>
      <c r="I4" s="40" t="s">
        <v>17</v>
      </c>
      <c r="J4" s="173"/>
      <c r="K4" s="174"/>
      <c r="L4" s="175"/>
      <c r="M4" s="41"/>
      <c r="N4" s="41"/>
    </row>
    <row r="5" spans="1:14" ht="18" customHeight="1">
      <c r="A5" s="42" t="s">
        <v>1</v>
      </c>
      <c r="B5" s="43"/>
      <c r="C5" s="44">
        <v>0</v>
      </c>
      <c r="D5" s="45">
        <v>0.4</v>
      </c>
      <c r="E5" s="45">
        <v>0.6</v>
      </c>
      <c r="F5" s="46">
        <v>2.1</v>
      </c>
      <c r="G5" s="46">
        <v>3.6</v>
      </c>
      <c r="H5" s="45">
        <v>4.2</v>
      </c>
      <c r="I5" s="47">
        <v>4.5</v>
      </c>
      <c r="J5" s="47"/>
      <c r="K5" s="45"/>
      <c r="L5" s="49"/>
      <c r="M5" s="45"/>
      <c r="N5" s="47"/>
    </row>
    <row r="6" spans="1:14" ht="18" customHeight="1">
      <c r="A6" s="42" t="s">
        <v>2</v>
      </c>
      <c r="B6" s="43"/>
      <c r="C6" s="44">
        <v>100.02</v>
      </c>
      <c r="D6" s="45">
        <v>99.87</v>
      </c>
      <c r="E6" s="45">
        <v>99.8</v>
      </c>
      <c r="F6" s="45">
        <v>99.8</v>
      </c>
      <c r="G6" s="45">
        <v>99.8</v>
      </c>
      <c r="H6" s="45">
        <v>100</v>
      </c>
      <c r="I6" s="45">
        <v>100.04</v>
      </c>
      <c r="J6" s="47"/>
      <c r="K6" s="45"/>
      <c r="L6" s="49"/>
      <c r="M6" s="45"/>
      <c r="N6" s="47"/>
    </row>
    <row r="7" spans="1:14" ht="18" customHeight="1">
      <c r="A7" s="42" t="s">
        <v>1</v>
      </c>
      <c r="B7" s="43"/>
      <c r="C7" s="44">
        <v>0</v>
      </c>
      <c r="D7" s="45">
        <v>0.4</v>
      </c>
      <c r="E7" s="45">
        <v>0.6</v>
      </c>
      <c r="F7" s="46">
        <v>2.1</v>
      </c>
      <c r="G7" s="46">
        <v>3.6</v>
      </c>
      <c r="H7" s="45">
        <v>4.2</v>
      </c>
      <c r="I7" s="47">
        <v>4.5</v>
      </c>
      <c r="J7" s="47"/>
      <c r="K7" s="45"/>
      <c r="L7" s="49"/>
      <c r="M7" s="45"/>
      <c r="N7" s="47"/>
    </row>
    <row r="8" spans="1:14" ht="18" customHeight="1">
      <c r="A8" s="42" t="s">
        <v>3</v>
      </c>
      <c r="B8" s="9"/>
      <c r="C8" s="44">
        <v>100.02</v>
      </c>
      <c r="D8" s="45">
        <v>99.87</v>
      </c>
      <c r="E8" s="45">
        <v>99.87</v>
      </c>
      <c r="F8" s="45">
        <v>99.87</v>
      </c>
      <c r="G8" s="45">
        <v>99.87</v>
      </c>
      <c r="H8" s="45">
        <v>100</v>
      </c>
      <c r="I8" s="45">
        <v>100.04</v>
      </c>
      <c r="J8" s="47"/>
      <c r="K8" s="45"/>
      <c r="L8" s="49"/>
      <c r="M8" s="45"/>
      <c r="N8" s="52"/>
    </row>
    <row r="9" spans="1:14" ht="18" customHeight="1">
      <c r="A9" s="42" t="s">
        <v>18</v>
      </c>
      <c r="B9" s="9"/>
      <c r="C9" s="47">
        <f t="shared" ref="C9:I9" si="0">C6-C8</f>
        <v>0</v>
      </c>
      <c r="D9" s="47">
        <f t="shared" si="0"/>
        <v>0</v>
      </c>
      <c r="E9" s="47">
        <f>E8-E6</f>
        <v>7.000000000000739E-2</v>
      </c>
      <c r="F9" s="47">
        <f t="shared" ref="F9:H9" si="1">F8-F6</f>
        <v>7.000000000000739E-2</v>
      </c>
      <c r="G9" s="47">
        <f t="shared" si="1"/>
        <v>7.000000000000739E-2</v>
      </c>
      <c r="H9" s="47">
        <f t="shared" si="1"/>
        <v>0</v>
      </c>
      <c r="I9" s="47">
        <f t="shared" si="0"/>
        <v>0</v>
      </c>
      <c r="J9" s="47"/>
      <c r="K9" s="47"/>
      <c r="L9" s="47"/>
      <c r="M9" s="47"/>
      <c r="N9" s="47"/>
    </row>
    <row r="10" spans="1:14" ht="18" customHeight="1">
      <c r="A10" s="42" t="s">
        <v>5</v>
      </c>
      <c r="B10" s="9"/>
      <c r="C10" s="47">
        <f t="shared" ref="C10:I10" si="2">(C9+B9)/2*(C5-B5)</f>
        <v>0</v>
      </c>
      <c r="D10" s="47">
        <f t="shared" si="2"/>
        <v>0</v>
      </c>
      <c r="E10" s="47">
        <f t="shared" si="2"/>
        <v>7.0000000000007374E-3</v>
      </c>
      <c r="F10" s="47">
        <f t="shared" ref="F10" si="3">(F9+E9)/2*(F5-E5)</f>
        <v>0.10500000000001108</v>
      </c>
      <c r="G10" s="47">
        <f t="shared" ref="G10" si="4">(G9+F9)/2*(G5-F5)</f>
        <v>0.10500000000001108</v>
      </c>
      <c r="H10" s="47">
        <f t="shared" ref="H10" si="5">(H9+G9)/2*(H5-G5)</f>
        <v>2.1000000000002218E-2</v>
      </c>
      <c r="I10" s="47">
        <f t="shared" si="2"/>
        <v>0</v>
      </c>
      <c r="J10" s="47"/>
      <c r="K10" s="47"/>
      <c r="L10" s="47"/>
      <c r="M10" s="47"/>
      <c r="N10" s="77">
        <f>SUM(B10:M10)</f>
        <v>0.23800000000002511</v>
      </c>
    </row>
    <row r="11" spans="1:14" ht="14.1" customHeight="1">
      <c r="A11" s="2"/>
      <c r="B11" s="2"/>
      <c r="C11" s="3"/>
      <c r="D11" s="3"/>
      <c r="E11" s="4"/>
      <c r="F11" s="4"/>
      <c r="G11" s="4"/>
      <c r="H11" s="4"/>
      <c r="I11" s="4"/>
      <c r="J11" s="191" t="s">
        <v>6</v>
      </c>
      <c r="K11" s="192"/>
      <c r="L11" s="192"/>
      <c r="M11" s="193"/>
      <c r="N11" s="5">
        <f>N10</f>
        <v>0.23800000000002511</v>
      </c>
    </row>
    <row r="12" spans="1:14" ht="14.1" customHeight="1">
      <c r="A12" s="6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ht="14.1" customHeight="1">
      <c r="A13" s="6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ht="14.1" customHeight="1">
      <c r="A14" s="6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ht="14.1" customHeight="1">
      <c r="A15" s="6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ht="14.1" customHeight="1">
      <c r="A16" s="6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ht="14.1" customHeight="1">
      <c r="A17" s="6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ht="14.1" customHeight="1">
      <c r="A18" s="6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ht="14.1" customHeight="1">
      <c r="A19" s="6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ht="14.1" customHeight="1">
      <c r="A20" s="6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ht="14.1" customHeight="1">
      <c r="A21" s="6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ht="14.1" customHeight="1">
      <c r="A22" s="6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 ht="14.1" customHeight="1">
      <c r="A23" s="6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 ht="14.1" customHeight="1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ht="14.1" customHeight="1">
      <c r="A25" s="6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ht="14.1" customHeight="1">
      <c r="A26" s="6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ht="14.1" customHeight="1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ht="14.1" customHeight="1">
      <c r="A28" s="6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ht="14.1" customHeight="1">
      <c r="A29" s="6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ht="14.1" customHeight="1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ht="14.1" customHeight="1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ht="14.1" customHeight="1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5" ht="14.1" customHeight="1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5" ht="14.1" customHeight="1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5" ht="14.1" customHeight="1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5" ht="14.1" customHeight="1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5" ht="18.75" customHeight="1">
      <c r="A37" s="184" t="s">
        <v>0</v>
      </c>
      <c r="B37" s="185"/>
      <c r="C37" s="185"/>
      <c r="D37" s="185"/>
      <c r="E37" s="185"/>
      <c r="F37" s="186"/>
      <c r="G37" s="20">
        <v>60</v>
      </c>
      <c r="H37" s="1" t="s">
        <v>15</v>
      </c>
      <c r="I37" s="1"/>
      <c r="J37" s="32"/>
      <c r="K37" s="1"/>
      <c r="L37" s="1"/>
      <c r="M37" s="1"/>
      <c r="N37" s="1"/>
    </row>
    <row r="38" spans="1:15" ht="18.75" customHeight="1">
      <c r="A38" s="42" t="s">
        <v>1</v>
      </c>
      <c r="B38" s="43"/>
      <c r="C38" s="44">
        <v>0</v>
      </c>
      <c r="D38" s="45">
        <v>0.4</v>
      </c>
      <c r="E38" s="45">
        <v>0.6</v>
      </c>
      <c r="F38" s="46">
        <v>2.1</v>
      </c>
      <c r="G38" s="46">
        <v>3.5</v>
      </c>
      <c r="H38" s="45">
        <v>3.8</v>
      </c>
      <c r="I38" s="47">
        <v>4.4000000000000004</v>
      </c>
      <c r="J38" s="47"/>
      <c r="K38" s="45"/>
      <c r="L38" s="49"/>
      <c r="M38" s="45"/>
      <c r="N38" s="47"/>
    </row>
    <row r="39" spans="1:15" ht="18.75" customHeight="1">
      <c r="A39" s="42" t="s">
        <v>2</v>
      </c>
      <c r="B39" s="43"/>
      <c r="C39" s="44">
        <v>99.87</v>
      </c>
      <c r="D39" s="45">
        <v>99.57</v>
      </c>
      <c r="E39" s="45">
        <v>99.48</v>
      </c>
      <c r="F39" s="45">
        <v>99.48</v>
      </c>
      <c r="G39" s="45">
        <v>99.48</v>
      </c>
      <c r="H39" s="45">
        <v>99.68</v>
      </c>
      <c r="I39" s="45">
        <v>99.91</v>
      </c>
      <c r="J39" s="47"/>
      <c r="K39" s="45"/>
      <c r="L39" s="49"/>
      <c r="M39" s="45"/>
      <c r="N39" s="47"/>
    </row>
    <row r="40" spans="1:15" ht="18.75" customHeight="1">
      <c r="A40" s="42" t="s">
        <v>1</v>
      </c>
      <c r="B40" s="43"/>
      <c r="C40" s="44">
        <v>0</v>
      </c>
      <c r="D40" s="45">
        <v>0.4</v>
      </c>
      <c r="E40" s="45">
        <v>0.6</v>
      </c>
      <c r="F40" s="46">
        <v>2.1</v>
      </c>
      <c r="G40" s="46">
        <v>3.5</v>
      </c>
      <c r="H40" s="45">
        <v>3.8</v>
      </c>
      <c r="I40" s="47">
        <v>4.4000000000000004</v>
      </c>
      <c r="J40" s="47"/>
      <c r="K40" s="45"/>
      <c r="L40" s="49"/>
      <c r="M40" s="45"/>
      <c r="N40" s="47"/>
    </row>
    <row r="41" spans="1:15" ht="18.75" customHeight="1">
      <c r="A41" s="42" t="s">
        <v>3</v>
      </c>
      <c r="B41" s="9"/>
      <c r="C41" s="44">
        <v>99.87</v>
      </c>
      <c r="D41" s="45">
        <v>99.57</v>
      </c>
      <c r="E41" s="45">
        <v>99.57</v>
      </c>
      <c r="F41" s="45">
        <v>99.57</v>
      </c>
      <c r="G41" s="45">
        <v>99.57</v>
      </c>
      <c r="H41" s="45">
        <v>99.68</v>
      </c>
      <c r="I41" s="45">
        <v>99.91</v>
      </c>
      <c r="J41" s="47"/>
      <c r="K41" s="45"/>
      <c r="L41" s="49"/>
      <c r="M41" s="45"/>
      <c r="N41" s="52"/>
    </row>
    <row r="42" spans="1:15" ht="18.75" customHeight="1">
      <c r="A42" s="42" t="s">
        <v>18</v>
      </c>
      <c r="B42" s="9"/>
      <c r="C42" s="47">
        <f t="shared" ref="C42:D42" si="6">C39-C41</f>
        <v>0</v>
      </c>
      <c r="D42" s="47">
        <f t="shared" si="6"/>
        <v>0</v>
      </c>
      <c r="E42" s="47">
        <f>E41-E39</f>
        <v>8.99999999999892E-2</v>
      </c>
      <c r="F42" s="47">
        <f t="shared" ref="F42" si="7">F41-F39</f>
        <v>8.99999999999892E-2</v>
      </c>
      <c r="G42" s="47">
        <f t="shared" ref="G42" si="8">G41-G39</f>
        <v>8.99999999999892E-2</v>
      </c>
      <c r="H42" s="47">
        <f t="shared" ref="H42" si="9">H41-H39</f>
        <v>0</v>
      </c>
      <c r="I42" s="47">
        <f t="shared" ref="I42" si="10">I39-I41</f>
        <v>0</v>
      </c>
      <c r="J42" s="47"/>
      <c r="K42" s="47"/>
      <c r="L42" s="47"/>
      <c r="M42" s="47"/>
      <c r="N42" s="47"/>
    </row>
    <row r="43" spans="1:15" ht="18.75" customHeight="1">
      <c r="A43" s="42" t="s">
        <v>5</v>
      </c>
      <c r="B43" s="9"/>
      <c r="C43" s="47">
        <f t="shared" ref="C43" si="11">(C42+B42)/2*(C38-B38)</f>
        <v>0</v>
      </c>
      <c r="D43" s="47">
        <f t="shared" ref="D43" si="12">(D42+C42)/2*(D38-C38)</f>
        <v>0</v>
      </c>
      <c r="E43" s="47">
        <f t="shared" ref="E43" si="13">(E42+D42)/2*(E38-D38)</f>
        <v>8.9999999999989186E-3</v>
      </c>
      <c r="F43" s="47">
        <f t="shared" ref="F43" si="14">(F42+E42)/2*(F38-E38)</f>
        <v>0.1349999999999838</v>
      </c>
      <c r="G43" s="47">
        <f t="shared" ref="G43" si="15">(G42+F42)/2*(G38-F38)</f>
        <v>0.12599999999998487</v>
      </c>
      <c r="H43" s="47">
        <f t="shared" ref="H43" si="16">(H42+G42)/2*(H38-G38)</f>
        <v>1.3499999999998373E-2</v>
      </c>
      <c r="I43" s="47">
        <f t="shared" ref="I43" si="17">(I42+H42)/2*(I38-H38)</f>
        <v>0</v>
      </c>
      <c r="J43" s="47"/>
      <c r="K43" s="47"/>
      <c r="L43" s="47"/>
      <c r="M43" s="47"/>
      <c r="N43" s="77">
        <f>SUM(B43:M43)</f>
        <v>0.28349999999996595</v>
      </c>
    </row>
    <row r="44" spans="1:15" ht="18.75" customHeight="1">
      <c r="A44" s="2"/>
      <c r="B44" s="2"/>
      <c r="C44" s="30"/>
      <c r="D44" s="30"/>
      <c r="E44" s="4"/>
      <c r="F44" s="4"/>
      <c r="G44" s="4"/>
      <c r="H44" s="4"/>
      <c r="I44" s="4"/>
      <c r="J44" s="179" t="s">
        <v>6</v>
      </c>
      <c r="K44" s="179"/>
      <c r="L44" s="179"/>
      <c r="M44" s="179"/>
      <c r="N44" s="5">
        <f>N43</f>
        <v>0.28349999999996595</v>
      </c>
      <c r="O44" s="21"/>
    </row>
    <row r="45" spans="1:15" ht="18.75" customHeight="1">
      <c r="A45" s="24"/>
      <c r="B45" s="24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>
        <f>SUM(C45:N45)</f>
        <v>0</v>
      </c>
    </row>
    <row r="46" spans="1:15" ht="18.75" customHeight="1">
      <c r="A46" s="2"/>
      <c r="B46" s="2"/>
      <c r="C46" s="30"/>
      <c r="D46" s="30"/>
      <c r="E46" s="21"/>
      <c r="F46" s="21"/>
      <c r="G46" s="21"/>
      <c r="H46" s="21"/>
      <c r="I46" s="21"/>
      <c r="J46" s="30"/>
      <c r="K46" s="30"/>
      <c r="L46" s="30"/>
      <c r="M46" s="30"/>
      <c r="N46" s="30"/>
    </row>
    <row r="47" spans="1:15" ht="14.1" customHeight="1">
      <c r="A47" s="6"/>
      <c r="B47" s="6"/>
      <c r="C47" s="7"/>
      <c r="D47" s="7"/>
      <c r="E47" s="7"/>
      <c r="F47" s="7"/>
      <c r="G47" s="7"/>
      <c r="H47" s="7"/>
      <c r="I47" s="7"/>
      <c r="K47" s="7"/>
      <c r="L47" s="7"/>
      <c r="M47" s="7"/>
      <c r="N47" s="7"/>
    </row>
    <row r="48" spans="1:15" ht="14.1" customHeight="1">
      <c r="A48" s="6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 ht="14.1" customHeight="1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ht="14.1" customHeight="1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ht="14.1" customHeight="1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ht="14.1" customHeight="1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ht="14.1" customHeight="1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ht="14.1" customHeight="1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 ht="14.1" customHeight="1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 ht="14.1" customHeight="1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 ht="14.1" customHeight="1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1:14" ht="14.1" customHeight="1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 ht="14.1" customHeight="1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 ht="14.1" customHeight="1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4" ht="14.1" customHeight="1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 ht="14.1" customHeight="1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4" ht="14.1" customHeight="1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1:14" ht="14.1" customHeight="1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1:14" ht="14.1" customHeight="1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spans="1:14" ht="14.1" customHeight="1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1:14" ht="14.1" customHeight="1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1:14" ht="14.1" customHeight="1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1:14" ht="14.1" customHeight="1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1:14" ht="14.1" customHeight="1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1:14" ht="14.1" customHeight="1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spans="1:14" ht="14.1" customHeight="1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spans="1:14" ht="14.1" customHeight="1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spans="1:14" ht="14.1" customHeight="1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1:14" ht="14.1" customHeight="1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1:14" ht="14.1" customHeight="1">
      <c r="B76" s="181"/>
      <c r="C76" s="181"/>
      <c r="D76" s="181"/>
      <c r="E76" s="25"/>
      <c r="F76" s="25"/>
      <c r="G76" s="167"/>
      <c r="H76" s="167"/>
      <c r="I76" s="167"/>
      <c r="J76" s="7"/>
      <c r="K76" s="182"/>
      <c r="L76" s="182"/>
    </row>
    <row r="77" spans="1:14" ht="14.1" customHeight="1">
      <c r="B77" s="170"/>
      <c r="C77" s="170"/>
      <c r="D77" s="170"/>
      <c r="E77" s="26"/>
      <c r="F77" s="26"/>
      <c r="G77" s="170"/>
      <c r="H77" s="170"/>
      <c r="I77" s="170"/>
      <c r="J77" s="25"/>
      <c r="K77" s="171"/>
      <c r="L77" s="171"/>
    </row>
    <row r="78" spans="1:14" ht="14.1" customHeight="1">
      <c r="A78" s="6"/>
      <c r="B78" s="6"/>
      <c r="C78" s="7"/>
      <c r="D78" s="7"/>
      <c r="E78" s="7"/>
      <c r="F78" s="7"/>
      <c r="G78" s="7"/>
      <c r="H78" s="7"/>
      <c r="I78" s="7"/>
      <c r="J78" s="27"/>
      <c r="K78" s="7"/>
      <c r="L78" s="7"/>
      <c r="M78" s="7"/>
      <c r="N78" s="7"/>
    </row>
    <row r="79" spans="1:14" ht="14.1" customHeight="1">
      <c r="A79" s="6"/>
      <c r="B79" s="6"/>
      <c r="C79" s="7"/>
      <c r="D79" s="7"/>
      <c r="E79" s="7"/>
      <c r="F79" s="7"/>
      <c r="G79" s="7"/>
      <c r="H79" s="7"/>
      <c r="I79" s="7"/>
      <c r="J79" s="27"/>
      <c r="K79" s="7"/>
      <c r="L79" s="7"/>
      <c r="M79" s="7"/>
      <c r="N79" s="7"/>
    </row>
    <row r="80" spans="1:14" ht="14.1" customHeight="1">
      <c r="A80" s="6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spans="1:15" ht="14.1" customHeight="1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spans="1:15" ht="18" customHeight="1">
      <c r="A82" s="184" t="s">
        <v>0</v>
      </c>
      <c r="B82" s="185"/>
      <c r="C82" s="185"/>
      <c r="D82" s="185"/>
      <c r="E82" s="185"/>
      <c r="F82" s="185"/>
      <c r="G82" s="20">
        <v>120</v>
      </c>
      <c r="H82" s="1" t="s">
        <v>15</v>
      </c>
      <c r="I82" s="1"/>
      <c r="J82" s="32"/>
      <c r="K82" s="1"/>
      <c r="L82" s="1"/>
      <c r="M82" s="1"/>
      <c r="N82" s="1"/>
    </row>
    <row r="83" spans="1:15" ht="18" customHeight="1">
      <c r="A83" s="42" t="s">
        <v>1</v>
      </c>
      <c r="B83" s="43"/>
      <c r="C83" s="44">
        <v>0</v>
      </c>
      <c r="D83" s="45">
        <v>0.2</v>
      </c>
      <c r="E83" s="45">
        <v>0.217</v>
      </c>
      <c r="F83" s="46">
        <v>0.6</v>
      </c>
      <c r="G83" s="46">
        <v>2.1</v>
      </c>
      <c r="H83" s="45">
        <v>3.6</v>
      </c>
      <c r="I83" s="47">
        <v>3.7</v>
      </c>
      <c r="J83" s="47">
        <v>3.9</v>
      </c>
      <c r="K83" s="45">
        <v>4.5</v>
      </c>
      <c r="L83" s="49"/>
      <c r="M83" s="45"/>
      <c r="N83" s="47"/>
      <c r="O83" s="22"/>
    </row>
    <row r="84" spans="1:15" ht="18" customHeight="1">
      <c r="A84" s="42" t="s">
        <v>2</v>
      </c>
      <c r="B84" s="43"/>
      <c r="C84" s="44">
        <v>100.58</v>
      </c>
      <c r="D84" s="45">
        <v>100.28</v>
      </c>
      <c r="E84" s="45">
        <v>100.24299999999999</v>
      </c>
      <c r="F84" s="45">
        <v>99.43</v>
      </c>
      <c r="G84" s="45">
        <v>99.43</v>
      </c>
      <c r="H84" s="45">
        <v>99.43</v>
      </c>
      <c r="I84" s="45">
        <v>99.537000000000006</v>
      </c>
      <c r="J84" s="45">
        <v>99.75</v>
      </c>
      <c r="K84" s="45">
        <v>100.48</v>
      </c>
      <c r="L84" s="49"/>
      <c r="M84" s="45"/>
      <c r="N84" s="47"/>
      <c r="O84" s="21"/>
    </row>
    <row r="85" spans="1:15" ht="18" customHeight="1">
      <c r="A85" s="42" t="s">
        <v>1</v>
      </c>
      <c r="B85" s="43"/>
      <c r="C85" s="44">
        <v>0</v>
      </c>
      <c r="D85" s="45">
        <v>0.2</v>
      </c>
      <c r="E85" s="45">
        <v>0.217</v>
      </c>
      <c r="F85" s="46">
        <v>0.6</v>
      </c>
      <c r="G85" s="46">
        <v>2.1</v>
      </c>
      <c r="H85" s="45">
        <v>3.6</v>
      </c>
      <c r="I85" s="47">
        <v>3.7</v>
      </c>
      <c r="J85" s="47">
        <v>3.9</v>
      </c>
      <c r="K85" s="45">
        <v>4.5</v>
      </c>
      <c r="L85" s="49"/>
      <c r="M85" s="45"/>
      <c r="N85" s="47"/>
      <c r="O85" s="22"/>
    </row>
    <row r="86" spans="1:15" ht="18" customHeight="1">
      <c r="A86" s="42" t="s">
        <v>3</v>
      </c>
      <c r="B86" s="9"/>
      <c r="C86" s="44">
        <v>100.58</v>
      </c>
      <c r="D86" s="45">
        <v>100.27</v>
      </c>
      <c r="E86" s="45">
        <v>100.24299999999999</v>
      </c>
      <c r="F86" s="45">
        <v>99.65</v>
      </c>
      <c r="G86" s="45">
        <v>99.65</v>
      </c>
      <c r="H86" s="45">
        <v>99.65</v>
      </c>
      <c r="I86" s="45">
        <v>99.65</v>
      </c>
      <c r="J86" s="45">
        <v>99.858000000000004</v>
      </c>
      <c r="K86" s="45">
        <v>100.48</v>
      </c>
      <c r="L86" s="49"/>
      <c r="M86" s="45"/>
      <c r="N86" s="52"/>
      <c r="O86" s="23"/>
    </row>
    <row r="87" spans="1:15" ht="18" customHeight="1">
      <c r="A87" s="42" t="s">
        <v>18</v>
      </c>
      <c r="B87" s="9"/>
      <c r="C87" s="47">
        <f t="shared" ref="C87:D87" si="18">C84-C86</f>
        <v>0</v>
      </c>
      <c r="D87" s="47">
        <f t="shared" si="18"/>
        <v>1.0000000000005116E-2</v>
      </c>
      <c r="E87" s="47">
        <f>E86-E84</f>
        <v>0</v>
      </c>
      <c r="F87" s="47">
        <f t="shared" ref="F87" si="19">F86-F84</f>
        <v>0.21999999999999886</v>
      </c>
      <c r="G87" s="47">
        <f t="shared" ref="G87" si="20">G86-G84</f>
        <v>0.21999999999999886</v>
      </c>
      <c r="H87" s="47">
        <f t="shared" ref="H87" si="21">H86-H84</f>
        <v>0.21999999999999886</v>
      </c>
      <c r="I87" s="47">
        <f t="shared" ref="I87" si="22">I86-I84</f>
        <v>0.11299999999999955</v>
      </c>
      <c r="J87" s="47">
        <f t="shared" ref="J87" si="23">J86-J84</f>
        <v>0.10800000000000409</v>
      </c>
      <c r="K87" s="47">
        <f t="shared" ref="K87" si="24">K86-K84</f>
        <v>0</v>
      </c>
      <c r="L87" s="47"/>
      <c r="M87" s="47"/>
      <c r="N87" s="47"/>
      <c r="O87" s="21"/>
    </row>
    <row r="88" spans="1:15" ht="18" customHeight="1">
      <c r="A88" s="42" t="s">
        <v>5</v>
      </c>
      <c r="B88" s="9"/>
      <c r="C88" s="47">
        <f t="shared" ref="C88" si="25">(C87+B87)/2*(C83-B83)</f>
        <v>0</v>
      </c>
      <c r="D88" s="47">
        <f t="shared" ref="D88" si="26">(D87+C87)/2*(D83-C83)</f>
        <v>1.0000000000005115E-3</v>
      </c>
      <c r="E88" s="47">
        <f t="shared" ref="E88" si="27">(E87+D87)/2*(E83-D83)</f>
        <v>8.5000000000043428E-5</v>
      </c>
      <c r="F88" s="47">
        <f t="shared" ref="F88" si="28">(F87+E87)/2*(F83-E83)</f>
        <v>4.2129999999999786E-2</v>
      </c>
      <c r="G88" s="47">
        <f t="shared" ref="G88" si="29">(G87+F87)/2*(G83-F83)</f>
        <v>0.32999999999999829</v>
      </c>
      <c r="H88" s="47">
        <f t="shared" ref="H88" si="30">(H87+G87)/2*(H83-G83)</f>
        <v>0.32999999999999829</v>
      </c>
      <c r="I88" s="47">
        <f t="shared" ref="I88" si="31">(I87+H87)/2*(I83-H83)</f>
        <v>1.6649999999999936E-2</v>
      </c>
      <c r="J88" s="47">
        <f t="shared" ref="J88" si="32">(J87+I87)/2*(J83-I83)</f>
        <v>2.2100000000000335E-2</v>
      </c>
      <c r="K88" s="47">
        <f t="shared" ref="K88" si="33">(K87+J87)/2*(K83-J83)</f>
        <v>3.2400000000001233E-2</v>
      </c>
      <c r="L88" s="47"/>
      <c r="M88" s="47"/>
      <c r="N88" s="77">
        <v>0.77300000000000002</v>
      </c>
      <c r="O88" s="21"/>
    </row>
    <row r="89" spans="1:15" ht="18" customHeight="1">
      <c r="A89" s="2"/>
      <c r="B89" s="2"/>
      <c r="C89" s="30"/>
      <c r="D89" s="30"/>
      <c r="E89" s="4"/>
      <c r="F89" s="4"/>
      <c r="G89" s="4"/>
      <c r="H89" s="4"/>
      <c r="I89" s="4"/>
      <c r="J89" s="179" t="s">
        <v>6</v>
      </c>
      <c r="K89" s="179"/>
      <c r="L89" s="179"/>
      <c r="M89" s="179"/>
      <c r="N89" s="5">
        <f>N88</f>
        <v>0.77300000000000002</v>
      </c>
      <c r="O89" s="21"/>
    </row>
    <row r="90" spans="1:15" ht="18" customHeight="1">
      <c r="A90" s="24"/>
      <c r="B90" s="78"/>
      <c r="C90" s="18"/>
      <c r="D90" s="18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>
        <f>SUM(E90:N90)</f>
        <v>0</v>
      </c>
    </row>
    <row r="91" spans="1:15" ht="14.1" customHeight="1">
      <c r="A91" s="2"/>
      <c r="B91" s="2"/>
      <c r="C91" s="30"/>
      <c r="D91" s="30"/>
      <c r="E91" s="21"/>
      <c r="F91" s="21"/>
      <c r="G91" s="21"/>
      <c r="H91" s="21"/>
      <c r="I91" s="21"/>
      <c r="J91" s="30"/>
      <c r="K91" s="30"/>
      <c r="L91" s="30"/>
      <c r="M91" s="30"/>
      <c r="N91" s="30"/>
    </row>
    <row r="92" spans="1:15" ht="14.1" customHeight="1">
      <c r="A92" s="2"/>
      <c r="B92" s="2"/>
      <c r="C92" s="30"/>
      <c r="D92" s="30"/>
      <c r="E92" s="4"/>
      <c r="F92" s="4"/>
      <c r="G92" s="4"/>
      <c r="H92" s="4"/>
      <c r="I92" s="4"/>
      <c r="J92" s="30"/>
      <c r="K92" s="30"/>
      <c r="L92" s="30"/>
      <c r="M92" s="30"/>
      <c r="N92" s="30"/>
    </row>
    <row r="93" spans="1:15" ht="14.1" customHeight="1">
      <c r="A93" s="2"/>
      <c r="B93" s="2"/>
      <c r="C93" s="30"/>
      <c r="D93" s="30"/>
      <c r="E93" s="4"/>
      <c r="F93" s="4"/>
      <c r="G93" s="4"/>
      <c r="H93" s="4"/>
      <c r="I93" s="4"/>
      <c r="J93" s="30"/>
      <c r="K93" s="30"/>
      <c r="L93" s="30"/>
      <c r="M93" s="30"/>
      <c r="N93" s="30"/>
    </row>
    <row r="94" spans="1:15" ht="14.1" customHeight="1">
      <c r="A94" s="6"/>
      <c r="B94" s="6"/>
      <c r="C94" s="7"/>
      <c r="D94" s="7"/>
      <c r="E94" s="7"/>
      <c r="F94" s="7"/>
      <c r="G94" s="7"/>
      <c r="H94" s="7"/>
      <c r="I94" s="7"/>
      <c r="K94" s="7"/>
      <c r="L94" s="7"/>
      <c r="M94" s="7"/>
      <c r="N94" s="7"/>
    </row>
    <row r="95" spans="1:15" ht="14.1" customHeight="1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1:15" ht="14.1" customHeight="1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1:14" ht="14.1" customHeight="1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 spans="1:14" ht="14.1" customHeight="1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 spans="1:14" ht="14.1" customHeight="1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 spans="1:14" ht="14.1" customHeight="1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 spans="1:14" ht="14.1" customHeight="1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 spans="1:14" ht="14.1" customHeight="1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 spans="1:14" ht="14.1" customHeight="1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1:14" ht="14.1" customHeight="1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1:14" ht="14.1" customHeight="1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1:14" ht="14.1" customHeight="1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4" ht="14.1" customHeight="1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1:14" ht="14.1" customHeight="1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1:14" ht="14.1" customHeight="1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1:14" ht="14.1" customHeight="1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4" ht="14.1" customHeight="1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4" ht="14.1" customHeight="1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1:15" ht="14.1" customHeight="1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5" ht="14.1" customHeight="1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5" ht="14.1" customHeight="1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5" ht="14.1" customHeight="1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5" ht="14.1" customHeight="1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5" ht="14.1" customHeight="1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5" ht="14.1" customHeight="1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5" ht="18" customHeight="1">
      <c r="A120" s="184" t="s">
        <v>0</v>
      </c>
      <c r="B120" s="185"/>
      <c r="C120" s="185"/>
      <c r="D120" s="185"/>
      <c r="E120" s="185"/>
      <c r="F120" s="186"/>
      <c r="G120" s="20">
        <v>180</v>
      </c>
      <c r="H120" s="1" t="s">
        <v>15</v>
      </c>
      <c r="I120" s="1"/>
      <c r="J120" s="32"/>
      <c r="K120" s="1"/>
      <c r="L120" s="1"/>
      <c r="M120" s="1"/>
      <c r="N120" s="1"/>
    </row>
    <row r="121" spans="1:15" ht="18" customHeight="1">
      <c r="A121" s="42" t="s">
        <v>1</v>
      </c>
      <c r="B121" s="43"/>
      <c r="C121" s="44">
        <v>0</v>
      </c>
      <c r="D121" s="45">
        <v>0.1</v>
      </c>
      <c r="E121" s="45">
        <v>0.5</v>
      </c>
      <c r="F121" s="46">
        <v>0.6</v>
      </c>
      <c r="G121" s="46">
        <v>2.1</v>
      </c>
      <c r="H121" s="45">
        <v>3.5</v>
      </c>
      <c r="I121" s="47">
        <v>3.8</v>
      </c>
      <c r="J121" s="47">
        <v>4.4000000000000004</v>
      </c>
      <c r="K121" s="45"/>
      <c r="L121" s="49"/>
      <c r="M121" s="45"/>
      <c r="N121" s="47"/>
    </row>
    <row r="122" spans="1:15" ht="18" customHeight="1">
      <c r="A122" s="42" t="s">
        <v>2</v>
      </c>
      <c r="B122" s="43"/>
      <c r="C122" s="44">
        <v>100.14</v>
      </c>
      <c r="D122" s="45">
        <v>100</v>
      </c>
      <c r="E122" s="45">
        <v>99.456000000000003</v>
      </c>
      <c r="F122" s="45">
        <v>99.32</v>
      </c>
      <c r="G122" s="45">
        <v>99.32</v>
      </c>
      <c r="H122" s="45">
        <v>99.32</v>
      </c>
      <c r="I122" s="45">
        <v>99.52</v>
      </c>
      <c r="J122" s="45">
        <v>100.13</v>
      </c>
      <c r="K122" s="45"/>
      <c r="L122" s="49"/>
      <c r="M122" s="45"/>
      <c r="N122" s="47"/>
    </row>
    <row r="123" spans="1:15" ht="18" customHeight="1">
      <c r="A123" s="42" t="s">
        <v>1</v>
      </c>
      <c r="B123" s="43"/>
      <c r="C123" s="44">
        <v>0</v>
      </c>
      <c r="D123" s="45">
        <v>0.1</v>
      </c>
      <c r="E123" s="45">
        <v>0.5</v>
      </c>
      <c r="F123" s="46">
        <v>0.6</v>
      </c>
      <c r="G123" s="46">
        <v>2.1</v>
      </c>
      <c r="H123" s="45">
        <v>3.5</v>
      </c>
      <c r="I123" s="47">
        <v>3.8</v>
      </c>
      <c r="J123" s="47">
        <v>4.4000000000000004</v>
      </c>
      <c r="K123" s="45"/>
      <c r="L123" s="49"/>
      <c r="M123" s="45"/>
      <c r="N123" s="47"/>
    </row>
    <row r="124" spans="1:15" ht="18" customHeight="1">
      <c r="A124" s="42" t="s">
        <v>3</v>
      </c>
      <c r="B124" s="9"/>
      <c r="C124" s="44">
        <v>100.14</v>
      </c>
      <c r="D124" s="45">
        <v>100.02200000000001</v>
      </c>
      <c r="E124" s="45">
        <v>99.55</v>
      </c>
      <c r="F124" s="45">
        <v>99.55</v>
      </c>
      <c r="G124" s="45">
        <v>99.55</v>
      </c>
      <c r="H124" s="45">
        <v>99.55</v>
      </c>
      <c r="I124" s="45">
        <v>99.52</v>
      </c>
      <c r="J124" s="45">
        <v>100.13</v>
      </c>
      <c r="K124" s="45"/>
      <c r="L124" s="49"/>
      <c r="M124" s="45"/>
      <c r="N124" s="52"/>
    </row>
    <row r="125" spans="1:15" ht="18" customHeight="1">
      <c r="A125" s="42" t="s">
        <v>18</v>
      </c>
      <c r="B125" s="9"/>
      <c r="C125" s="47">
        <f t="shared" ref="C125" si="34">C122-C124</f>
        <v>0</v>
      </c>
      <c r="D125" s="47">
        <f>D124-D122</f>
        <v>2.2000000000005571E-2</v>
      </c>
      <c r="E125" s="47">
        <f t="shared" ref="E125:J125" si="35">E124-E122</f>
        <v>9.3999999999994088E-2</v>
      </c>
      <c r="F125" s="47">
        <f t="shared" si="35"/>
        <v>0.23000000000000398</v>
      </c>
      <c r="G125" s="47">
        <f t="shared" si="35"/>
        <v>0.23000000000000398</v>
      </c>
      <c r="H125" s="47">
        <f t="shared" si="35"/>
        <v>0.23000000000000398</v>
      </c>
      <c r="I125" s="47">
        <f t="shared" si="35"/>
        <v>0</v>
      </c>
      <c r="J125" s="47">
        <f t="shared" si="35"/>
        <v>0</v>
      </c>
      <c r="K125" s="47"/>
      <c r="L125" s="47"/>
      <c r="M125" s="47"/>
      <c r="N125" s="47"/>
    </row>
    <row r="126" spans="1:15" ht="18" customHeight="1">
      <c r="A126" s="42" t="s">
        <v>5</v>
      </c>
      <c r="B126" s="9"/>
      <c r="C126" s="47">
        <f t="shared" ref="C126" si="36">(C125+B125)/2*(C121-B121)</f>
        <v>0</v>
      </c>
      <c r="D126" s="47">
        <f>(D125+C125)/2*(D121-C121)</f>
        <v>1.1000000000002785E-3</v>
      </c>
      <c r="E126" s="47">
        <f t="shared" ref="E126:J126" si="37">(E125+D125)/2*(E121-D121)</f>
        <v>2.3199999999999932E-2</v>
      </c>
      <c r="F126" s="47">
        <f t="shared" si="37"/>
        <v>1.6199999999999899E-2</v>
      </c>
      <c r="G126" s="47">
        <f t="shared" si="37"/>
        <v>0.34500000000000597</v>
      </c>
      <c r="H126" s="47">
        <f t="shared" si="37"/>
        <v>0.32200000000000556</v>
      </c>
      <c r="I126" s="47">
        <f t="shared" si="37"/>
        <v>3.4500000000000579E-2</v>
      </c>
      <c r="J126" s="47">
        <f t="shared" si="37"/>
        <v>0</v>
      </c>
      <c r="K126" s="47"/>
      <c r="L126" s="47"/>
      <c r="M126" s="47"/>
      <c r="N126" s="77">
        <f>SUM(B126:M126)</f>
        <v>0.74200000000001209</v>
      </c>
    </row>
    <row r="127" spans="1:15" ht="18" customHeight="1">
      <c r="A127" s="2"/>
      <c r="B127" s="2"/>
      <c r="C127" s="30"/>
      <c r="D127" s="30"/>
      <c r="E127" s="4"/>
      <c r="F127" s="4"/>
      <c r="G127" s="4"/>
      <c r="H127" s="4"/>
      <c r="I127" s="4"/>
      <c r="J127" s="179" t="s">
        <v>6</v>
      </c>
      <c r="K127" s="179"/>
      <c r="L127" s="179"/>
      <c r="M127" s="179"/>
      <c r="N127" s="5">
        <f>N126</f>
        <v>0.74200000000001209</v>
      </c>
      <c r="O127">
        <v>3.28</v>
      </c>
    </row>
    <row r="128" spans="1:15" ht="18" customHeight="1">
      <c r="A128" s="24"/>
      <c r="B128" s="78"/>
      <c r="C128" s="18"/>
      <c r="D128" s="18"/>
      <c r="E128" s="21"/>
      <c r="F128" s="21"/>
      <c r="G128" s="21"/>
      <c r="H128" s="21"/>
      <c r="I128" s="21"/>
      <c r="J128" s="21"/>
      <c r="K128" s="21"/>
      <c r="L128" s="21"/>
      <c r="M128" s="21"/>
      <c r="N128" s="21"/>
    </row>
    <row r="129" spans="1:14" ht="14.1" customHeight="1">
      <c r="A129" s="2"/>
      <c r="B129" s="2"/>
      <c r="C129" s="30"/>
      <c r="D129" s="30"/>
      <c r="E129" s="21"/>
      <c r="F129" s="21"/>
      <c r="G129" s="21"/>
      <c r="H129" s="21"/>
      <c r="I129" s="21"/>
      <c r="J129" s="30"/>
      <c r="K129" s="30"/>
      <c r="L129" s="30"/>
      <c r="M129" s="30"/>
      <c r="N129" s="30"/>
    </row>
    <row r="130" spans="1:14" ht="14.1" customHeight="1">
      <c r="A130" s="6"/>
      <c r="B130" s="6"/>
      <c r="C130" s="7"/>
      <c r="D130" s="7"/>
      <c r="E130" s="7"/>
      <c r="F130" s="7"/>
      <c r="G130" s="7"/>
      <c r="H130" s="7"/>
      <c r="I130" s="7"/>
      <c r="K130" s="7"/>
      <c r="L130" s="7"/>
      <c r="M130" s="7"/>
      <c r="N130" s="7"/>
    </row>
    <row r="131" spans="1:14" ht="14.1" customHeight="1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ht="14.1" customHeight="1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spans="1:14" ht="14.1" customHeight="1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spans="1:14" ht="14.1" customHeight="1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 spans="1:14" ht="14.1" customHeight="1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 spans="1:14" ht="14.1" customHeight="1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 spans="1:14" ht="14.1" customHeight="1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 spans="1:14" ht="14.1" customHeight="1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 spans="1:14" ht="14.1" customHeight="1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spans="1:14" ht="14.1" customHeight="1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 spans="1:14" ht="14.1" customHeight="1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 spans="1:14" ht="14.1" customHeight="1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 spans="1:14" ht="14.1" customHeight="1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 spans="1:14" ht="14.1" customHeight="1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 spans="1:14" ht="14.1" customHeight="1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 spans="1:14" ht="14.1" customHeight="1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 spans="1:14" ht="14.1" customHeight="1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 spans="1:14" ht="14.1" customHeight="1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 spans="1:14" ht="14.1" customHeight="1">
      <c r="A149" s="6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 spans="1:14" ht="14.1" customHeight="1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 spans="1:14" ht="14.1" customHeight="1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 spans="1:14" ht="14.1" customHeight="1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 spans="1:14" ht="14.1" customHeight="1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 spans="1:14" ht="14.1" customHeight="1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 spans="1:14" ht="14.1" customHeight="1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 spans="1:14" ht="14.1" customHeight="1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 spans="1:14" ht="14.1" customHeight="1">
      <c r="B157" s="181"/>
      <c r="C157" s="181"/>
      <c r="D157" s="181"/>
      <c r="E157" s="25"/>
      <c r="F157" s="25"/>
      <c r="G157" s="167"/>
      <c r="H157" s="167"/>
      <c r="I157" s="167"/>
      <c r="J157" s="7"/>
      <c r="K157" s="182"/>
      <c r="L157" s="182"/>
    </row>
    <row r="158" spans="1:14" ht="14.1" customHeight="1">
      <c r="B158" s="170"/>
      <c r="C158" s="170"/>
      <c r="D158" s="170"/>
      <c r="E158" s="26"/>
      <c r="F158" s="26"/>
      <c r="G158" s="170"/>
      <c r="H158" s="170"/>
      <c r="I158" s="170"/>
      <c r="J158" s="25"/>
      <c r="K158" s="171"/>
      <c r="L158" s="171"/>
    </row>
    <row r="159" spans="1:14" ht="14.1" customHeight="1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 spans="1:14" ht="14.1" customHeight="1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 spans="1:14" ht="14.1" customHeight="1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 spans="1:14" ht="14.1" customHeight="1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 spans="1:14" ht="14.1" customHeight="1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 spans="1:14" ht="14.1" customHeight="1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 spans="1:14" ht="18" customHeight="1">
      <c r="A165" s="184" t="s">
        <v>0</v>
      </c>
      <c r="B165" s="185"/>
      <c r="C165" s="185"/>
      <c r="D165" s="185"/>
      <c r="E165" s="185"/>
      <c r="F165" s="185"/>
      <c r="G165" s="20">
        <v>240</v>
      </c>
      <c r="H165" s="1" t="s">
        <v>15</v>
      </c>
      <c r="I165" s="1"/>
      <c r="J165" s="32"/>
      <c r="K165" s="1"/>
      <c r="L165" s="1"/>
      <c r="M165" s="1"/>
      <c r="N165" s="1"/>
    </row>
    <row r="166" spans="1:14" ht="18" customHeight="1">
      <c r="A166" s="42" t="s">
        <v>1</v>
      </c>
      <c r="B166" s="43"/>
      <c r="C166" s="44">
        <v>0</v>
      </c>
      <c r="D166" s="45">
        <v>0.1</v>
      </c>
      <c r="E166" s="45">
        <v>0.4</v>
      </c>
      <c r="F166" s="46">
        <v>0.6</v>
      </c>
      <c r="G166" s="46">
        <v>2.1</v>
      </c>
      <c r="H166" s="45">
        <v>3.6</v>
      </c>
      <c r="I166" s="47">
        <v>3.9</v>
      </c>
      <c r="J166" s="47">
        <v>4.2</v>
      </c>
      <c r="K166" s="45">
        <v>4.5</v>
      </c>
      <c r="L166" s="49"/>
      <c r="M166" s="45"/>
      <c r="N166" s="47"/>
    </row>
    <row r="167" spans="1:14" ht="18" customHeight="1">
      <c r="A167" s="42" t="s">
        <v>2</v>
      </c>
      <c r="B167" s="43"/>
      <c r="C167" s="44">
        <v>99.7</v>
      </c>
      <c r="D167" s="45">
        <v>99.6</v>
      </c>
      <c r="E167" s="45">
        <v>99.432000000000002</v>
      </c>
      <c r="F167" s="45">
        <v>99.32</v>
      </c>
      <c r="G167" s="45">
        <v>99.32</v>
      </c>
      <c r="H167" s="45">
        <v>99.32</v>
      </c>
      <c r="I167" s="45">
        <v>99.42</v>
      </c>
      <c r="J167" s="45">
        <v>99.52</v>
      </c>
      <c r="K167" s="45">
        <v>99.68</v>
      </c>
      <c r="L167" s="49"/>
      <c r="M167" s="45"/>
      <c r="N167" s="47"/>
    </row>
    <row r="168" spans="1:14" ht="18" customHeight="1">
      <c r="A168" s="42" t="s">
        <v>1</v>
      </c>
      <c r="B168" s="43"/>
      <c r="C168" s="44">
        <v>0</v>
      </c>
      <c r="D168" s="45">
        <v>0.1</v>
      </c>
      <c r="E168" s="45">
        <v>0.4</v>
      </c>
      <c r="F168" s="46">
        <v>0.6</v>
      </c>
      <c r="G168" s="46">
        <v>2.1</v>
      </c>
      <c r="H168" s="45">
        <v>3.6</v>
      </c>
      <c r="I168" s="47">
        <v>3.9</v>
      </c>
      <c r="J168" s="47">
        <v>4.2</v>
      </c>
      <c r="K168" s="45">
        <v>4.5</v>
      </c>
      <c r="L168" s="49"/>
      <c r="M168" s="45"/>
      <c r="N168" s="47"/>
    </row>
    <row r="169" spans="1:14" ht="18" customHeight="1">
      <c r="A169" s="42" t="s">
        <v>3</v>
      </c>
      <c r="B169" s="9"/>
      <c r="C169" s="44">
        <v>99.7</v>
      </c>
      <c r="D169" s="45">
        <v>99.65</v>
      </c>
      <c r="E169" s="45">
        <v>99.5</v>
      </c>
      <c r="F169" s="45">
        <v>99.5</v>
      </c>
      <c r="G169" s="45">
        <v>99.5</v>
      </c>
      <c r="H169" s="45">
        <v>99.5</v>
      </c>
      <c r="I169" s="45">
        <v>99.522999999999996</v>
      </c>
      <c r="J169" s="45">
        <v>99.6</v>
      </c>
      <c r="K169" s="45">
        <v>99.68</v>
      </c>
      <c r="L169" s="49"/>
      <c r="M169" s="45"/>
      <c r="N169" s="52"/>
    </row>
    <row r="170" spans="1:14" ht="18" customHeight="1">
      <c r="A170" s="42" t="s">
        <v>18</v>
      </c>
      <c r="B170" s="9"/>
      <c r="C170" s="47">
        <f t="shared" ref="C170" si="38">C167-C169</f>
        <v>0</v>
      </c>
      <c r="D170" s="47">
        <f>D169-D167</f>
        <v>5.0000000000011369E-2</v>
      </c>
      <c r="E170" s="47">
        <f t="shared" ref="E170" si="39">E169-E167</f>
        <v>6.799999999999784E-2</v>
      </c>
      <c r="F170" s="47">
        <f t="shared" ref="F170" si="40">F169-F167</f>
        <v>0.18000000000000682</v>
      </c>
      <c r="G170" s="47">
        <f t="shared" ref="G170" si="41">G169-G167</f>
        <v>0.18000000000000682</v>
      </c>
      <c r="H170" s="47">
        <f t="shared" ref="H170" si="42">H169-H167</f>
        <v>0.18000000000000682</v>
      </c>
      <c r="I170" s="47">
        <f t="shared" ref="I170" si="43">I169-I167</f>
        <v>0.10299999999999443</v>
      </c>
      <c r="J170" s="47">
        <f t="shared" ref="J170:K170" si="44">J169-J167</f>
        <v>7.9999999999998295E-2</v>
      </c>
      <c r="K170" s="47">
        <f t="shared" si="44"/>
        <v>0</v>
      </c>
      <c r="L170" s="47"/>
      <c r="M170" s="47"/>
      <c r="N170" s="47"/>
    </row>
    <row r="171" spans="1:14" ht="18" customHeight="1">
      <c r="A171" s="42" t="s">
        <v>5</v>
      </c>
      <c r="B171" s="9"/>
      <c r="C171" s="47">
        <f t="shared" ref="C171" si="45">(C170+B170)/2*(C166-B166)</f>
        <v>0</v>
      </c>
      <c r="D171" s="47">
        <f>(D170+C170)/2*(D166-C166)</f>
        <v>2.5000000000005686E-3</v>
      </c>
      <c r="E171" s="47">
        <f t="shared" ref="E171" si="46">(E170+D170)/2*(E166-D166)</f>
        <v>1.7700000000001385E-2</v>
      </c>
      <c r="F171" s="47">
        <f t="shared" ref="F171" si="47">(F170+E170)/2*(F166-E166)</f>
        <v>2.4800000000000461E-2</v>
      </c>
      <c r="G171" s="47">
        <f t="shared" ref="G171" si="48">(G170+F170)/2*(G166-F166)</f>
        <v>0.27000000000001023</v>
      </c>
      <c r="H171" s="47">
        <f t="shared" ref="H171" si="49">(H170+G170)/2*(H166-G166)</f>
        <v>0.27000000000001023</v>
      </c>
      <c r="I171" s="47">
        <f t="shared" ref="I171" si="50">(I170+H170)/2*(I166-H166)</f>
        <v>4.2450000000000161E-2</v>
      </c>
      <c r="J171" s="47">
        <f t="shared" ref="J171:K171" si="51">(J170+I170)/2*(J166-I166)</f>
        <v>2.7449999999998934E-2</v>
      </c>
      <c r="K171" s="47">
        <f t="shared" si="51"/>
        <v>1.1999999999999737E-2</v>
      </c>
      <c r="L171" s="47"/>
      <c r="M171" s="47"/>
      <c r="N171" s="77">
        <f>SUM(B171:M171)</f>
        <v>0.66690000000002181</v>
      </c>
    </row>
    <row r="172" spans="1:14" ht="18" customHeight="1">
      <c r="A172" s="2"/>
      <c r="B172" s="2"/>
      <c r="C172" s="30"/>
      <c r="D172" s="30"/>
      <c r="E172" s="4"/>
      <c r="F172" s="4"/>
      <c r="G172" s="4"/>
      <c r="H172" s="4"/>
      <c r="I172" s="4"/>
      <c r="J172" s="179" t="s">
        <v>6</v>
      </c>
      <c r="K172" s="179"/>
      <c r="L172" s="179"/>
      <c r="M172" s="179"/>
      <c r="N172" s="5">
        <f>N171</f>
        <v>0.66690000000002181</v>
      </c>
    </row>
    <row r="173" spans="1:14" ht="18" customHeight="1">
      <c r="A173" s="24"/>
      <c r="B173" s="78"/>
      <c r="C173" s="18"/>
      <c r="D173" s="18"/>
      <c r="E173" s="21"/>
      <c r="F173" s="21"/>
      <c r="G173" s="21"/>
      <c r="H173" s="21"/>
      <c r="I173" s="21"/>
      <c r="J173" s="21"/>
      <c r="K173" s="21"/>
      <c r="L173" s="21"/>
      <c r="M173" s="21"/>
      <c r="N173" s="21"/>
    </row>
    <row r="174" spans="1:14" ht="14.1" customHeight="1">
      <c r="A174" s="2"/>
      <c r="B174" s="2"/>
      <c r="C174" s="30"/>
      <c r="D174" s="30"/>
      <c r="E174" s="21"/>
      <c r="F174" s="21"/>
      <c r="G174" s="21"/>
      <c r="H174" s="21"/>
      <c r="I174" s="21"/>
      <c r="J174" s="30"/>
      <c r="K174" s="30"/>
      <c r="L174" s="30"/>
      <c r="M174" s="30"/>
      <c r="N174" s="30"/>
    </row>
    <row r="175" spans="1:14" ht="14.1" customHeight="1">
      <c r="A175" s="6"/>
      <c r="B175" s="6"/>
      <c r="C175" s="7"/>
      <c r="D175" s="7"/>
      <c r="E175" s="7"/>
      <c r="F175" s="7"/>
      <c r="G175" s="7"/>
      <c r="H175" s="7"/>
      <c r="I175" s="7"/>
      <c r="K175" s="7"/>
      <c r="L175" s="7"/>
      <c r="M175" s="7"/>
      <c r="N175" s="7"/>
    </row>
    <row r="176" spans="1:14" ht="14.1" customHeight="1">
      <c r="A176" s="6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</row>
    <row r="177" spans="1:14" ht="14.1" customHeight="1">
      <c r="A177" s="6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</row>
    <row r="178" spans="1:14" ht="14.1" customHeight="1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</row>
    <row r="179" spans="1:14" ht="14.1" customHeight="1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</row>
    <row r="180" spans="1:14" ht="14.1" customHeight="1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</row>
    <row r="181" spans="1:14" ht="14.1" customHeight="1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</row>
    <row r="182" spans="1:14" ht="14.1" customHeight="1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</row>
    <row r="183" spans="1:14" ht="14.1" customHeight="1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</row>
    <row r="184" spans="1:14" ht="14.1" customHeight="1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</row>
    <row r="185" spans="1:14" ht="14.1" customHeight="1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</row>
    <row r="186" spans="1:14" ht="14.1" customHeight="1">
      <c r="A186" s="6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</row>
    <row r="187" spans="1:14" ht="14.1" customHeight="1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</row>
    <row r="188" spans="1:14" ht="14.1" customHeight="1">
      <c r="A188" s="6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</row>
    <row r="189" spans="1:14" ht="14.1" customHeight="1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</row>
    <row r="190" spans="1:14" ht="14.1" customHeight="1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</row>
    <row r="191" spans="1:14" ht="14.1" customHeight="1">
      <c r="A191" s="6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</row>
    <row r="192" spans="1:14" ht="14.1" customHeight="1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</row>
    <row r="193" spans="1:14" ht="14.1" customHeight="1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</row>
    <row r="194" spans="1:14" ht="14.1" customHeight="1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</row>
    <row r="195" spans="1:14" ht="14.1" customHeight="1">
      <c r="A195" s="6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</row>
    <row r="196" spans="1:14" ht="14.1" customHeight="1">
      <c r="A196" s="6"/>
      <c r="B196" s="6"/>
      <c r="C196" s="7"/>
      <c r="D196" s="7"/>
      <c r="E196" s="7"/>
      <c r="F196" s="7"/>
      <c r="G196" s="7"/>
      <c r="H196" s="7"/>
      <c r="I196" s="7"/>
      <c r="J196" s="29"/>
      <c r="K196" s="7"/>
      <c r="L196" s="7"/>
      <c r="M196" s="7"/>
      <c r="N196" s="7"/>
    </row>
    <row r="197" spans="1:14" ht="14.1" customHeight="1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</row>
    <row r="198" spans="1:14" ht="14.1" customHeight="1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</row>
    <row r="199" spans="1:14" ht="14.1" customHeight="1">
      <c r="A199" s="6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</row>
    <row r="200" spans="1:14" ht="14.1" customHeight="1">
      <c r="A200" s="24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</row>
    <row r="201" spans="1:14" ht="14.1" customHeight="1"/>
    <row r="202" spans="1:14" ht="14.1" customHeight="1"/>
    <row r="203" spans="1:14" ht="14.1" customHeight="1"/>
    <row r="204" spans="1:14" ht="14.1" customHeight="1"/>
    <row r="205" spans="1:14" ht="18" customHeight="1">
      <c r="A205" s="184" t="s">
        <v>0</v>
      </c>
      <c r="B205" s="185"/>
      <c r="C205" s="185"/>
      <c r="D205" s="185"/>
      <c r="E205" s="185"/>
      <c r="F205" s="185"/>
      <c r="G205" s="79">
        <v>300</v>
      </c>
      <c r="H205" s="1" t="s">
        <v>15</v>
      </c>
      <c r="I205" s="1"/>
      <c r="J205" s="32"/>
      <c r="K205" s="1"/>
      <c r="L205" s="1"/>
      <c r="M205" s="1"/>
      <c r="N205" s="1"/>
    </row>
    <row r="206" spans="1:14" s="80" customFormat="1" ht="18" customHeight="1">
      <c r="A206" s="81" t="s">
        <v>1</v>
      </c>
      <c r="B206" s="82"/>
      <c r="C206" s="83">
        <v>0</v>
      </c>
      <c r="D206" s="84">
        <v>0.2</v>
      </c>
      <c r="E206" s="84">
        <v>0.5</v>
      </c>
      <c r="F206" s="85">
        <v>0.6</v>
      </c>
      <c r="G206" s="85">
        <v>2.1</v>
      </c>
      <c r="H206" s="84">
        <v>3.5</v>
      </c>
      <c r="I206" s="52">
        <v>3.7</v>
      </c>
      <c r="J206" s="52">
        <v>3.8</v>
      </c>
      <c r="K206" s="84">
        <v>4.4000000000000004</v>
      </c>
      <c r="L206" s="86"/>
      <c r="M206" s="84"/>
      <c r="N206" s="52"/>
    </row>
    <row r="207" spans="1:14" s="80" customFormat="1" ht="18" customHeight="1">
      <c r="A207" s="81" t="s">
        <v>2</v>
      </c>
      <c r="B207" s="82"/>
      <c r="C207" s="83">
        <v>100.14</v>
      </c>
      <c r="D207" s="84">
        <v>99.84</v>
      </c>
      <c r="E207" s="84">
        <v>99.397999999999996</v>
      </c>
      <c r="F207" s="84">
        <v>99.25</v>
      </c>
      <c r="G207" s="84">
        <v>99.25</v>
      </c>
      <c r="H207" s="84">
        <v>99.25</v>
      </c>
      <c r="I207" s="84">
        <v>99.45</v>
      </c>
      <c r="J207" s="84">
        <v>99.549000000000007</v>
      </c>
      <c r="K207" s="84">
        <v>100.14</v>
      </c>
      <c r="L207" s="86"/>
      <c r="M207" s="84"/>
      <c r="N207" s="52"/>
    </row>
    <row r="208" spans="1:14" s="80" customFormat="1" ht="18" customHeight="1">
      <c r="A208" s="81" t="s">
        <v>1</v>
      </c>
      <c r="B208" s="82"/>
      <c r="C208" s="83">
        <v>0</v>
      </c>
      <c r="D208" s="84">
        <v>0.2</v>
      </c>
      <c r="E208" s="84">
        <v>0.5</v>
      </c>
      <c r="F208" s="85">
        <v>0.6</v>
      </c>
      <c r="G208" s="85">
        <v>2.1</v>
      </c>
      <c r="H208" s="84">
        <v>3.5</v>
      </c>
      <c r="I208" s="52">
        <v>3.7</v>
      </c>
      <c r="J208" s="52">
        <v>3.8</v>
      </c>
      <c r="K208" s="84">
        <v>4.4000000000000004</v>
      </c>
      <c r="L208" s="86"/>
      <c r="M208" s="84"/>
      <c r="N208" s="52"/>
    </row>
    <row r="209" spans="1:14" s="80" customFormat="1" ht="18" customHeight="1">
      <c r="A209" s="81" t="s">
        <v>3</v>
      </c>
      <c r="B209" s="87"/>
      <c r="C209" s="83">
        <v>100.14</v>
      </c>
      <c r="D209" s="84">
        <v>99.921000000000006</v>
      </c>
      <c r="E209" s="84">
        <v>99.58</v>
      </c>
      <c r="F209" s="84">
        <v>99.58</v>
      </c>
      <c r="G209" s="84">
        <v>99.58</v>
      </c>
      <c r="H209" s="84">
        <v>99.58</v>
      </c>
      <c r="I209" s="84">
        <v>99.58</v>
      </c>
      <c r="J209" s="84">
        <v>99.58</v>
      </c>
      <c r="K209" s="84">
        <v>100.14</v>
      </c>
      <c r="L209" s="86"/>
      <c r="M209" s="84"/>
      <c r="N209" s="52"/>
    </row>
    <row r="210" spans="1:14" s="80" customFormat="1" ht="18" customHeight="1">
      <c r="A210" s="81" t="s">
        <v>18</v>
      </c>
      <c r="B210" s="87"/>
      <c r="C210" s="52">
        <f t="shared" ref="C210" si="52">C207-C209</f>
        <v>0</v>
      </c>
      <c r="D210" s="52">
        <f>D209-D207</f>
        <v>8.100000000000307E-2</v>
      </c>
      <c r="E210" s="52">
        <f t="shared" ref="E210" si="53">E209-E207</f>
        <v>0.18200000000000216</v>
      </c>
      <c r="F210" s="52">
        <f t="shared" ref="F210" si="54">F209-F207</f>
        <v>0.32999999999999829</v>
      </c>
      <c r="G210" s="52">
        <f t="shared" ref="G210" si="55">G209-G207</f>
        <v>0.32999999999999829</v>
      </c>
      <c r="H210" s="52">
        <f t="shared" ref="H210" si="56">H209-H207</f>
        <v>0.32999999999999829</v>
      </c>
      <c r="I210" s="52">
        <f t="shared" ref="I210" si="57">I209-I207</f>
        <v>0.12999999999999545</v>
      </c>
      <c r="J210" s="52">
        <f t="shared" ref="J210" si="58">J209-J207</f>
        <v>3.0999999999991701E-2</v>
      </c>
      <c r="K210" s="52">
        <f t="shared" ref="K210" si="59">K209-K207</f>
        <v>0</v>
      </c>
      <c r="L210" s="52"/>
      <c r="M210" s="52"/>
      <c r="N210" s="52"/>
    </row>
    <row r="211" spans="1:14" s="80" customFormat="1" ht="18" customHeight="1">
      <c r="A211" s="81" t="s">
        <v>5</v>
      </c>
      <c r="B211" s="87"/>
      <c r="C211" s="52">
        <f t="shared" ref="C211" si="60">(C210+B210)/2*(C206-B206)</f>
        <v>0</v>
      </c>
      <c r="D211" s="52">
        <f>(D210+C210)/2*(D206-C206)</f>
        <v>8.1000000000003066E-3</v>
      </c>
      <c r="E211" s="52">
        <f t="shared" ref="E211" si="61">(E210+D210)/2*(E206-D206)</f>
        <v>3.9450000000000783E-2</v>
      </c>
      <c r="F211" s="52">
        <f t="shared" ref="F211" si="62">(F210+E210)/2*(F206-E206)</f>
        <v>2.5600000000000019E-2</v>
      </c>
      <c r="G211" s="52">
        <f t="shared" ref="G211" si="63">(G210+F210)/2*(G206-F206)</f>
        <v>0.49499999999999744</v>
      </c>
      <c r="H211" s="52">
        <f t="shared" ref="H211" si="64">(H210+G210)/2*(H206-G206)</f>
        <v>0.46199999999999758</v>
      </c>
      <c r="I211" s="52">
        <f t="shared" ref="I211" si="65">(I210+H210)/2*(I206-H206)</f>
        <v>4.5999999999999416E-2</v>
      </c>
      <c r="J211" s="52">
        <f t="shared" ref="J211" si="66">(J210+I210)/2*(J206-I206)</f>
        <v>8.0499999999993285E-3</v>
      </c>
      <c r="K211" s="52">
        <f t="shared" ref="K211" si="67">(K210+J210)/2*(K206-J206)</f>
        <v>9.2999999999975186E-3</v>
      </c>
      <c r="L211" s="52"/>
      <c r="M211" s="52"/>
      <c r="N211" s="88">
        <f>SUM(B211:M211)</f>
        <v>1.0934999999999921</v>
      </c>
    </row>
    <row r="212" spans="1:14" s="80" customFormat="1" ht="18" customHeight="1">
      <c r="A212" s="89"/>
      <c r="B212" s="89"/>
      <c r="C212" s="90"/>
      <c r="D212" s="90"/>
      <c r="E212" s="91"/>
      <c r="F212" s="91"/>
      <c r="G212" s="91"/>
      <c r="H212" s="91"/>
      <c r="I212" s="91"/>
      <c r="J212" s="187" t="s">
        <v>6</v>
      </c>
      <c r="K212" s="187"/>
      <c r="L212" s="187"/>
      <c r="M212" s="187"/>
      <c r="N212" s="92">
        <f>N211</f>
        <v>1.0934999999999921</v>
      </c>
    </row>
    <row r="213" spans="1:14" ht="18" customHeight="1">
      <c r="A213" s="24"/>
      <c r="B213" s="78"/>
      <c r="C213" s="18"/>
      <c r="D213" s="18"/>
      <c r="E213" s="21"/>
      <c r="F213" s="21"/>
      <c r="G213" s="21"/>
      <c r="H213" s="21"/>
      <c r="I213" s="21"/>
      <c r="J213" s="21"/>
      <c r="K213" s="21"/>
      <c r="L213" s="21"/>
      <c r="M213" s="21"/>
      <c r="N213" s="21"/>
    </row>
    <row r="214" spans="1:14" ht="14.1" customHeight="1">
      <c r="A214" s="2"/>
      <c r="B214" s="2"/>
      <c r="C214" s="30"/>
      <c r="D214" s="30"/>
      <c r="E214" s="21"/>
      <c r="F214" s="21"/>
      <c r="G214" s="21"/>
      <c r="H214" s="21"/>
      <c r="I214" s="21"/>
      <c r="J214" s="30"/>
      <c r="K214" s="30"/>
      <c r="L214" s="30"/>
      <c r="M214" s="30"/>
      <c r="N214" s="30"/>
    </row>
    <row r="215" spans="1:14" ht="14.1" customHeight="1">
      <c r="A215" s="6"/>
      <c r="B215" s="6"/>
      <c r="C215" s="7"/>
      <c r="D215" s="7"/>
      <c r="E215" s="7"/>
      <c r="F215" s="7"/>
      <c r="G215" s="7"/>
      <c r="H215" s="7"/>
      <c r="I215" s="7"/>
      <c r="K215" s="7"/>
      <c r="L215" s="7"/>
      <c r="M215" s="7"/>
      <c r="N215" s="7"/>
    </row>
    <row r="216" spans="1:14" ht="14.1" customHeight="1">
      <c r="A216" s="6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 spans="1:14" ht="14.1" customHeight="1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 spans="1:14" ht="14.1" customHeight="1">
      <c r="A218" s="6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 spans="1:14" ht="14.1" customHeight="1">
      <c r="A219" s="6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1:14" ht="14.1" customHeight="1">
      <c r="A220" s="6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 spans="1:14" ht="14.1" customHeight="1">
      <c r="A221" s="6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 spans="1:14" ht="14.1" customHeight="1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 spans="1:14" ht="14.1" customHeight="1">
      <c r="A223" s="6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 spans="1:14" ht="14.1" customHeight="1">
      <c r="A224" s="6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 spans="1:14" ht="14.1" customHeight="1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 spans="1:14" ht="14.1" customHeight="1">
      <c r="A226" s="6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 spans="1:14" ht="14.1" customHeight="1">
      <c r="A227" s="6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 spans="1:14" ht="14.1" customHeight="1">
      <c r="A228" s="6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 spans="1:14" ht="14.1" customHeight="1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 spans="1:14" ht="14.1" customHeight="1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 spans="1:14" ht="14.1" customHeight="1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 spans="1:14" ht="14.1" customHeight="1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 spans="1:14" ht="14.1" customHeight="1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 spans="1:14" ht="14.1" customHeight="1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 spans="1:14" ht="14.1" customHeight="1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 spans="1:14" ht="14.1" customHeight="1">
      <c r="A236" s="6"/>
      <c r="B236" s="6"/>
      <c r="C236" s="7"/>
      <c r="D236" s="7"/>
      <c r="E236" s="7"/>
      <c r="F236" s="7"/>
      <c r="G236" s="7"/>
      <c r="H236" s="7"/>
      <c r="I236" s="7"/>
      <c r="J236" s="30"/>
      <c r="K236" s="7"/>
      <c r="L236" s="7"/>
      <c r="M236" s="7"/>
      <c r="N236" s="7"/>
    </row>
    <row r="237" spans="1:14" ht="14.1" customHeight="1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 spans="1:14" ht="14.1" customHeight="1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 spans="1:14" ht="14.1" customHeight="1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 spans="1:14" ht="14.1" customHeight="1">
      <c r="A240" s="24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</row>
    <row r="241" spans="1:14" ht="14.1" customHeight="1"/>
    <row r="242" spans="1:14" ht="14.1" customHeight="1"/>
    <row r="243" spans="1:14" ht="14.1" customHeight="1">
      <c r="B243" s="181"/>
      <c r="C243" s="181"/>
      <c r="D243" s="181"/>
      <c r="E243" s="25"/>
      <c r="F243" s="25"/>
      <c r="G243" s="167"/>
      <c r="H243" s="167"/>
      <c r="I243" s="167"/>
      <c r="J243" s="7"/>
      <c r="K243" s="182"/>
      <c r="L243" s="182"/>
    </row>
    <row r="244" spans="1:14" ht="14.1" customHeight="1">
      <c r="B244" s="170"/>
      <c r="C244" s="170"/>
      <c r="D244" s="170"/>
      <c r="E244" s="26"/>
      <c r="F244" s="26"/>
      <c r="G244" s="170"/>
      <c r="H244" s="170"/>
      <c r="I244" s="170"/>
      <c r="J244" s="25"/>
      <c r="K244" s="171"/>
      <c r="L244" s="171"/>
    </row>
    <row r="245" spans="1:14" ht="14.1" customHeight="1"/>
    <row r="246" spans="1:14" ht="14.1" customHeight="1"/>
    <row r="247" spans="1:14" ht="14.1" customHeight="1"/>
    <row r="248" spans="1:14" ht="18" customHeight="1">
      <c r="A248" s="184" t="s">
        <v>0</v>
      </c>
      <c r="B248" s="185"/>
      <c r="C248" s="185"/>
      <c r="D248" s="185"/>
      <c r="E248" s="185"/>
      <c r="F248" s="185"/>
      <c r="G248" s="20">
        <v>360</v>
      </c>
      <c r="H248" s="1" t="s">
        <v>15</v>
      </c>
      <c r="I248" s="1"/>
      <c r="J248" s="32"/>
      <c r="K248" s="1"/>
      <c r="L248" s="1"/>
      <c r="M248" s="1"/>
      <c r="N248" s="1"/>
    </row>
    <row r="249" spans="1:14" ht="18" customHeight="1">
      <c r="A249" s="42" t="s">
        <v>1</v>
      </c>
      <c r="B249" s="43"/>
      <c r="C249" s="44">
        <v>0</v>
      </c>
      <c r="D249" s="45">
        <v>0.2</v>
      </c>
      <c r="E249" s="45">
        <v>0.36299999999999999</v>
      </c>
      <c r="F249" s="46">
        <v>0.5</v>
      </c>
      <c r="G249" s="46">
        <v>0.6</v>
      </c>
      <c r="H249" s="45">
        <v>2.1</v>
      </c>
      <c r="I249" s="47">
        <v>3.6</v>
      </c>
      <c r="J249" s="47">
        <v>3.8</v>
      </c>
      <c r="K249" s="45">
        <v>4.5</v>
      </c>
      <c r="L249" s="49"/>
      <c r="M249" s="45"/>
      <c r="N249" s="47"/>
    </row>
    <row r="250" spans="1:14" ht="18" customHeight="1">
      <c r="A250" s="42" t="s">
        <v>2</v>
      </c>
      <c r="B250" s="43"/>
      <c r="C250" s="44">
        <v>100.04</v>
      </c>
      <c r="D250" s="45">
        <v>99.74</v>
      </c>
      <c r="E250" s="45">
        <v>99.394000000000005</v>
      </c>
      <c r="F250" s="45">
        <v>99.102999999999994</v>
      </c>
      <c r="G250" s="45">
        <v>98.89</v>
      </c>
      <c r="H250" s="45">
        <v>98.89</v>
      </c>
      <c r="I250" s="45">
        <v>98.89</v>
      </c>
      <c r="J250" s="45">
        <v>99.09</v>
      </c>
      <c r="K250" s="45">
        <v>100.05</v>
      </c>
      <c r="L250" s="49"/>
      <c r="M250" s="45"/>
      <c r="N250" s="47"/>
    </row>
    <row r="251" spans="1:14" ht="18" customHeight="1">
      <c r="A251" s="42" t="s">
        <v>1</v>
      </c>
      <c r="B251" s="43"/>
      <c r="C251" s="44">
        <v>0</v>
      </c>
      <c r="D251" s="45">
        <v>0.2</v>
      </c>
      <c r="E251" s="45">
        <v>0.36299999999999999</v>
      </c>
      <c r="F251" s="46">
        <v>0.5</v>
      </c>
      <c r="G251" s="46">
        <v>0.6</v>
      </c>
      <c r="H251" s="45">
        <v>2.1</v>
      </c>
      <c r="I251" s="47">
        <v>3.6</v>
      </c>
      <c r="J251" s="47">
        <v>3.8</v>
      </c>
      <c r="K251" s="45">
        <v>4.5</v>
      </c>
      <c r="L251" s="49"/>
      <c r="M251" s="45"/>
      <c r="N251" s="47"/>
    </row>
    <row r="252" spans="1:14" ht="18" customHeight="1">
      <c r="A252" s="42" t="s">
        <v>3</v>
      </c>
      <c r="B252" s="9"/>
      <c r="C252" s="44">
        <v>100.04</v>
      </c>
      <c r="D252" s="45">
        <v>99.74</v>
      </c>
      <c r="E252" s="45">
        <v>99.394000000000005</v>
      </c>
      <c r="F252" s="45">
        <v>99.21</v>
      </c>
      <c r="G252" s="45">
        <v>99.15</v>
      </c>
      <c r="H252" s="45">
        <v>99.15</v>
      </c>
      <c r="I252" s="45">
        <v>99.15</v>
      </c>
      <c r="J252" s="45">
        <v>99.15</v>
      </c>
      <c r="K252" s="45">
        <v>100.05</v>
      </c>
      <c r="L252" s="49"/>
      <c r="M252" s="45"/>
      <c r="N252" s="52"/>
    </row>
    <row r="253" spans="1:14" ht="18" customHeight="1">
      <c r="A253" s="42" t="s">
        <v>18</v>
      </c>
      <c r="B253" s="9"/>
      <c r="C253" s="47">
        <f t="shared" ref="C253" si="68">C252-C250</f>
        <v>0</v>
      </c>
      <c r="D253" s="47">
        <f>D250-D252</f>
        <v>0</v>
      </c>
      <c r="E253" s="47">
        <f t="shared" ref="E253:K253" si="69">E252-E250</f>
        <v>0</v>
      </c>
      <c r="F253" s="47">
        <f t="shared" si="69"/>
        <v>0.10699999999999932</v>
      </c>
      <c r="G253" s="47">
        <f t="shared" si="69"/>
        <v>0.26000000000000512</v>
      </c>
      <c r="H253" s="47">
        <f t="shared" si="69"/>
        <v>0.26000000000000512</v>
      </c>
      <c r="I253" s="47">
        <f t="shared" si="69"/>
        <v>0.26000000000000512</v>
      </c>
      <c r="J253" s="47">
        <f t="shared" si="69"/>
        <v>6.0000000000002274E-2</v>
      </c>
      <c r="K253" s="47">
        <f t="shared" si="69"/>
        <v>0</v>
      </c>
      <c r="L253" s="47"/>
      <c r="M253" s="47"/>
      <c r="N253" s="47"/>
    </row>
    <row r="254" spans="1:14" ht="18" customHeight="1">
      <c r="A254" s="42" t="s">
        <v>5</v>
      </c>
      <c r="B254" s="9"/>
      <c r="C254" s="47">
        <f t="shared" ref="C254" si="70">(C253+B253)/2*(C249-B249)</f>
        <v>0</v>
      </c>
      <c r="D254" s="47">
        <f t="shared" ref="D254" si="71">(D253+C253)/2*(D249-C249)</f>
        <v>0</v>
      </c>
      <c r="E254" s="47">
        <f t="shared" ref="E254" si="72">(E253+D253)/2*(E249-D249)</f>
        <v>0</v>
      </c>
      <c r="F254" s="47">
        <f t="shared" ref="F254" si="73">(F253+E253)/2*(F249-E249)</f>
        <v>7.3294999999999541E-3</v>
      </c>
      <c r="G254" s="47">
        <f t="shared" ref="G254" si="74">(G253+F253)/2*(G249-F249)</f>
        <v>1.8350000000000217E-2</v>
      </c>
      <c r="H254" s="47">
        <f t="shared" ref="H254" si="75">(H253+G253)/2*(H249-G249)</f>
        <v>0.39000000000000767</v>
      </c>
      <c r="I254" s="47">
        <f t="shared" ref="I254" si="76">(I253+H253)/2*(I249-H249)</f>
        <v>0.39000000000000767</v>
      </c>
      <c r="J254" s="47">
        <f t="shared" ref="J254" si="77">(J253+I253)/2*(J249-I249)</f>
        <v>3.2000000000000695E-2</v>
      </c>
      <c r="K254" s="47">
        <f t="shared" ref="K254" si="78">(K253+J253)/2*(K249-J249)</f>
        <v>2.1000000000000803E-2</v>
      </c>
      <c r="L254" s="47"/>
      <c r="M254" s="47"/>
      <c r="N254" s="77">
        <f>SUM(B254:M254)</f>
        <v>0.85867950000001703</v>
      </c>
    </row>
    <row r="255" spans="1:14" ht="18" customHeight="1">
      <c r="A255" s="2"/>
      <c r="B255" s="2"/>
      <c r="C255" s="30"/>
      <c r="D255" s="30"/>
      <c r="E255" s="4"/>
      <c r="F255" s="4"/>
      <c r="G255" s="4"/>
      <c r="H255" s="4"/>
      <c r="I255" s="4"/>
      <c r="J255" s="179" t="s">
        <v>6</v>
      </c>
      <c r="K255" s="179"/>
      <c r="L255" s="179"/>
      <c r="M255" s="179"/>
      <c r="N255" s="5">
        <f>N254</f>
        <v>0.85867950000001703</v>
      </c>
    </row>
    <row r="256" spans="1:14" ht="18" customHeight="1">
      <c r="A256" s="24"/>
      <c r="B256" s="78"/>
      <c r="C256" s="18"/>
      <c r="D256" s="18"/>
      <c r="E256" s="21"/>
      <c r="F256" s="21"/>
      <c r="G256" s="21"/>
      <c r="H256" s="21"/>
      <c r="I256" s="21"/>
      <c r="J256" s="21"/>
      <c r="K256" s="21"/>
      <c r="L256" s="21"/>
      <c r="M256" s="21"/>
      <c r="N256" s="21"/>
    </row>
    <row r="257" spans="1:14" ht="14.1" customHeight="1">
      <c r="A257" s="2"/>
      <c r="B257" s="2"/>
      <c r="C257" s="30"/>
      <c r="D257" s="30"/>
      <c r="E257" s="21"/>
      <c r="F257" s="21"/>
      <c r="G257" s="21"/>
      <c r="H257" s="21"/>
      <c r="I257" s="21"/>
      <c r="J257" s="30"/>
      <c r="K257" s="30"/>
      <c r="L257" s="30"/>
      <c r="M257" s="30"/>
      <c r="N257" s="30"/>
    </row>
    <row r="258" spans="1:14" ht="14.1" customHeight="1">
      <c r="A258" s="6"/>
      <c r="B258" s="6"/>
      <c r="C258" s="7"/>
      <c r="D258" s="7"/>
      <c r="E258" s="7"/>
      <c r="F258" s="7"/>
      <c r="G258" s="7"/>
      <c r="H258" s="7"/>
      <c r="I258" s="7"/>
      <c r="K258" s="7"/>
      <c r="L258" s="7"/>
      <c r="M258" s="7"/>
      <c r="N258" s="7"/>
    </row>
    <row r="259" spans="1:14" ht="14.1" customHeight="1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</row>
    <row r="260" spans="1:14" ht="14.1" customHeight="1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</row>
    <row r="261" spans="1:14" ht="14.1" customHeight="1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</row>
    <row r="262" spans="1:14" ht="14.1" customHeight="1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</row>
    <row r="263" spans="1:14" ht="14.1" customHeight="1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</row>
    <row r="264" spans="1:14" ht="14.1" customHeight="1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</row>
    <row r="265" spans="1:14" ht="14.1" customHeight="1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</row>
    <row r="266" spans="1:14" ht="14.1" customHeight="1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</row>
    <row r="267" spans="1:14" ht="14.1" customHeight="1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</row>
    <row r="268" spans="1:14" ht="14.1" customHeight="1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</row>
    <row r="269" spans="1:14" ht="14.1" customHeight="1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</row>
    <row r="270" spans="1:14" ht="14.1" customHeight="1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</row>
    <row r="271" spans="1:14" ht="14.1" customHeight="1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</row>
    <row r="272" spans="1:14" ht="14.1" customHeight="1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</row>
    <row r="273" spans="1:14" ht="14.1" customHeight="1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</row>
    <row r="274" spans="1:14" ht="14.1" customHeight="1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</row>
    <row r="275" spans="1:14" ht="14.1" customHeight="1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</row>
    <row r="276" spans="1:14" ht="14.1" customHeight="1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</row>
    <row r="277" spans="1:14" ht="14.1" customHeight="1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</row>
    <row r="278" spans="1:14" ht="14.1" customHeight="1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</row>
    <row r="279" spans="1:14" ht="14.1" customHeight="1">
      <c r="A279" s="6"/>
      <c r="B279" s="6"/>
      <c r="C279" s="7"/>
      <c r="D279" s="7"/>
      <c r="E279" s="7"/>
      <c r="F279" s="7"/>
      <c r="G279" s="7"/>
      <c r="H279" s="7"/>
      <c r="I279" s="7"/>
      <c r="J279" s="34"/>
      <c r="K279" s="7"/>
      <c r="L279" s="7"/>
      <c r="M279" s="7"/>
      <c r="N279" s="7"/>
    </row>
    <row r="280" spans="1:14" ht="14.1" customHeight="1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</row>
    <row r="281" spans="1:14" ht="14.1" customHeight="1"/>
    <row r="282" spans="1:14" ht="14.1" customHeight="1"/>
    <row r="283" spans="1:14" ht="18" customHeight="1">
      <c r="A283" s="184" t="s">
        <v>0</v>
      </c>
      <c r="B283" s="185"/>
      <c r="C283" s="185"/>
      <c r="D283" s="185"/>
      <c r="E283" s="185"/>
      <c r="F283" s="185"/>
      <c r="G283" s="93">
        <v>420</v>
      </c>
      <c r="H283" s="1" t="s">
        <v>15</v>
      </c>
      <c r="I283" s="1"/>
      <c r="J283" s="33"/>
      <c r="K283" s="1"/>
      <c r="L283" s="1"/>
      <c r="M283" s="1"/>
      <c r="N283" s="1"/>
    </row>
    <row r="284" spans="1:14" ht="18" customHeight="1">
      <c r="A284" s="42" t="s">
        <v>1</v>
      </c>
      <c r="B284" s="43"/>
      <c r="C284" s="44">
        <v>0</v>
      </c>
      <c r="D284" s="45">
        <v>0.2</v>
      </c>
      <c r="E284" s="45">
        <v>0.5</v>
      </c>
      <c r="F284" s="46">
        <v>0.6</v>
      </c>
      <c r="G284" s="46">
        <v>2.1</v>
      </c>
      <c r="H284" s="45">
        <v>3.6</v>
      </c>
      <c r="I284" s="47">
        <v>3.9</v>
      </c>
      <c r="J284" s="47">
        <v>4.5</v>
      </c>
      <c r="K284" s="45"/>
      <c r="L284" s="49"/>
      <c r="M284" s="45"/>
      <c r="N284" s="47"/>
    </row>
    <row r="285" spans="1:14" ht="18" customHeight="1">
      <c r="A285" s="42" t="s">
        <v>2</v>
      </c>
      <c r="B285" s="43"/>
      <c r="C285" s="44">
        <v>99.45</v>
      </c>
      <c r="D285" s="45">
        <v>99.3</v>
      </c>
      <c r="E285" s="45">
        <v>98.984999999999999</v>
      </c>
      <c r="F285" s="45">
        <v>98.88</v>
      </c>
      <c r="G285" s="45">
        <v>98.88</v>
      </c>
      <c r="H285" s="45">
        <v>98.88</v>
      </c>
      <c r="I285" s="45">
        <v>99.08</v>
      </c>
      <c r="J285" s="45">
        <v>99.45</v>
      </c>
      <c r="K285" s="45"/>
      <c r="L285" s="49"/>
      <c r="M285" s="45"/>
      <c r="N285" s="47"/>
    </row>
    <row r="286" spans="1:14" ht="18" customHeight="1">
      <c r="A286" s="42" t="s">
        <v>1</v>
      </c>
      <c r="B286" s="43"/>
      <c r="C286" s="44">
        <v>0</v>
      </c>
      <c r="D286" s="45">
        <v>0.2</v>
      </c>
      <c r="E286" s="45">
        <v>0.5</v>
      </c>
      <c r="F286" s="46">
        <v>0.6</v>
      </c>
      <c r="G286" s="46">
        <v>2.1</v>
      </c>
      <c r="H286" s="45">
        <v>3.6</v>
      </c>
      <c r="I286" s="47">
        <v>3.9</v>
      </c>
      <c r="J286" s="47">
        <v>4.5</v>
      </c>
      <c r="K286" s="45"/>
      <c r="L286" s="49"/>
      <c r="M286" s="45"/>
      <c r="N286" s="47"/>
    </row>
    <row r="287" spans="1:14" ht="18" customHeight="1">
      <c r="A287" s="42" t="s">
        <v>3</v>
      </c>
      <c r="B287" s="9"/>
      <c r="C287" s="44">
        <v>99.45</v>
      </c>
      <c r="D287" s="45">
        <v>99.302000000000007</v>
      </c>
      <c r="E287" s="45">
        <v>99.08</v>
      </c>
      <c r="F287" s="45">
        <v>99.08</v>
      </c>
      <c r="G287" s="45">
        <v>99.08</v>
      </c>
      <c r="H287" s="45">
        <v>99.08</v>
      </c>
      <c r="I287" s="45">
        <v>99.08</v>
      </c>
      <c r="J287" s="45">
        <v>99.45</v>
      </c>
      <c r="K287" s="45"/>
      <c r="L287" s="49"/>
      <c r="M287" s="45"/>
      <c r="N287" s="52"/>
    </row>
    <row r="288" spans="1:14" ht="18" customHeight="1">
      <c r="A288" s="42" t="s">
        <v>18</v>
      </c>
      <c r="B288" s="9"/>
      <c r="C288" s="47">
        <f t="shared" ref="C288" si="79">C285-C287</f>
        <v>0</v>
      </c>
      <c r="D288" s="47">
        <f>D287-D285</f>
        <v>2.0000000000095497E-3</v>
      </c>
      <c r="E288" s="47">
        <f t="shared" ref="E288" si="80">E287-E285</f>
        <v>9.4999999999998863E-2</v>
      </c>
      <c r="F288" s="47">
        <f t="shared" ref="F288" si="81">F287-F285</f>
        <v>0.20000000000000284</v>
      </c>
      <c r="G288" s="47">
        <f t="shared" ref="G288" si="82">G287-G285</f>
        <v>0.20000000000000284</v>
      </c>
      <c r="H288" s="47">
        <f t="shared" ref="H288" si="83">H287-H285</f>
        <v>0.20000000000000284</v>
      </c>
      <c r="I288" s="47">
        <f t="shared" ref="I288" si="84">I287-I285</f>
        <v>0</v>
      </c>
      <c r="J288" s="47">
        <f t="shared" ref="J288" si="85">J287-J285</f>
        <v>0</v>
      </c>
      <c r="K288" s="47"/>
      <c r="L288" s="47"/>
      <c r="M288" s="47"/>
      <c r="N288" s="47"/>
    </row>
    <row r="289" spans="1:15" ht="18" customHeight="1">
      <c r="A289" s="42" t="s">
        <v>5</v>
      </c>
      <c r="B289" s="9"/>
      <c r="C289" s="47">
        <f t="shared" ref="C289" si="86">(C288+B288)/2*(C284-B284)</f>
        <v>0</v>
      </c>
      <c r="D289" s="47">
        <f>(D288+C288)/2*(D284-C284)</f>
        <v>2.0000000000095497E-4</v>
      </c>
      <c r="E289" s="47">
        <f t="shared" ref="E289" si="87">(E288+D288)/2*(E284-D284)</f>
        <v>1.4550000000001262E-2</v>
      </c>
      <c r="F289" s="47">
        <f t="shared" ref="F289" si="88">(F288+E288)/2*(F284-E284)</f>
        <v>1.4750000000000082E-2</v>
      </c>
      <c r="G289" s="47">
        <f t="shared" ref="G289" si="89">(G288+F288)/2*(G284-F284)</f>
        <v>0.30000000000000426</v>
      </c>
      <c r="H289" s="47">
        <f t="shared" ref="H289" si="90">(H288+G288)/2*(H284-G284)</f>
        <v>0.30000000000000426</v>
      </c>
      <c r="I289" s="47">
        <f t="shared" ref="I289" si="91">(I288+H288)/2*(I284-H284)</f>
        <v>3.0000000000000408E-2</v>
      </c>
      <c r="J289" s="47">
        <f t="shared" ref="J289" si="92">(J288+I288)/2*(J284-I284)</f>
        <v>0</v>
      </c>
      <c r="K289" s="47"/>
      <c r="L289" s="47"/>
      <c r="M289" s="47"/>
      <c r="N289" s="77">
        <f>SUM(B289:M289)</f>
        <v>0.65950000000001119</v>
      </c>
    </row>
    <row r="290" spans="1:15" ht="18" customHeight="1">
      <c r="A290" s="2"/>
      <c r="B290" s="2"/>
      <c r="C290" s="30"/>
      <c r="D290" s="30"/>
      <c r="E290" s="4"/>
      <c r="F290" s="4"/>
      <c r="G290" s="4"/>
      <c r="H290" s="4"/>
      <c r="I290" s="4"/>
      <c r="J290" s="179" t="s">
        <v>6</v>
      </c>
      <c r="K290" s="179"/>
      <c r="L290" s="179"/>
      <c r="M290" s="179"/>
      <c r="N290" s="5">
        <f>N289</f>
        <v>0.65950000000001119</v>
      </c>
      <c r="O290" s="31"/>
    </row>
    <row r="291" spans="1:15" ht="18" customHeight="1">
      <c r="A291" s="24"/>
      <c r="B291" s="78"/>
      <c r="C291" s="18"/>
      <c r="D291" s="18"/>
      <c r="E291" s="21"/>
      <c r="F291" s="21"/>
      <c r="G291" s="21"/>
      <c r="H291" s="21"/>
      <c r="I291" s="21"/>
      <c r="J291" s="21"/>
      <c r="K291" s="21"/>
      <c r="L291" s="21"/>
      <c r="M291" s="21"/>
      <c r="N291" s="21"/>
    </row>
    <row r="292" spans="1:15" ht="14.1" customHeight="1">
      <c r="A292" s="2"/>
      <c r="B292" s="2"/>
      <c r="C292" s="30"/>
      <c r="D292" s="30"/>
      <c r="E292" s="21"/>
      <c r="F292" s="21"/>
      <c r="G292" s="21"/>
      <c r="H292" s="21"/>
      <c r="I292" s="21"/>
      <c r="J292" s="30"/>
      <c r="K292" s="30"/>
      <c r="L292" s="30"/>
      <c r="M292" s="30"/>
      <c r="N292" s="30"/>
    </row>
    <row r="293" spans="1:15" ht="14.1" customHeight="1">
      <c r="A293" s="6"/>
      <c r="B293" s="6"/>
      <c r="C293" s="7"/>
      <c r="D293" s="7"/>
      <c r="E293" s="7"/>
      <c r="F293" s="7"/>
      <c r="G293" s="7"/>
      <c r="H293" s="7"/>
      <c r="I293" s="7"/>
      <c r="K293" s="7"/>
      <c r="L293" s="7"/>
      <c r="M293" s="7"/>
      <c r="N293" s="7"/>
    </row>
    <row r="294" spans="1:15" ht="14.1" customHeight="1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</row>
    <row r="295" spans="1:15" ht="14.1" customHeight="1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</row>
    <row r="296" spans="1:15" ht="14.1" customHeight="1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</row>
    <row r="297" spans="1:15" ht="14.1" customHeight="1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</row>
    <row r="298" spans="1:15" ht="14.1" customHeight="1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</row>
    <row r="299" spans="1:15" ht="14.1" customHeight="1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</row>
    <row r="300" spans="1:15" ht="14.1" customHeight="1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</row>
    <row r="301" spans="1:15" ht="14.1" customHeight="1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</row>
    <row r="302" spans="1:15" ht="14.1" customHeight="1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</row>
    <row r="303" spans="1:15" ht="14.1" customHeight="1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</row>
    <row r="304" spans="1:15" ht="14.1" customHeight="1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</row>
    <row r="305" spans="1:14" ht="14.1" customHeight="1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</row>
    <row r="306" spans="1:14" ht="14.1" customHeight="1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</row>
    <row r="307" spans="1:14" ht="14.1" customHeight="1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</row>
    <row r="308" spans="1:14" ht="14.1" customHeight="1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</row>
    <row r="309" spans="1:14" ht="14.1" customHeight="1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</row>
    <row r="310" spans="1:14" ht="14.1" customHeight="1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</row>
    <row r="311" spans="1:14" ht="14.1" customHeight="1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</row>
    <row r="312" spans="1:14" ht="14.1" customHeight="1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</row>
    <row r="313" spans="1:14" ht="14.1" customHeight="1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</row>
    <row r="314" spans="1:14" ht="14.1" customHeight="1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</row>
    <row r="315" spans="1:14" ht="14.1" customHeight="1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</row>
    <row r="316" spans="1:14" ht="14.1" customHeight="1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</row>
    <row r="317" spans="1:14" ht="14.1" customHeight="1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</row>
    <row r="318" spans="1:14" ht="14.1" customHeight="1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</row>
    <row r="319" spans="1:14" ht="14.1" customHeight="1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</row>
    <row r="320" spans="1:14" ht="14.1" customHeight="1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</row>
    <row r="321" spans="1:15" ht="14.1" customHeight="1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</row>
    <row r="322" spans="1:15" ht="14.1" customHeight="1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</row>
    <row r="323" spans="1:15" ht="14.1" customHeight="1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</row>
    <row r="324" spans="1:15" ht="14.1" customHeight="1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</row>
    <row r="325" spans="1:15" ht="14.1" customHeight="1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</row>
    <row r="326" spans="1:15" ht="14.1" customHeight="1">
      <c r="A326" s="6"/>
      <c r="B326" s="181"/>
      <c r="C326" s="181"/>
      <c r="D326" s="181"/>
      <c r="E326" s="25"/>
      <c r="F326" s="25"/>
      <c r="G326" s="167"/>
      <c r="H326" s="167"/>
      <c r="I326" s="167"/>
      <c r="J326" s="7"/>
      <c r="K326" s="182"/>
      <c r="L326" s="182"/>
      <c r="M326" s="7"/>
      <c r="N326" s="7"/>
    </row>
    <row r="327" spans="1:15" ht="14.1" customHeight="1">
      <c r="A327" s="6"/>
      <c r="B327" s="170"/>
      <c r="C327" s="170"/>
      <c r="D327" s="170"/>
      <c r="E327" s="26"/>
      <c r="F327" s="26"/>
      <c r="G327" s="170"/>
      <c r="H327" s="170"/>
      <c r="I327" s="170"/>
      <c r="J327" s="25"/>
      <c r="K327" s="171"/>
      <c r="L327" s="171"/>
      <c r="M327" s="7"/>
      <c r="N327" s="7"/>
    </row>
    <row r="328" spans="1:15" ht="14.1" customHeight="1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</row>
    <row r="329" spans="1:15" ht="14.1" customHeight="1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</row>
    <row r="330" spans="1:15" ht="14.1" customHeight="1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</row>
    <row r="331" spans="1:15" ht="18.75" customHeight="1">
      <c r="A331" s="184" t="s">
        <v>0</v>
      </c>
      <c r="B331" s="185"/>
      <c r="C331" s="185"/>
      <c r="D331" s="185"/>
      <c r="E331" s="185"/>
      <c r="F331" s="185"/>
      <c r="G331" s="20">
        <v>480</v>
      </c>
      <c r="H331" s="1" t="s">
        <v>15</v>
      </c>
      <c r="I331" s="1"/>
      <c r="J331" s="32"/>
      <c r="K331" s="1"/>
      <c r="L331" s="1"/>
      <c r="M331" s="1"/>
      <c r="N331" s="1"/>
    </row>
    <row r="332" spans="1:15" ht="18.75" customHeight="1">
      <c r="A332" s="42" t="s">
        <v>1</v>
      </c>
      <c r="B332" s="43"/>
      <c r="C332" s="44">
        <v>0</v>
      </c>
      <c r="D332" s="45">
        <v>0.2</v>
      </c>
      <c r="E332" s="45">
        <v>0.4</v>
      </c>
      <c r="F332" s="46">
        <v>0.40600000000000003</v>
      </c>
      <c r="G332" s="46">
        <v>0.6</v>
      </c>
      <c r="H332" s="45">
        <v>2.1</v>
      </c>
      <c r="I332" s="47">
        <v>3.5</v>
      </c>
      <c r="J332" s="47">
        <v>3.8</v>
      </c>
      <c r="K332" s="45">
        <v>3.9</v>
      </c>
      <c r="L332" s="49">
        <v>4.4000000000000004</v>
      </c>
      <c r="M332" s="45"/>
      <c r="N332" s="47"/>
      <c r="O332" s="22"/>
    </row>
    <row r="333" spans="1:15" ht="18.75" customHeight="1">
      <c r="A333" s="42" t="s">
        <v>2</v>
      </c>
      <c r="B333" s="43"/>
      <c r="C333" s="44">
        <v>99.57</v>
      </c>
      <c r="D333" s="45">
        <v>99.26</v>
      </c>
      <c r="E333" s="45">
        <v>98.95</v>
      </c>
      <c r="F333" s="45">
        <v>98.95</v>
      </c>
      <c r="G333" s="45">
        <v>98.65</v>
      </c>
      <c r="H333" s="45">
        <v>98.65</v>
      </c>
      <c r="I333" s="45">
        <v>98.65</v>
      </c>
      <c r="J333" s="45">
        <v>98.85</v>
      </c>
      <c r="K333" s="45">
        <v>98.95</v>
      </c>
      <c r="L333" s="49">
        <v>99.45</v>
      </c>
      <c r="M333" s="45"/>
      <c r="N333" s="47"/>
      <c r="O333" s="21"/>
    </row>
    <row r="334" spans="1:15" ht="18.75" customHeight="1">
      <c r="A334" s="42" t="s">
        <v>1</v>
      </c>
      <c r="B334" s="43"/>
      <c r="C334" s="44">
        <v>0</v>
      </c>
      <c r="D334" s="45">
        <v>0.2</v>
      </c>
      <c r="E334" s="45">
        <v>0.4</v>
      </c>
      <c r="F334" s="46">
        <v>0.40600000000000003</v>
      </c>
      <c r="G334" s="46">
        <v>0.6</v>
      </c>
      <c r="H334" s="45">
        <v>2.1</v>
      </c>
      <c r="I334" s="47">
        <v>3.5</v>
      </c>
      <c r="J334" s="47">
        <v>3.8</v>
      </c>
      <c r="K334" s="45">
        <v>3.9</v>
      </c>
      <c r="L334" s="49">
        <v>4.4000000000000004</v>
      </c>
      <c r="M334" s="45"/>
      <c r="N334" s="47"/>
      <c r="O334" s="22"/>
    </row>
    <row r="335" spans="1:15" ht="18.75" customHeight="1">
      <c r="A335" s="42" t="s">
        <v>3</v>
      </c>
      <c r="B335" s="9"/>
      <c r="C335" s="44">
        <v>99.57</v>
      </c>
      <c r="D335" s="45">
        <v>99.26</v>
      </c>
      <c r="E335" s="45">
        <v>98.95</v>
      </c>
      <c r="F335" s="45">
        <v>98.95</v>
      </c>
      <c r="G335" s="45">
        <v>98.95</v>
      </c>
      <c r="H335" s="45">
        <v>98.95</v>
      </c>
      <c r="I335" s="45">
        <v>98.95</v>
      </c>
      <c r="J335" s="45">
        <v>98.95</v>
      </c>
      <c r="K335" s="45">
        <v>98.95</v>
      </c>
      <c r="L335" s="49">
        <v>99.45</v>
      </c>
      <c r="M335" s="45"/>
      <c r="N335" s="52"/>
      <c r="O335" s="23"/>
    </row>
    <row r="336" spans="1:15" ht="18.75" customHeight="1">
      <c r="A336" s="42" t="s">
        <v>18</v>
      </c>
      <c r="B336" s="9"/>
      <c r="C336" s="47">
        <f t="shared" ref="C336" si="93">C335-C333</f>
        <v>0</v>
      </c>
      <c r="D336" s="47">
        <f t="shared" ref="D336" si="94">D335-D333</f>
        <v>0</v>
      </c>
      <c r="E336" s="47">
        <f t="shared" ref="E336" si="95">E335-E333</f>
        <v>0</v>
      </c>
      <c r="F336" s="47">
        <f t="shared" ref="F336" si="96">F335-F333</f>
        <v>0</v>
      </c>
      <c r="G336" s="47">
        <f t="shared" ref="G336" si="97">G335-G333</f>
        <v>0.29999999999999716</v>
      </c>
      <c r="H336" s="47">
        <f t="shared" ref="H336" si="98">H335-H333</f>
        <v>0.29999999999999716</v>
      </c>
      <c r="I336" s="47">
        <f t="shared" ref="I336" si="99">I335-I333</f>
        <v>0.29999999999999716</v>
      </c>
      <c r="J336" s="47">
        <f t="shared" ref="J336" si="100">J335-J333</f>
        <v>0.10000000000000853</v>
      </c>
      <c r="K336" s="47">
        <f t="shared" ref="K336:L336" si="101">K335-K333</f>
        <v>0</v>
      </c>
      <c r="L336" s="47">
        <f t="shared" si="101"/>
        <v>0</v>
      </c>
      <c r="M336" s="47"/>
      <c r="N336" s="47"/>
      <c r="O336" s="21"/>
    </row>
    <row r="337" spans="1:15" ht="18.75" customHeight="1">
      <c r="A337" s="42" t="s">
        <v>5</v>
      </c>
      <c r="B337" s="9"/>
      <c r="C337" s="47">
        <f t="shared" ref="C337" si="102">(C336+B336)/2*(C332-B332)</f>
        <v>0</v>
      </c>
      <c r="D337" s="47">
        <f t="shared" ref="D337" si="103">(D336+C336)/2*(D332-C332)</f>
        <v>0</v>
      </c>
      <c r="E337" s="47">
        <f t="shared" ref="E337" si="104">(E336+D336)/2*(E332-D332)</f>
        <v>0</v>
      </c>
      <c r="F337" s="47">
        <f t="shared" ref="F337" si="105">(F336+E336)/2*(F332-E332)</f>
        <v>0</v>
      </c>
      <c r="G337" s="47">
        <f t="shared" ref="G337" si="106">(G336+F336)/2*(G332-F332)</f>
        <v>2.9099999999999716E-2</v>
      </c>
      <c r="H337" s="47">
        <f t="shared" ref="H337" si="107">(H336+G336)/2*(H332-G332)</f>
        <v>0.44999999999999574</v>
      </c>
      <c r="I337" s="47">
        <f t="shared" ref="I337" si="108">(I336+H336)/2*(I332-H332)</f>
        <v>0.41999999999999599</v>
      </c>
      <c r="J337" s="47">
        <f t="shared" ref="J337" si="109">(J336+I336)/2*(J332-I332)</f>
        <v>6.0000000000000817E-2</v>
      </c>
      <c r="K337" s="47">
        <f t="shared" ref="K337:L337" si="110">(K336+J336)/2*(K332-J332)</f>
        <v>5.0000000000004312E-3</v>
      </c>
      <c r="L337" s="47">
        <f t="shared" si="110"/>
        <v>0</v>
      </c>
      <c r="M337" s="47"/>
      <c r="N337" s="77">
        <f>SUM(B337:M337)</f>
        <v>0.96409999999999274</v>
      </c>
      <c r="O337" s="21"/>
    </row>
    <row r="338" spans="1:15" ht="18.75" customHeight="1">
      <c r="A338" s="2"/>
      <c r="B338" s="2"/>
      <c r="C338" s="30"/>
      <c r="D338" s="30"/>
      <c r="E338" s="4"/>
      <c r="F338" s="4"/>
      <c r="G338" s="4"/>
      <c r="H338" s="4"/>
      <c r="I338" s="4"/>
      <c r="J338" s="179" t="s">
        <v>6</v>
      </c>
      <c r="K338" s="179"/>
      <c r="L338" s="179"/>
      <c r="M338" s="179"/>
      <c r="N338" s="5">
        <f>N337</f>
        <v>0.96409999999999274</v>
      </c>
      <c r="O338" s="21"/>
    </row>
    <row r="339" spans="1:15" ht="18.75" customHeight="1">
      <c r="A339" s="24"/>
      <c r="B339" s="78"/>
      <c r="C339" s="18"/>
      <c r="D339" s="18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</row>
    <row r="340" spans="1:15" ht="18.75" customHeight="1">
      <c r="A340" s="2"/>
      <c r="B340" s="2"/>
      <c r="C340" s="30"/>
      <c r="D340" s="30"/>
      <c r="E340" s="21"/>
      <c r="F340" s="21"/>
      <c r="G340" s="21"/>
      <c r="H340" s="21"/>
      <c r="I340" s="21"/>
      <c r="J340" s="30"/>
      <c r="K340" s="30"/>
      <c r="L340" s="30"/>
      <c r="M340" s="30"/>
      <c r="N340" s="30"/>
    </row>
    <row r="341" spans="1:15" ht="14.1" customHeight="1">
      <c r="A341" s="6"/>
      <c r="B341" s="6"/>
      <c r="C341" s="7"/>
      <c r="D341" s="7"/>
      <c r="E341" s="7"/>
      <c r="F341" s="7"/>
      <c r="G341" s="7"/>
      <c r="H341" s="7"/>
      <c r="I341" s="7"/>
      <c r="K341" s="7"/>
      <c r="L341" s="7"/>
      <c r="M341" s="7"/>
      <c r="N341" s="7"/>
    </row>
    <row r="342" spans="1:15" ht="14.1" customHeight="1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</row>
    <row r="343" spans="1:15" ht="14.1" customHeight="1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</row>
    <row r="344" spans="1:15" ht="14.1" customHeight="1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</row>
    <row r="345" spans="1:15" ht="14.1" customHeight="1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</row>
    <row r="346" spans="1:15" ht="14.1" customHeight="1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</row>
    <row r="347" spans="1:15" ht="14.1" customHeight="1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</row>
    <row r="348" spans="1:15" ht="14.1" customHeight="1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</row>
    <row r="349" spans="1:15" ht="14.1" customHeight="1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</row>
    <row r="350" spans="1:15" ht="14.1" customHeight="1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</row>
    <row r="351" spans="1:15" ht="14.1" customHeight="1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</row>
    <row r="352" spans="1:15" ht="14.1" customHeight="1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</row>
    <row r="353" spans="1:15" ht="14.1" customHeight="1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</row>
    <row r="354" spans="1:15" ht="14.1" customHeight="1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</row>
    <row r="355" spans="1:15" ht="14.1" customHeight="1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</row>
    <row r="356" spans="1:15" ht="14.1" customHeight="1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</row>
    <row r="357" spans="1:15" ht="14.1" customHeight="1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</row>
    <row r="358" spans="1:15" ht="14.1" customHeight="1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</row>
    <row r="359" spans="1:15" ht="14.1" customHeight="1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</row>
    <row r="360" spans="1:15" ht="14.1" customHeight="1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</row>
    <row r="361" spans="1:15" ht="14.1" customHeight="1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</row>
    <row r="362" spans="1:15" ht="14.1" customHeight="1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</row>
    <row r="363" spans="1:15" ht="14.1" customHeight="1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</row>
    <row r="364" spans="1:15" ht="14.1" customHeight="1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</row>
    <row r="365" spans="1:15" ht="14.1" customHeight="1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</row>
    <row r="366" spans="1:15" ht="14.1" customHeight="1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</row>
    <row r="367" spans="1:15" ht="18" customHeight="1">
      <c r="A367" s="184" t="s">
        <v>0</v>
      </c>
      <c r="B367" s="185"/>
      <c r="C367" s="185"/>
      <c r="D367" s="185"/>
      <c r="E367" s="185"/>
      <c r="F367" s="185"/>
      <c r="G367" s="20">
        <v>540</v>
      </c>
      <c r="H367" s="1" t="s">
        <v>15</v>
      </c>
      <c r="I367" s="1"/>
      <c r="J367" s="32"/>
      <c r="K367" s="1"/>
      <c r="L367" s="1"/>
      <c r="M367" s="1"/>
      <c r="N367" s="1"/>
    </row>
    <row r="368" spans="1:15" ht="18" customHeight="1">
      <c r="A368" s="42" t="s">
        <v>1</v>
      </c>
      <c r="B368" s="43"/>
      <c r="C368" s="44">
        <v>0</v>
      </c>
      <c r="D368" s="45">
        <v>0.1</v>
      </c>
      <c r="E368" s="45">
        <v>0.5</v>
      </c>
      <c r="F368" s="46">
        <v>0.6</v>
      </c>
      <c r="G368" s="46">
        <v>2.1</v>
      </c>
      <c r="H368" s="45">
        <v>3.5</v>
      </c>
      <c r="I368" s="47">
        <v>3.8</v>
      </c>
      <c r="J368" s="47">
        <v>4.4000000000000004</v>
      </c>
      <c r="K368" s="45"/>
      <c r="L368" s="49"/>
      <c r="M368" s="45"/>
      <c r="N368" s="47"/>
      <c r="O368" s="22"/>
    </row>
    <row r="369" spans="1:15" ht="18" customHeight="1">
      <c r="A369" s="42" t="s">
        <v>2</v>
      </c>
      <c r="B369" s="43"/>
      <c r="C369" s="44">
        <v>99.59</v>
      </c>
      <c r="D369" s="45">
        <v>99.35</v>
      </c>
      <c r="E369" s="45">
        <v>98.597999999999999</v>
      </c>
      <c r="F369" s="45">
        <v>98.41</v>
      </c>
      <c r="G369" s="45">
        <v>98.41</v>
      </c>
      <c r="H369" s="45">
        <v>98.41</v>
      </c>
      <c r="I369" s="45">
        <v>98.61</v>
      </c>
      <c r="J369" s="45">
        <v>99.34</v>
      </c>
      <c r="K369" s="45"/>
      <c r="L369" s="49"/>
      <c r="M369" s="45"/>
      <c r="N369" s="47"/>
      <c r="O369" s="21"/>
    </row>
    <row r="370" spans="1:15" ht="18" customHeight="1">
      <c r="A370" s="42" t="s">
        <v>1</v>
      </c>
      <c r="B370" s="43"/>
      <c r="C370" s="44">
        <v>0</v>
      </c>
      <c r="D370" s="45">
        <v>0.1</v>
      </c>
      <c r="E370" s="45">
        <v>0.5</v>
      </c>
      <c r="F370" s="46">
        <v>0.6</v>
      </c>
      <c r="G370" s="46">
        <v>2.1</v>
      </c>
      <c r="H370" s="45">
        <v>3.5</v>
      </c>
      <c r="I370" s="47">
        <v>3.8</v>
      </c>
      <c r="J370" s="47">
        <v>4.4000000000000004</v>
      </c>
      <c r="K370" s="45"/>
      <c r="L370" s="49"/>
      <c r="M370" s="45"/>
      <c r="N370" s="47"/>
      <c r="O370" s="22"/>
    </row>
    <row r="371" spans="1:15" ht="18" customHeight="1">
      <c r="A371" s="42" t="s">
        <v>3</v>
      </c>
      <c r="B371" s="9"/>
      <c r="C371" s="44">
        <v>99.59</v>
      </c>
      <c r="D371" s="45">
        <v>99.424999999999997</v>
      </c>
      <c r="E371" s="45">
        <v>98.75</v>
      </c>
      <c r="F371" s="45">
        <v>98.75</v>
      </c>
      <c r="G371" s="45">
        <v>98.75</v>
      </c>
      <c r="H371" s="45">
        <v>98.75</v>
      </c>
      <c r="I371" s="45">
        <v>98.75</v>
      </c>
      <c r="J371" s="45">
        <v>99.34</v>
      </c>
      <c r="K371" s="45"/>
      <c r="L371" s="49"/>
      <c r="M371" s="45"/>
      <c r="N371" s="52"/>
      <c r="O371" s="23"/>
    </row>
    <row r="372" spans="1:15" ht="18" customHeight="1">
      <c r="A372" s="42" t="s">
        <v>18</v>
      </c>
      <c r="B372" s="9"/>
      <c r="C372" s="47">
        <f t="shared" ref="C372" si="111">C369-C371</f>
        <v>0</v>
      </c>
      <c r="D372" s="47">
        <f>D371-D369</f>
        <v>7.5000000000002842E-2</v>
      </c>
      <c r="E372" s="47">
        <f t="shared" ref="E372" si="112">E371-E369</f>
        <v>0.15200000000000102</v>
      </c>
      <c r="F372" s="47">
        <f t="shared" ref="F372" si="113">F371-F369</f>
        <v>0.34000000000000341</v>
      </c>
      <c r="G372" s="47">
        <f t="shared" ref="G372" si="114">G371-G369</f>
        <v>0.34000000000000341</v>
      </c>
      <c r="H372" s="47">
        <f t="shared" ref="H372" si="115">H371-H369</f>
        <v>0.34000000000000341</v>
      </c>
      <c r="I372" s="47">
        <f t="shared" ref="I372" si="116">I371-I369</f>
        <v>0.14000000000000057</v>
      </c>
      <c r="J372" s="47">
        <f t="shared" ref="J372" si="117">J371-J369</f>
        <v>0</v>
      </c>
      <c r="K372" s="47"/>
      <c r="L372" s="47"/>
      <c r="M372" s="47"/>
      <c r="N372" s="47"/>
      <c r="O372" s="21"/>
    </row>
    <row r="373" spans="1:15" ht="18" customHeight="1">
      <c r="A373" s="42" t="s">
        <v>5</v>
      </c>
      <c r="B373" s="9"/>
      <c r="C373" s="47">
        <f t="shared" ref="C373" si="118">(C372+B372)/2*(C368-B368)</f>
        <v>0</v>
      </c>
      <c r="D373" s="47">
        <f>(D372+C372)/2*(D368-C368)</f>
        <v>3.7500000000001421E-3</v>
      </c>
      <c r="E373" s="47">
        <f t="shared" ref="E373" si="119">(E372+D372)/2*(E368-D368)</f>
        <v>4.5400000000000773E-2</v>
      </c>
      <c r="F373" s="47">
        <f t="shared" ref="F373" si="120">(F372+E372)/2*(F368-E368)</f>
        <v>2.4600000000000215E-2</v>
      </c>
      <c r="G373" s="47">
        <f t="shared" ref="G373" si="121">(G372+F372)/2*(G368-F368)</f>
        <v>0.51000000000000512</v>
      </c>
      <c r="H373" s="47">
        <f t="shared" ref="H373" si="122">(H372+G372)/2*(H368-G368)</f>
        <v>0.47600000000000475</v>
      </c>
      <c r="I373" s="47">
        <f t="shared" ref="I373" si="123">(I372+H372)/2*(I368-H368)</f>
        <v>7.200000000000055E-2</v>
      </c>
      <c r="J373" s="47">
        <f t="shared" ref="J373" si="124">(J372+I372)/2*(J368-I368)</f>
        <v>4.2000000000000211E-2</v>
      </c>
      <c r="K373" s="47"/>
      <c r="L373" s="47"/>
      <c r="M373" s="47"/>
      <c r="N373" s="77">
        <f>SUM(B373:M373)</f>
        <v>1.1737500000000116</v>
      </c>
      <c r="O373" s="21"/>
    </row>
    <row r="374" spans="1:15" ht="18" customHeight="1">
      <c r="A374" s="2"/>
      <c r="B374" s="2"/>
      <c r="C374" s="30"/>
      <c r="D374" s="30"/>
      <c r="E374" s="4"/>
      <c r="F374" s="4"/>
      <c r="G374" s="4"/>
      <c r="H374" s="4"/>
      <c r="I374" s="4"/>
      <c r="J374" s="179" t="s">
        <v>6</v>
      </c>
      <c r="K374" s="179"/>
      <c r="L374" s="179"/>
      <c r="M374" s="179"/>
      <c r="N374" s="5">
        <f>N373</f>
        <v>1.1737500000000116</v>
      </c>
      <c r="O374" s="21"/>
    </row>
    <row r="375" spans="1:15" ht="18" customHeight="1">
      <c r="A375" s="24"/>
      <c r="B375" s="78"/>
      <c r="C375" s="18"/>
      <c r="D375" s="18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>
        <f>SUM(E375:N375)</f>
        <v>0</v>
      </c>
    </row>
    <row r="376" spans="1:15" ht="14.1" customHeight="1">
      <c r="A376" s="2"/>
      <c r="B376" s="2"/>
      <c r="C376" s="30"/>
      <c r="D376" s="30"/>
      <c r="E376" s="21"/>
      <c r="F376" s="21"/>
      <c r="G376" s="21"/>
      <c r="H376" s="21"/>
      <c r="I376" s="21"/>
      <c r="J376" s="30"/>
      <c r="K376" s="30"/>
      <c r="L376" s="30"/>
      <c r="M376" s="30"/>
      <c r="N376" s="30"/>
    </row>
    <row r="377" spans="1:15" ht="14.1" customHeight="1">
      <c r="A377" s="6"/>
      <c r="B377" s="6"/>
      <c r="C377" s="7"/>
      <c r="D377" s="7"/>
      <c r="E377" s="7"/>
      <c r="F377" s="7"/>
      <c r="G377" s="7"/>
      <c r="H377" s="7"/>
      <c r="I377" s="7"/>
      <c r="K377" s="7"/>
      <c r="L377" s="7"/>
      <c r="M377" s="7"/>
      <c r="N377" s="7"/>
    </row>
    <row r="378" spans="1:15" ht="14.1" customHeight="1">
      <c r="A378" s="2"/>
      <c r="B378" s="2"/>
      <c r="C378" s="30"/>
      <c r="D378" s="30"/>
      <c r="E378" s="4"/>
      <c r="F378" s="4"/>
      <c r="G378" s="4"/>
      <c r="H378" s="4"/>
      <c r="I378" s="4"/>
      <c r="J378" s="30"/>
      <c r="K378" s="30"/>
      <c r="L378" s="30"/>
      <c r="M378" s="30"/>
      <c r="N378" s="30"/>
    </row>
    <row r="379" spans="1:15" ht="14.1" customHeight="1">
      <c r="A379" s="6"/>
      <c r="B379" s="6"/>
      <c r="C379" s="7"/>
      <c r="D379" s="7"/>
      <c r="E379" s="7"/>
      <c r="F379" s="7"/>
      <c r="G379" s="7"/>
      <c r="H379" s="7"/>
      <c r="I379" s="7"/>
      <c r="K379" s="7"/>
      <c r="L379" s="7"/>
      <c r="M379" s="7"/>
      <c r="N379" s="7"/>
    </row>
    <row r="380" spans="1:15" ht="14.1" customHeight="1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</row>
    <row r="381" spans="1:15" ht="14.1" customHeight="1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</row>
    <row r="382" spans="1:15" ht="14.1" customHeight="1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</row>
    <row r="383" spans="1:15" ht="14.1" customHeight="1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</row>
    <row r="384" spans="1:15" ht="14.1" customHeight="1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</row>
    <row r="385" spans="1:14" ht="14.1" customHeight="1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</row>
    <row r="386" spans="1:14" ht="14.1" customHeight="1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</row>
    <row r="387" spans="1:14" ht="14.1" customHeight="1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</row>
    <row r="388" spans="1:14" ht="14.1" customHeight="1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</row>
    <row r="389" spans="1:14" ht="14.1" customHeight="1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</row>
    <row r="390" spans="1:14" ht="14.1" customHeight="1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</row>
    <row r="391" spans="1:14" ht="14.1" customHeight="1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</row>
    <row r="392" spans="1:14" ht="14.1" customHeight="1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</row>
    <row r="393" spans="1:14" ht="14.1" customHeight="1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</row>
    <row r="394" spans="1:14" ht="14.1" customHeight="1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</row>
    <row r="395" spans="1:14" ht="14.1" customHeight="1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</row>
    <row r="396" spans="1:14" ht="14.1" customHeight="1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</row>
    <row r="397" spans="1:14" ht="14.1" customHeight="1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</row>
    <row r="398" spans="1:14" ht="14.1" customHeight="1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</row>
    <row r="399" spans="1:14" ht="14.1" customHeight="1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</row>
    <row r="400" spans="1:14" ht="14.1" customHeight="1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</row>
    <row r="401" spans="1:14" ht="14.1" customHeight="1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</row>
    <row r="402" spans="1:14" ht="14.1" customHeight="1">
      <c r="A402" s="6"/>
      <c r="B402" s="181"/>
      <c r="C402" s="181"/>
      <c r="D402" s="181"/>
      <c r="E402" s="25"/>
      <c r="F402" s="25"/>
      <c r="G402" s="167"/>
      <c r="H402" s="167"/>
      <c r="I402" s="167"/>
      <c r="J402" s="7"/>
      <c r="K402" s="182"/>
      <c r="L402" s="182"/>
      <c r="M402" s="7"/>
      <c r="N402" s="7"/>
    </row>
    <row r="403" spans="1:14" ht="14.1" customHeight="1">
      <c r="A403" s="6"/>
      <c r="B403" s="170"/>
      <c r="C403" s="170"/>
      <c r="D403" s="170"/>
      <c r="E403" s="26"/>
      <c r="F403" s="26"/>
      <c r="G403" s="170"/>
      <c r="H403" s="170"/>
      <c r="I403" s="170"/>
      <c r="J403" s="25"/>
      <c r="K403" s="171"/>
      <c r="L403" s="171"/>
      <c r="M403" s="7"/>
      <c r="N403" s="7"/>
    </row>
    <row r="404" spans="1:14" ht="14.1" customHeight="1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</row>
    <row r="405" spans="1:14" ht="14.1" customHeight="1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</row>
    <row r="406" spans="1:14" ht="14.1" customHeight="1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</row>
    <row r="407" spans="1:14" ht="14.1" customHeight="1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</row>
    <row r="408" spans="1:14" ht="14.1" customHeight="1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</row>
    <row r="409" spans="1:14" ht="14.1" customHeight="1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</row>
    <row r="410" spans="1:14" ht="14.1" customHeight="1">
      <c r="A410" s="6"/>
      <c r="B410" s="181"/>
      <c r="C410" s="181"/>
      <c r="D410" s="181"/>
      <c r="E410" s="25"/>
      <c r="F410" s="25"/>
      <c r="G410" s="167"/>
      <c r="H410" s="167"/>
      <c r="I410" s="167"/>
      <c r="J410" s="7"/>
      <c r="K410" s="182"/>
      <c r="L410" s="182"/>
      <c r="M410" s="7"/>
      <c r="N410" s="7"/>
    </row>
    <row r="411" spans="1:14" ht="14.1" customHeight="1">
      <c r="A411" s="6"/>
      <c r="B411" s="170"/>
      <c r="C411" s="170"/>
      <c r="D411" s="170"/>
      <c r="E411" s="26"/>
      <c r="F411" s="26"/>
      <c r="G411" s="170"/>
      <c r="H411" s="170"/>
      <c r="I411" s="170"/>
      <c r="J411" s="25"/>
      <c r="K411" s="171"/>
      <c r="L411" s="171"/>
      <c r="M411" s="7"/>
      <c r="N411" s="7"/>
    </row>
    <row r="412" spans="1:14" ht="14.1" customHeight="1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</row>
    <row r="413" spans="1:14" ht="14.1" customHeight="1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</row>
    <row r="414" spans="1:14" ht="18" customHeight="1">
      <c r="A414" s="184" t="s">
        <v>0</v>
      </c>
      <c r="B414" s="185"/>
      <c r="C414" s="185"/>
      <c r="D414" s="185"/>
      <c r="E414" s="185"/>
      <c r="F414" s="185"/>
      <c r="G414" s="20">
        <v>600</v>
      </c>
      <c r="H414" s="1" t="s">
        <v>15</v>
      </c>
      <c r="I414" s="1"/>
      <c r="J414" s="32"/>
      <c r="K414" s="1"/>
      <c r="L414" s="1"/>
      <c r="M414" s="1"/>
      <c r="N414" s="1"/>
    </row>
    <row r="415" spans="1:14" ht="18" customHeight="1">
      <c r="A415" s="42" t="s">
        <v>1</v>
      </c>
      <c r="B415" s="43"/>
      <c r="C415" s="44">
        <v>0</v>
      </c>
      <c r="D415" s="45">
        <v>0.5</v>
      </c>
      <c r="E415" s="45">
        <v>0.6</v>
      </c>
      <c r="F415" s="46">
        <v>1.2</v>
      </c>
      <c r="G415" s="46">
        <v>2.4</v>
      </c>
      <c r="H415" s="45">
        <v>3.6</v>
      </c>
      <c r="I415" s="47">
        <v>3.7</v>
      </c>
      <c r="J415" s="47">
        <v>3.9</v>
      </c>
      <c r="K415" s="45">
        <v>4.0999999999999996</v>
      </c>
      <c r="L415" s="49"/>
      <c r="M415" s="45"/>
      <c r="N415" s="47"/>
    </row>
    <row r="416" spans="1:14" ht="18" customHeight="1">
      <c r="A416" s="42" t="s">
        <v>2</v>
      </c>
      <c r="B416" s="43"/>
      <c r="C416" s="44">
        <v>99.32</v>
      </c>
      <c r="D416" s="45">
        <v>98.484999999999999</v>
      </c>
      <c r="E416" s="45">
        <v>98.32</v>
      </c>
      <c r="F416" s="45">
        <v>98.31</v>
      </c>
      <c r="G416" s="45">
        <v>98.31</v>
      </c>
      <c r="H416" s="45">
        <v>98.31</v>
      </c>
      <c r="I416" s="45">
        <v>98.51</v>
      </c>
      <c r="J416" s="45">
        <v>98.91</v>
      </c>
      <c r="K416" s="45">
        <v>99.17</v>
      </c>
      <c r="L416" s="49"/>
      <c r="M416" s="45"/>
      <c r="N416" s="47"/>
    </row>
    <row r="417" spans="1:15" ht="18" customHeight="1">
      <c r="A417" s="42" t="s">
        <v>1</v>
      </c>
      <c r="B417" s="43"/>
      <c r="C417" s="44">
        <v>0</v>
      </c>
      <c r="D417" s="45">
        <v>0.5</v>
      </c>
      <c r="E417" s="45">
        <v>0.6</v>
      </c>
      <c r="F417" s="46">
        <v>1.2</v>
      </c>
      <c r="G417" s="46">
        <v>2.4</v>
      </c>
      <c r="H417" s="45">
        <v>3.6</v>
      </c>
      <c r="I417" s="47">
        <v>3.7</v>
      </c>
      <c r="J417" s="47">
        <v>3.9</v>
      </c>
      <c r="K417" s="45">
        <v>4.0999999999999996</v>
      </c>
      <c r="L417" s="49"/>
      <c r="M417" s="45"/>
      <c r="N417" s="47"/>
    </row>
    <row r="418" spans="1:15" ht="18" customHeight="1">
      <c r="A418" s="42" t="s">
        <v>3</v>
      </c>
      <c r="B418" s="9"/>
      <c r="C418" s="44">
        <v>99.32</v>
      </c>
      <c r="D418" s="45">
        <v>98.65</v>
      </c>
      <c r="E418" s="45">
        <v>98.65</v>
      </c>
      <c r="F418" s="45">
        <v>98.65</v>
      </c>
      <c r="G418" s="45">
        <v>98.65</v>
      </c>
      <c r="H418" s="45">
        <v>98.65</v>
      </c>
      <c r="I418" s="45">
        <v>98.65</v>
      </c>
      <c r="J418" s="45">
        <v>98.91</v>
      </c>
      <c r="K418" s="45">
        <v>99.17</v>
      </c>
      <c r="L418" s="49"/>
      <c r="M418" s="45"/>
      <c r="N418" s="52"/>
    </row>
    <row r="419" spans="1:15" ht="18" customHeight="1">
      <c r="A419" s="42" t="s">
        <v>18</v>
      </c>
      <c r="B419" s="9"/>
      <c r="C419" s="47">
        <f t="shared" ref="C419" si="125">C416-C418</f>
        <v>0</v>
      </c>
      <c r="D419" s="47">
        <f>D418-D416</f>
        <v>0.16500000000000625</v>
      </c>
      <c r="E419" s="47">
        <f t="shared" ref="E419" si="126">E418-E416</f>
        <v>0.33000000000001251</v>
      </c>
      <c r="F419" s="47">
        <f t="shared" ref="F419" si="127">F418-F416</f>
        <v>0.34000000000000341</v>
      </c>
      <c r="G419" s="47">
        <f t="shared" ref="G419" si="128">G418-G416</f>
        <v>0.34000000000000341</v>
      </c>
      <c r="H419" s="47">
        <f t="shared" ref="H419" si="129">H418-H416</f>
        <v>0.34000000000000341</v>
      </c>
      <c r="I419" s="47">
        <f t="shared" ref="I419" si="130">I418-I416</f>
        <v>0.14000000000000057</v>
      </c>
      <c r="J419" s="47">
        <f t="shared" ref="J419" si="131">J418-J416</f>
        <v>0</v>
      </c>
      <c r="K419" s="47">
        <f t="shared" ref="K419" si="132">K418-K416</f>
        <v>0</v>
      </c>
      <c r="L419" s="47"/>
      <c r="M419" s="47"/>
      <c r="N419" s="47"/>
    </row>
    <row r="420" spans="1:15" ht="18" customHeight="1">
      <c r="A420" s="42" t="s">
        <v>5</v>
      </c>
      <c r="B420" s="9"/>
      <c r="C420" s="47">
        <f t="shared" ref="C420" si="133">(C419+B419)/2*(C415-B415)</f>
        <v>0</v>
      </c>
      <c r="D420" s="47">
        <f>(D419+C419)/2*(D415-C415)</f>
        <v>4.1250000000001563E-2</v>
      </c>
      <c r="E420" s="47">
        <f t="shared" ref="E420" si="134">(E419+D419)/2*(E415-D415)</f>
        <v>2.4750000000000931E-2</v>
      </c>
      <c r="F420" s="47">
        <f t="shared" ref="F420" si="135">(F419+E419)/2*(F415-E415)</f>
        <v>0.20100000000000476</v>
      </c>
      <c r="G420" s="47">
        <f t="shared" ref="G420" si="136">(G419+F419)/2*(G415-F415)</f>
        <v>0.40800000000000408</v>
      </c>
      <c r="H420" s="47">
        <f t="shared" ref="H420" si="137">(H419+G419)/2*(H415-G415)</f>
        <v>0.40800000000000414</v>
      </c>
      <c r="I420" s="47">
        <f t="shared" ref="I420" si="138">(I419+H419)/2*(I415-H415)</f>
        <v>2.4000000000000219E-2</v>
      </c>
      <c r="J420" s="47">
        <f t="shared" ref="J420" si="139">(J419+I419)/2*(J415-I415)</f>
        <v>1.4000000000000038E-2</v>
      </c>
      <c r="K420" s="47">
        <f t="shared" ref="K420" si="140">(K419+J419)/2*(K415-J415)</f>
        <v>0</v>
      </c>
      <c r="L420" s="47"/>
      <c r="M420" s="47"/>
      <c r="N420" s="77">
        <f>SUM(B420:M420)</f>
        <v>1.1210000000000158</v>
      </c>
    </row>
    <row r="421" spans="1:15" ht="18" customHeight="1">
      <c r="A421" s="2"/>
      <c r="B421" s="2"/>
      <c r="C421" s="30"/>
      <c r="D421" s="30"/>
      <c r="E421" s="4"/>
      <c r="F421" s="4"/>
      <c r="G421" s="4"/>
      <c r="H421" s="4"/>
      <c r="I421" s="4"/>
      <c r="J421" s="179" t="s">
        <v>6</v>
      </c>
      <c r="K421" s="179"/>
      <c r="L421" s="179"/>
      <c r="M421" s="179"/>
      <c r="N421" s="5">
        <f>N420</f>
        <v>1.1210000000000158</v>
      </c>
      <c r="O421">
        <v>3.28</v>
      </c>
    </row>
    <row r="422" spans="1:15" ht="18" customHeight="1">
      <c r="A422" s="24"/>
      <c r="B422" s="78"/>
      <c r="C422" s="18"/>
      <c r="D422" s="18"/>
      <c r="E422" s="21"/>
      <c r="F422" s="21"/>
      <c r="G422" s="21"/>
      <c r="H422" s="21"/>
      <c r="I422" s="21"/>
      <c r="J422" s="21"/>
      <c r="K422" s="21"/>
      <c r="L422" s="21"/>
      <c r="M422" s="21"/>
      <c r="N422" s="21"/>
    </row>
    <row r="423" spans="1:15" ht="14.1" customHeight="1">
      <c r="A423" s="2"/>
      <c r="B423" s="2"/>
      <c r="C423" s="30"/>
      <c r="D423" s="30"/>
      <c r="E423" s="21"/>
      <c r="F423" s="21"/>
      <c r="G423" s="21"/>
      <c r="H423" s="21"/>
      <c r="I423" s="21"/>
      <c r="J423" s="30"/>
      <c r="K423" s="30"/>
      <c r="L423" s="30"/>
      <c r="M423" s="30"/>
      <c r="N423" s="30"/>
    </row>
    <row r="424" spans="1:15" ht="14.1" customHeight="1">
      <c r="A424" s="6"/>
      <c r="B424" s="6"/>
      <c r="C424" s="7"/>
      <c r="D424" s="7"/>
      <c r="E424" s="7"/>
      <c r="F424" s="7"/>
      <c r="G424" s="7"/>
      <c r="H424" s="7"/>
      <c r="I424" s="7"/>
      <c r="K424" s="7"/>
      <c r="L424" s="7"/>
      <c r="M424" s="7"/>
      <c r="N424" s="7"/>
    </row>
    <row r="425" spans="1:15" ht="14.1" customHeight="1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</row>
    <row r="426" spans="1:15" ht="14.1" customHeight="1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</row>
    <row r="427" spans="1:15" ht="14.1" customHeight="1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</row>
    <row r="428" spans="1:15" ht="14.1" customHeight="1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</row>
    <row r="429" spans="1:15" ht="14.1" customHeight="1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</row>
    <row r="430" spans="1:15" ht="14.1" customHeight="1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</row>
    <row r="431" spans="1:15" ht="14.1" customHeight="1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</row>
    <row r="432" spans="1:15" ht="14.1" customHeight="1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</row>
    <row r="433" spans="1:14" ht="14.1" customHeight="1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</row>
    <row r="434" spans="1:14" ht="14.1" customHeight="1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</row>
    <row r="435" spans="1:14" ht="14.1" customHeight="1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</row>
    <row r="436" spans="1:14" ht="14.1" customHeight="1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</row>
    <row r="437" spans="1:14" ht="14.1" customHeight="1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</row>
    <row r="438" spans="1:14" ht="14.1" customHeight="1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</row>
    <row r="439" spans="1:14" ht="14.1" customHeight="1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</row>
    <row r="440" spans="1:14" ht="14.1" customHeight="1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</row>
    <row r="441" spans="1:14" ht="14.1" customHeight="1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</row>
    <row r="442" spans="1:14" ht="14.1" customHeight="1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</row>
    <row r="443" spans="1:14" ht="14.1" customHeight="1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</row>
    <row r="444" spans="1:14" ht="14.1" customHeight="1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</row>
    <row r="445" spans="1:14" ht="14.1" customHeight="1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</row>
    <row r="446" spans="1:14" ht="14.1" customHeight="1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</row>
    <row r="447" spans="1:14" ht="14.1" customHeight="1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</row>
    <row r="448" spans="1:14" ht="14.1" customHeight="1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</row>
    <row r="449" spans="1:14" ht="14.1" customHeight="1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</row>
    <row r="450" spans="1:14" ht="14.1" customHeight="1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</row>
    <row r="451" spans="1:14" ht="14.1" customHeight="1">
      <c r="B451" s="181"/>
      <c r="C451" s="181"/>
      <c r="D451" s="181"/>
      <c r="E451" s="25"/>
      <c r="F451" s="25"/>
      <c r="G451" s="167"/>
      <c r="H451" s="167"/>
      <c r="I451" s="167"/>
      <c r="J451" s="7"/>
      <c r="K451" s="182"/>
      <c r="L451" s="182"/>
    </row>
    <row r="452" spans="1:14" ht="14.1" customHeight="1">
      <c r="B452" s="170"/>
      <c r="C452" s="170"/>
      <c r="D452" s="170"/>
      <c r="E452" s="26"/>
      <c r="F452" s="26"/>
      <c r="G452" s="170"/>
      <c r="H452" s="170"/>
      <c r="I452" s="170"/>
      <c r="J452" s="25"/>
      <c r="K452" s="171"/>
      <c r="L452" s="171"/>
    </row>
    <row r="453" spans="1:14" ht="14.1" customHeight="1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</row>
    <row r="454" spans="1:14" ht="14.1" customHeight="1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</row>
    <row r="455" spans="1:14" ht="14.1" customHeight="1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</row>
    <row r="456" spans="1:14" ht="14.1" customHeight="1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</row>
    <row r="457" spans="1:14" ht="14.1" customHeight="1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</row>
    <row r="458" spans="1:14" ht="14.1" customHeight="1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</row>
    <row r="459" spans="1:14" ht="14.1" customHeight="1"/>
    <row r="460" spans="1:14" ht="14.1" customHeight="1"/>
    <row r="461" spans="1:14" ht="14.1" customHeight="1"/>
    <row r="462" spans="1:14" ht="14.1" customHeight="1"/>
    <row r="463" spans="1:14" ht="18" customHeight="1">
      <c r="A463" s="184" t="s">
        <v>0</v>
      </c>
      <c r="B463" s="185"/>
      <c r="C463" s="185"/>
      <c r="D463" s="185"/>
      <c r="E463" s="185"/>
      <c r="F463" s="185"/>
      <c r="G463" s="20">
        <v>660</v>
      </c>
      <c r="H463" s="1" t="s">
        <v>15</v>
      </c>
      <c r="I463" s="1"/>
      <c r="J463" s="33"/>
      <c r="K463" s="1"/>
      <c r="L463" s="1"/>
      <c r="M463" s="1"/>
      <c r="N463" s="1"/>
    </row>
    <row r="464" spans="1:14" ht="18" customHeight="1">
      <c r="A464" s="42" t="s">
        <v>1</v>
      </c>
      <c r="B464" s="43"/>
      <c r="C464" s="44">
        <v>0</v>
      </c>
      <c r="D464" s="45">
        <v>0.4</v>
      </c>
      <c r="E464" s="45">
        <v>0.5</v>
      </c>
      <c r="F464" s="46">
        <v>1.2</v>
      </c>
      <c r="G464" s="46">
        <v>3.5</v>
      </c>
      <c r="H464" s="45">
        <v>3.7</v>
      </c>
      <c r="I464" s="47">
        <v>4</v>
      </c>
      <c r="J464" s="47">
        <v>4.5</v>
      </c>
      <c r="K464" s="45"/>
      <c r="L464" s="49"/>
      <c r="M464" s="45"/>
      <c r="N464" s="47"/>
    </row>
    <row r="465" spans="1:15" ht="18" customHeight="1">
      <c r="A465" s="42" t="s">
        <v>2</v>
      </c>
      <c r="B465" s="43"/>
      <c r="C465" s="44">
        <v>99.5</v>
      </c>
      <c r="D465" s="45">
        <v>98.531999999999996</v>
      </c>
      <c r="E465" s="45">
        <v>98.29</v>
      </c>
      <c r="F465" s="45">
        <v>98.29</v>
      </c>
      <c r="G465" s="45">
        <v>98.29</v>
      </c>
      <c r="H465" s="45">
        <v>98.53</v>
      </c>
      <c r="I465" s="45">
        <v>98.89</v>
      </c>
      <c r="J465" s="45">
        <v>99.49</v>
      </c>
      <c r="K465" s="45"/>
      <c r="L465" s="49"/>
      <c r="M465" s="45"/>
      <c r="N465" s="47"/>
    </row>
    <row r="466" spans="1:15" ht="18" customHeight="1">
      <c r="A466" s="42" t="s">
        <v>1</v>
      </c>
      <c r="B466" s="43"/>
      <c r="C466" s="44">
        <v>0</v>
      </c>
      <c r="D466" s="45">
        <v>0.4</v>
      </c>
      <c r="E466" s="45">
        <v>0.5</v>
      </c>
      <c r="F466" s="46">
        <v>1.2</v>
      </c>
      <c r="G466" s="46">
        <v>3.5</v>
      </c>
      <c r="H466" s="45">
        <v>3.7</v>
      </c>
      <c r="I466" s="47">
        <v>4</v>
      </c>
      <c r="J466" s="47">
        <v>4.5</v>
      </c>
      <c r="K466" s="45"/>
      <c r="L466" s="49"/>
      <c r="M466" s="45"/>
      <c r="N466" s="47"/>
    </row>
    <row r="467" spans="1:15" ht="18" customHeight="1">
      <c r="A467" s="42" t="s">
        <v>3</v>
      </c>
      <c r="B467" s="9"/>
      <c r="C467" s="44">
        <v>99.5</v>
      </c>
      <c r="D467" s="45">
        <v>98.68</v>
      </c>
      <c r="E467" s="45">
        <v>98.68</v>
      </c>
      <c r="F467" s="45">
        <v>98.68</v>
      </c>
      <c r="G467" s="45">
        <v>98.68</v>
      </c>
      <c r="H467" s="45">
        <v>98.68</v>
      </c>
      <c r="I467" s="45">
        <v>98.983999999999995</v>
      </c>
      <c r="J467" s="45">
        <v>99.49</v>
      </c>
      <c r="K467" s="45"/>
      <c r="L467" s="49"/>
      <c r="M467" s="45"/>
      <c r="N467" s="52"/>
    </row>
    <row r="468" spans="1:15" ht="18" customHeight="1">
      <c r="A468" s="42" t="s">
        <v>18</v>
      </c>
      <c r="B468" s="9"/>
      <c r="C468" s="47">
        <f t="shared" ref="C468" si="141">C465-C467</f>
        <v>0</v>
      </c>
      <c r="D468" s="47">
        <f>D467-D465</f>
        <v>0.14800000000001035</v>
      </c>
      <c r="E468" s="47">
        <f t="shared" ref="E468" si="142">E467-E465</f>
        <v>0.39000000000000057</v>
      </c>
      <c r="F468" s="47">
        <f t="shared" ref="F468" si="143">F467-F465</f>
        <v>0.39000000000000057</v>
      </c>
      <c r="G468" s="47">
        <f t="shared" ref="G468" si="144">G467-G465</f>
        <v>0.39000000000000057</v>
      </c>
      <c r="H468" s="47">
        <f t="shared" ref="H468" si="145">H467-H465</f>
        <v>0.15000000000000568</v>
      </c>
      <c r="I468" s="47">
        <f t="shared" ref="I468" si="146">I467-I465</f>
        <v>9.3999999999994088E-2</v>
      </c>
      <c r="J468" s="47">
        <f t="shared" ref="J468" si="147">J467-J465</f>
        <v>0</v>
      </c>
      <c r="K468" s="47"/>
      <c r="L468" s="47"/>
      <c r="M468" s="47"/>
      <c r="N468" s="47"/>
    </row>
    <row r="469" spans="1:15" ht="18" customHeight="1">
      <c r="A469" s="42" t="s">
        <v>5</v>
      </c>
      <c r="B469" s="9"/>
      <c r="C469" s="47">
        <f t="shared" ref="C469" si="148">(C468+B468)/2*(C464-B464)</f>
        <v>0</v>
      </c>
      <c r="D469" s="47">
        <f>(D468+C468)/2*(D464-C464)</f>
        <v>2.9600000000002069E-2</v>
      </c>
      <c r="E469" s="47">
        <f t="shared" ref="E469" si="149">(E468+D468)/2*(E464-D464)</f>
        <v>2.6900000000000538E-2</v>
      </c>
      <c r="F469" s="47">
        <f t="shared" ref="F469" si="150">(F468+E468)/2*(F464-E464)</f>
        <v>0.27300000000000035</v>
      </c>
      <c r="G469" s="47">
        <f t="shared" ref="G469" si="151">(G468+F468)/2*(G464-F464)</f>
        <v>0.89700000000000124</v>
      </c>
      <c r="H469" s="47">
        <f t="shared" ref="H469" si="152">(H468+G468)/2*(H464-G464)</f>
        <v>5.4000000000000672E-2</v>
      </c>
      <c r="I469" s="47">
        <f t="shared" ref="I469" si="153">(I468+H468)/2*(I464-H464)</f>
        <v>3.6599999999999945E-2</v>
      </c>
      <c r="J469" s="47">
        <f t="shared" ref="J469" si="154">(J468+I468)/2*(J464-I464)</f>
        <v>2.3499999999998522E-2</v>
      </c>
      <c r="K469" s="47"/>
      <c r="L469" s="47"/>
      <c r="M469" s="47"/>
      <c r="N469" s="77">
        <f>SUM(B469:M469)</f>
        <v>1.3406000000000033</v>
      </c>
    </row>
    <row r="470" spans="1:15" ht="18" customHeight="1">
      <c r="A470" s="2"/>
      <c r="B470" s="2"/>
      <c r="C470" s="30"/>
      <c r="D470" s="30"/>
      <c r="E470" s="4"/>
      <c r="F470" s="4"/>
      <c r="G470" s="4"/>
      <c r="H470" s="4"/>
      <c r="I470" s="4"/>
      <c r="J470" s="179" t="s">
        <v>6</v>
      </c>
      <c r="K470" s="179"/>
      <c r="L470" s="179"/>
      <c r="M470" s="179"/>
      <c r="N470" s="5">
        <f>N469</f>
        <v>1.3406000000000033</v>
      </c>
      <c r="O470" s="75"/>
    </row>
    <row r="471" spans="1:15" ht="18" customHeight="1">
      <c r="A471" s="24"/>
      <c r="B471" s="78"/>
      <c r="C471" s="18"/>
      <c r="D471" s="18"/>
      <c r="E471" s="21"/>
      <c r="F471" s="21"/>
      <c r="G471" s="21"/>
      <c r="H471" s="21"/>
      <c r="I471" s="21"/>
      <c r="J471" s="21"/>
      <c r="K471" s="21"/>
      <c r="L471" s="21"/>
      <c r="M471" s="21"/>
      <c r="N471" s="21"/>
    </row>
    <row r="472" spans="1:15" ht="14.1" customHeight="1">
      <c r="A472" s="2"/>
      <c r="B472" s="2"/>
      <c r="C472" s="30"/>
      <c r="D472" s="30"/>
      <c r="E472" s="21"/>
      <c r="F472" s="21"/>
      <c r="G472" s="21"/>
      <c r="H472" s="21"/>
      <c r="I472" s="21"/>
      <c r="J472" s="30"/>
      <c r="K472" s="30"/>
      <c r="L472" s="30"/>
      <c r="M472" s="30"/>
      <c r="N472" s="30"/>
    </row>
    <row r="473" spans="1:15" ht="14.1" customHeight="1">
      <c r="A473" s="6"/>
      <c r="B473" s="6"/>
      <c r="C473" s="7"/>
      <c r="D473" s="7"/>
      <c r="E473" s="7"/>
      <c r="F473" s="7"/>
      <c r="G473" s="7"/>
      <c r="H473" s="7"/>
      <c r="I473" s="7"/>
      <c r="K473" s="7"/>
      <c r="L473" s="7"/>
      <c r="M473" s="7"/>
      <c r="N473" s="7"/>
    </row>
    <row r="474" spans="1:15" ht="14.1" customHeight="1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</row>
    <row r="475" spans="1:15" ht="14.1" customHeight="1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</row>
    <row r="476" spans="1:15" ht="14.1" customHeight="1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</row>
    <row r="477" spans="1:15" ht="14.1" customHeight="1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</row>
    <row r="478" spans="1:15" ht="14.1" customHeight="1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</row>
    <row r="479" spans="1:15" ht="14.1" customHeight="1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</row>
    <row r="480" spans="1:15" ht="14.1" customHeight="1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</row>
    <row r="481" spans="1:14" ht="14.1" customHeight="1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</row>
    <row r="482" spans="1:14" ht="14.1" customHeight="1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</row>
    <row r="483" spans="1:14" ht="14.1" customHeight="1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</row>
    <row r="484" spans="1:14" ht="14.1" customHeight="1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</row>
    <row r="485" spans="1:14" ht="14.1" customHeight="1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</row>
    <row r="486" spans="1:14" ht="14.1" customHeight="1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</row>
    <row r="487" spans="1:14" ht="14.1" customHeight="1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</row>
    <row r="488" spans="1:14" ht="14.1" customHeight="1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</row>
    <row r="489" spans="1:14" ht="14.1" customHeight="1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</row>
    <row r="490" spans="1:14" ht="14.1" customHeight="1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</row>
    <row r="491" spans="1:14" ht="14.1" customHeight="1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</row>
    <row r="492" spans="1:14" ht="14.1" customHeight="1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</row>
    <row r="493" spans="1:14" ht="14.1" customHeight="1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</row>
    <row r="494" spans="1:14" ht="14.1" customHeight="1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</row>
    <row r="495" spans="1:14" ht="14.1" customHeight="1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</row>
    <row r="496" spans="1:14" ht="14.1" customHeight="1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</row>
    <row r="497" spans="1:15" ht="14.1" customHeight="1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</row>
    <row r="498" spans="1:15" ht="18.75" customHeight="1">
      <c r="A498" s="184" t="s">
        <v>0</v>
      </c>
      <c r="B498" s="185"/>
      <c r="C498" s="185"/>
      <c r="D498" s="185"/>
      <c r="E498" s="185"/>
      <c r="F498" s="185"/>
      <c r="G498" s="20">
        <v>720</v>
      </c>
      <c r="H498" s="1" t="s">
        <v>15</v>
      </c>
      <c r="I498" s="1"/>
      <c r="J498" s="32"/>
      <c r="K498" s="1"/>
      <c r="L498" s="1"/>
      <c r="M498" s="1"/>
      <c r="N498" s="1"/>
    </row>
    <row r="499" spans="1:15" ht="18.75" customHeight="1">
      <c r="A499" s="42" t="s">
        <v>1</v>
      </c>
      <c r="B499" s="43"/>
      <c r="C499" s="44">
        <v>0</v>
      </c>
      <c r="D499" s="45">
        <v>0.6</v>
      </c>
      <c r="E499" s="45">
        <v>0.9</v>
      </c>
      <c r="F499" s="46">
        <v>1.2</v>
      </c>
      <c r="G499" s="46">
        <v>2.4</v>
      </c>
      <c r="H499" s="45">
        <v>3.6</v>
      </c>
      <c r="I499" s="47">
        <v>4</v>
      </c>
      <c r="J499" s="47">
        <v>4</v>
      </c>
      <c r="K499" s="45"/>
      <c r="L499" s="49"/>
      <c r="M499" s="45"/>
      <c r="N499" s="47"/>
      <c r="O499" s="22"/>
    </row>
    <row r="500" spans="1:15" ht="18.75" customHeight="1">
      <c r="A500" s="42" t="s">
        <v>2</v>
      </c>
      <c r="B500" s="43"/>
      <c r="C500" s="44">
        <v>98.9</v>
      </c>
      <c r="D500" s="45">
        <v>98.29</v>
      </c>
      <c r="E500" s="45">
        <v>98.29</v>
      </c>
      <c r="F500" s="45">
        <v>98.29</v>
      </c>
      <c r="G500" s="45">
        <v>98.29</v>
      </c>
      <c r="H500" s="45">
        <v>98.29</v>
      </c>
      <c r="I500" s="45">
        <v>98.29</v>
      </c>
      <c r="J500" s="45">
        <v>98.9</v>
      </c>
      <c r="K500" s="45"/>
      <c r="L500" s="49"/>
      <c r="M500" s="45"/>
      <c r="N500" s="47"/>
      <c r="O500" s="21"/>
    </row>
    <row r="501" spans="1:15" ht="18.75" customHeight="1">
      <c r="A501" s="42" t="s">
        <v>1</v>
      </c>
      <c r="B501" s="43"/>
      <c r="C501" s="44">
        <v>0</v>
      </c>
      <c r="D501" s="45">
        <v>0.6</v>
      </c>
      <c r="E501" s="45">
        <v>0.9</v>
      </c>
      <c r="F501" s="46">
        <v>1.2</v>
      </c>
      <c r="G501" s="46">
        <v>2.4</v>
      </c>
      <c r="H501" s="45">
        <v>3.6</v>
      </c>
      <c r="I501" s="47">
        <v>4</v>
      </c>
      <c r="J501" s="47">
        <v>4</v>
      </c>
      <c r="K501" s="45"/>
      <c r="L501" s="49"/>
      <c r="M501" s="45"/>
      <c r="N501" s="47"/>
      <c r="O501" s="22"/>
    </row>
    <row r="502" spans="1:15" ht="18.75" customHeight="1">
      <c r="A502" s="42" t="s">
        <v>3</v>
      </c>
      <c r="B502" s="9"/>
      <c r="C502" s="44">
        <v>98.9</v>
      </c>
      <c r="D502" s="45">
        <v>98.62</v>
      </c>
      <c r="E502" s="45">
        <v>98.48</v>
      </c>
      <c r="F502" s="45">
        <v>98.48</v>
      </c>
      <c r="G502" s="45">
        <v>98.48</v>
      </c>
      <c r="H502" s="45">
        <v>98.48</v>
      </c>
      <c r="I502" s="45">
        <v>98.48</v>
      </c>
      <c r="J502" s="45">
        <v>98.9</v>
      </c>
      <c r="K502" s="45"/>
      <c r="L502" s="49"/>
      <c r="M502" s="45"/>
      <c r="N502" s="52"/>
      <c r="O502" s="23"/>
    </row>
    <row r="503" spans="1:15" ht="18.75" customHeight="1">
      <c r="A503" s="42" t="s">
        <v>18</v>
      </c>
      <c r="B503" s="9"/>
      <c r="C503" s="47">
        <f t="shared" ref="C503" si="155">C500-C502</f>
        <v>0</v>
      </c>
      <c r="D503" s="47">
        <f>D502-D500</f>
        <v>0.32999999999999829</v>
      </c>
      <c r="E503" s="47">
        <f t="shared" ref="E503" si="156">E502-E500</f>
        <v>0.18999999999999773</v>
      </c>
      <c r="F503" s="47">
        <f t="shared" ref="F503" si="157">F502-F500</f>
        <v>0.18999999999999773</v>
      </c>
      <c r="G503" s="47">
        <f t="shared" ref="G503" si="158">G502-G500</f>
        <v>0.18999999999999773</v>
      </c>
      <c r="H503" s="47">
        <f t="shared" ref="H503" si="159">H502-H500</f>
        <v>0.18999999999999773</v>
      </c>
      <c r="I503" s="47">
        <f t="shared" ref="I503" si="160">I502-I500</f>
        <v>0.18999999999999773</v>
      </c>
      <c r="J503" s="47">
        <f t="shared" ref="J503" si="161">J502-J500</f>
        <v>0</v>
      </c>
      <c r="K503" s="47"/>
      <c r="L503" s="47"/>
      <c r="M503" s="47"/>
      <c r="N503" s="47"/>
      <c r="O503" s="21"/>
    </row>
    <row r="504" spans="1:15" ht="18.75" customHeight="1">
      <c r="A504" s="42" t="s">
        <v>5</v>
      </c>
      <c r="B504" s="9"/>
      <c r="C504" s="47">
        <f t="shared" ref="C504" si="162">(C503+B503)/2*(C499-B499)</f>
        <v>0</v>
      </c>
      <c r="D504" s="47">
        <f>(D503+C503)/2*(D499-C499)</f>
        <v>9.8999999999999491E-2</v>
      </c>
      <c r="E504" s="47">
        <f t="shared" ref="E504" si="163">(E503+D503)/2*(E499-D499)</f>
        <v>7.7999999999999417E-2</v>
      </c>
      <c r="F504" s="47">
        <f t="shared" ref="F504" si="164">(F503+E503)/2*(F499-E499)</f>
        <v>5.6999999999999308E-2</v>
      </c>
      <c r="G504" s="47">
        <f t="shared" ref="G504" si="165">(G503+F503)/2*(G499-F499)</f>
        <v>0.22799999999999726</v>
      </c>
      <c r="H504" s="47">
        <f t="shared" ref="H504" si="166">(H503+G503)/2*(H499-G499)</f>
        <v>0.22799999999999732</v>
      </c>
      <c r="I504" s="47">
        <f t="shared" ref="I504" si="167">(I503+H503)/2*(I499-H499)</f>
        <v>7.5999999999999068E-2</v>
      </c>
      <c r="J504" s="47">
        <f t="shared" ref="J504" si="168">(J503+I503)/2*(J499-I499)</f>
        <v>0</v>
      </c>
      <c r="K504" s="47"/>
      <c r="L504" s="47"/>
      <c r="M504" s="47"/>
      <c r="N504" s="77">
        <f>SUM(B504:M504)</f>
        <v>0.76599999999999191</v>
      </c>
      <c r="O504" s="21"/>
    </row>
    <row r="505" spans="1:15" ht="18.75" customHeight="1">
      <c r="A505" s="2"/>
      <c r="B505" s="2"/>
      <c r="C505" s="30"/>
      <c r="D505" s="30"/>
      <c r="E505" s="4"/>
      <c r="F505" s="4"/>
      <c r="G505" s="4"/>
      <c r="H505" s="4"/>
      <c r="I505" s="4"/>
      <c r="J505" s="179" t="s">
        <v>6</v>
      </c>
      <c r="K505" s="179"/>
      <c r="L505" s="179"/>
      <c r="M505" s="179"/>
      <c r="N505" s="5">
        <f>N504</f>
        <v>0.76599999999999191</v>
      </c>
      <c r="O505" s="21"/>
    </row>
    <row r="506" spans="1:15" ht="18.75" customHeight="1">
      <c r="A506" s="24"/>
      <c r="B506" s="78"/>
      <c r="C506" s="18"/>
      <c r="D506" s="18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</row>
    <row r="507" spans="1:15" ht="18.75" customHeight="1">
      <c r="A507" s="2"/>
      <c r="B507" s="2"/>
      <c r="C507" s="30"/>
      <c r="D507" s="30"/>
      <c r="E507" s="21"/>
      <c r="F507" s="21"/>
      <c r="G507" s="21"/>
      <c r="H507" s="21"/>
      <c r="I507" s="21"/>
      <c r="J507" s="30"/>
      <c r="K507" s="30"/>
      <c r="L507" s="30"/>
      <c r="M507" s="30"/>
      <c r="N507" s="30"/>
    </row>
    <row r="508" spans="1:15" ht="14.1" customHeight="1">
      <c r="A508" s="6"/>
      <c r="B508" s="6"/>
      <c r="C508" s="7"/>
      <c r="D508" s="7"/>
      <c r="E508" s="7"/>
      <c r="F508" s="7"/>
      <c r="G508" s="7"/>
      <c r="H508" s="7"/>
      <c r="I508" s="7"/>
      <c r="K508" s="7"/>
      <c r="L508" s="7"/>
      <c r="M508" s="7"/>
      <c r="N508" s="7"/>
    </row>
    <row r="509" spans="1:15" ht="14.1" customHeight="1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</row>
    <row r="510" spans="1:15" ht="14.1" customHeight="1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</row>
    <row r="511" spans="1:15" ht="14.1" customHeight="1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</row>
    <row r="512" spans="1:15" ht="14.1" customHeight="1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</row>
    <row r="513" spans="1:14" ht="14.1" customHeight="1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</row>
    <row r="514" spans="1:14" ht="14.1" customHeight="1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</row>
    <row r="515" spans="1:14" ht="14.1" customHeight="1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</row>
    <row r="516" spans="1:14" ht="14.1" customHeight="1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</row>
    <row r="517" spans="1:14" ht="14.1" customHeight="1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</row>
    <row r="518" spans="1:14" ht="14.1" customHeight="1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</row>
    <row r="519" spans="1:14" ht="14.1" customHeight="1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</row>
    <row r="520" spans="1:14" ht="14.1" customHeight="1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</row>
    <row r="521" spans="1:14" ht="14.1" customHeight="1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</row>
    <row r="522" spans="1:14" ht="14.1" customHeight="1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</row>
    <row r="523" spans="1:14" ht="14.1" customHeight="1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</row>
    <row r="524" spans="1:14" ht="14.1" customHeight="1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</row>
    <row r="525" spans="1:14" ht="14.1" customHeight="1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</row>
    <row r="526" spans="1:14" ht="14.1" customHeight="1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</row>
    <row r="527" spans="1:14" ht="14.1" customHeight="1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</row>
    <row r="528" spans="1:14" ht="14.1" customHeight="1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</row>
    <row r="529" spans="1:15" ht="14.1" customHeight="1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</row>
    <row r="530" spans="1:15" ht="14.1" customHeight="1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</row>
    <row r="531" spans="1:15" ht="14.1" customHeight="1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</row>
    <row r="532" spans="1:15" ht="14.1" customHeight="1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</row>
    <row r="533" spans="1:15" ht="14.1" customHeight="1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</row>
    <row r="534" spans="1:15" ht="14.1" customHeight="1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</row>
    <row r="535" spans="1:15" ht="14.1" customHeight="1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</row>
    <row r="536" spans="1:15" ht="14.1" customHeight="1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</row>
    <row r="537" spans="1:15" ht="14.1" customHeight="1">
      <c r="B537" s="181"/>
      <c r="C537" s="181"/>
      <c r="D537" s="181"/>
      <c r="E537" s="25"/>
      <c r="F537" s="25"/>
      <c r="G537" s="167"/>
      <c r="H537" s="167"/>
      <c r="I537" s="167"/>
      <c r="J537" s="7"/>
      <c r="K537" s="182"/>
      <c r="L537" s="182"/>
    </row>
    <row r="538" spans="1:15" ht="14.1" customHeight="1">
      <c r="B538" s="170"/>
      <c r="C538" s="170"/>
      <c r="D538" s="170"/>
      <c r="E538" s="26"/>
      <c r="F538" s="26"/>
      <c r="G538" s="170"/>
      <c r="H538" s="170"/>
      <c r="I538" s="170"/>
      <c r="J538" s="25"/>
      <c r="K538" s="171"/>
      <c r="L538" s="171"/>
    </row>
    <row r="539" spans="1:15" ht="14.1" customHeight="1">
      <c r="A539" s="6"/>
      <c r="B539" s="6"/>
      <c r="C539" s="7"/>
      <c r="D539" s="7"/>
      <c r="E539" s="7"/>
      <c r="F539" s="7"/>
      <c r="G539" s="7"/>
      <c r="H539" s="7"/>
      <c r="I539" s="7"/>
      <c r="J539" s="27"/>
      <c r="K539" s="7"/>
      <c r="L539" s="7"/>
      <c r="M539" s="7"/>
      <c r="N539" s="7"/>
    </row>
    <row r="540" spans="1:15" ht="14.1" customHeight="1">
      <c r="A540" s="6"/>
      <c r="B540" s="6"/>
      <c r="C540" s="7"/>
      <c r="D540" s="7"/>
      <c r="E540" s="7"/>
      <c r="F540" s="7"/>
      <c r="G540" s="7"/>
      <c r="H540" s="7"/>
      <c r="I540" s="7"/>
      <c r="J540" s="27"/>
      <c r="K540" s="7"/>
      <c r="L540" s="7"/>
      <c r="M540" s="7"/>
      <c r="N540" s="7"/>
    </row>
    <row r="541" spans="1:15" ht="14.1" customHeight="1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</row>
    <row r="542" spans="1:15" ht="18" customHeight="1">
      <c r="A542" s="184" t="s">
        <v>0</v>
      </c>
      <c r="B542" s="185"/>
      <c r="C542" s="185"/>
      <c r="D542" s="185"/>
      <c r="E542" s="185"/>
      <c r="F542" s="185"/>
      <c r="G542" s="20">
        <v>780</v>
      </c>
      <c r="H542" s="1" t="s">
        <v>15</v>
      </c>
      <c r="I542" s="1"/>
      <c r="J542" s="32"/>
      <c r="K542" s="1"/>
      <c r="L542" s="1"/>
      <c r="M542" s="1"/>
      <c r="N542" s="1"/>
    </row>
    <row r="543" spans="1:15" ht="18" customHeight="1">
      <c r="A543" s="42" t="s">
        <v>1</v>
      </c>
      <c r="B543" s="43"/>
      <c r="C543" s="44">
        <v>0</v>
      </c>
      <c r="D543" s="45">
        <v>0.4</v>
      </c>
      <c r="E543" s="45">
        <v>0.9</v>
      </c>
      <c r="F543" s="46">
        <v>1.2</v>
      </c>
      <c r="G543" s="46">
        <v>2.1</v>
      </c>
      <c r="H543" s="45">
        <v>2.4</v>
      </c>
      <c r="I543" s="47">
        <v>3.1</v>
      </c>
      <c r="J543" s="47">
        <v>3.1</v>
      </c>
      <c r="K543" s="45"/>
      <c r="L543" s="49"/>
      <c r="M543" s="45"/>
      <c r="N543" s="47"/>
      <c r="O543" s="22"/>
    </row>
    <row r="544" spans="1:15" ht="18" customHeight="1">
      <c r="A544" s="42" t="s">
        <v>2</v>
      </c>
      <c r="B544" s="43"/>
      <c r="C544" s="44">
        <v>98.7</v>
      </c>
      <c r="D544" s="45">
        <v>98.25</v>
      </c>
      <c r="E544" s="45">
        <v>98.25</v>
      </c>
      <c r="F544" s="45">
        <v>98.25</v>
      </c>
      <c r="G544" s="45">
        <v>98.25</v>
      </c>
      <c r="H544" s="45">
        <v>98.25</v>
      </c>
      <c r="I544" s="45">
        <v>98.25</v>
      </c>
      <c r="J544" s="45">
        <v>98.95</v>
      </c>
      <c r="K544" s="45"/>
      <c r="L544" s="49"/>
      <c r="M544" s="45"/>
      <c r="N544" s="47"/>
      <c r="O544" s="21"/>
    </row>
    <row r="545" spans="1:15" ht="18" customHeight="1">
      <c r="A545" s="42" t="s">
        <v>1</v>
      </c>
      <c r="B545" s="43"/>
      <c r="C545" s="44">
        <v>0</v>
      </c>
      <c r="D545" s="45">
        <v>0.4</v>
      </c>
      <c r="E545" s="45">
        <v>0.9</v>
      </c>
      <c r="F545" s="46">
        <v>1.2</v>
      </c>
      <c r="G545" s="46">
        <v>2.1</v>
      </c>
      <c r="H545" s="45">
        <v>2.4</v>
      </c>
      <c r="I545" s="47">
        <v>3.1</v>
      </c>
      <c r="J545" s="47">
        <v>3.1</v>
      </c>
      <c r="K545" s="45"/>
      <c r="L545" s="49"/>
      <c r="M545" s="45"/>
      <c r="N545" s="47"/>
      <c r="O545" s="22"/>
    </row>
    <row r="546" spans="1:15" ht="18" customHeight="1">
      <c r="A546" s="42" t="s">
        <v>3</v>
      </c>
      <c r="B546" s="9"/>
      <c r="C546" s="44">
        <v>98.7</v>
      </c>
      <c r="D546" s="45">
        <v>98.45</v>
      </c>
      <c r="E546" s="45">
        <v>98.45</v>
      </c>
      <c r="F546" s="45">
        <v>98.45</v>
      </c>
      <c r="G546" s="45">
        <v>98.45</v>
      </c>
      <c r="H546" s="45">
        <v>98.45</v>
      </c>
      <c r="I546" s="45">
        <v>98.45</v>
      </c>
      <c r="J546" s="45">
        <v>98.95</v>
      </c>
      <c r="K546" s="45"/>
      <c r="L546" s="49"/>
      <c r="M546" s="45"/>
      <c r="N546" s="52"/>
      <c r="O546" s="23"/>
    </row>
    <row r="547" spans="1:15" ht="18" customHeight="1">
      <c r="A547" s="42" t="s">
        <v>18</v>
      </c>
      <c r="B547" s="9"/>
      <c r="C547" s="47">
        <f t="shared" ref="C547" si="169">C544-C546</f>
        <v>0</v>
      </c>
      <c r="D547" s="47">
        <f>D546-D544</f>
        <v>0.20000000000000284</v>
      </c>
      <c r="E547" s="47">
        <f t="shared" ref="E547" si="170">E546-E544</f>
        <v>0.20000000000000284</v>
      </c>
      <c r="F547" s="47">
        <f t="shared" ref="F547" si="171">F546-F544</f>
        <v>0.20000000000000284</v>
      </c>
      <c r="G547" s="47">
        <f t="shared" ref="G547" si="172">G546-G544</f>
        <v>0.20000000000000284</v>
      </c>
      <c r="H547" s="47">
        <f t="shared" ref="H547" si="173">H546-H544</f>
        <v>0.20000000000000284</v>
      </c>
      <c r="I547" s="47">
        <f t="shared" ref="I547" si="174">I546-I544</f>
        <v>0.20000000000000284</v>
      </c>
      <c r="J547" s="47">
        <f t="shared" ref="J547" si="175">J546-J544</f>
        <v>0</v>
      </c>
      <c r="K547" s="47"/>
      <c r="L547" s="47"/>
      <c r="M547" s="47"/>
      <c r="N547" s="47"/>
      <c r="O547" s="21"/>
    </row>
    <row r="548" spans="1:15" ht="18" customHeight="1">
      <c r="A548" s="42" t="s">
        <v>5</v>
      </c>
      <c r="B548" s="9"/>
      <c r="C548" s="47">
        <f t="shared" ref="C548" si="176">(C547+B547)/2*(C543-B543)</f>
        <v>0</v>
      </c>
      <c r="D548" s="47">
        <f>(D547+C547)/2*(D543-C543)</f>
        <v>4.000000000000057E-2</v>
      </c>
      <c r="E548" s="47">
        <f t="shared" ref="E548" si="177">(E547+D547)/2*(E543-D543)</f>
        <v>0.10000000000000142</v>
      </c>
      <c r="F548" s="47">
        <f t="shared" ref="F548" si="178">(F547+E547)/2*(F543-E543)</f>
        <v>6.0000000000000837E-2</v>
      </c>
      <c r="G548" s="47">
        <f t="shared" ref="G548" si="179">(G547+F547)/2*(G543-F543)</f>
        <v>0.18000000000000257</v>
      </c>
      <c r="H548" s="47">
        <f t="shared" ref="H548" si="180">(H547+G547)/2*(H543-G543)</f>
        <v>6.0000000000000817E-2</v>
      </c>
      <c r="I548" s="47">
        <f t="shared" ref="I548" si="181">(I547+H547)/2*(I543-H543)</f>
        <v>0.14000000000000201</v>
      </c>
      <c r="J548" s="47">
        <f t="shared" ref="J548" si="182">(J547+I547)/2*(J543-I543)</f>
        <v>0</v>
      </c>
      <c r="K548" s="47"/>
      <c r="L548" s="47"/>
      <c r="M548" s="47"/>
      <c r="N548" s="77">
        <f>SUM(B548:M548)</f>
        <v>0.58000000000000829</v>
      </c>
      <c r="O548" s="21"/>
    </row>
    <row r="549" spans="1:15" ht="18" customHeight="1">
      <c r="A549" s="2"/>
      <c r="B549" s="2"/>
      <c r="C549" s="30"/>
      <c r="D549" s="30"/>
      <c r="E549" s="4"/>
      <c r="F549" s="4"/>
      <c r="G549" s="4"/>
      <c r="H549" s="4"/>
      <c r="I549" s="4"/>
      <c r="J549" s="179" t="s">
        <v>6</v>
      </c>
      <c r="K549" s="179"/>
      <c r="L549" s="179"/>
      <c r="M549" s="179"/>
      <c r="N549" s="5">
        <f>N548</f>
        <v>0.58000000000000829</v>
      </c>
      <c r="O549" s="21"/>
    </row>
    <row r="550" spans="1:15" ht="18" customHeight="1">
      <c r="A550" s="24"/>
      <c r="B550" s="78"/>
      <c r="C550" s="18"/>
      <c r="D550" s="18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</row>
    <row r="551" spans="1:15" ht="14.1" customHeight="1">
      <c r="A551" s="2"/>
      <c r="B551" s="2"/>
      <c r="C551" s="30"/>
      <c r="D551" s="30"/>
      <c r="E551" s="21"/>
      <c r="F551" s="21"/>
      <c r="G551" s="21"/>
      <c r="H551" s="21"/>
      <c r="I551" s="21"/>
      <c r="J551" s="30"/>
      <c r="K551" s="30"/>
      <c r="L551" s="30"/>
      <c r="M551" s="30"/>
      <c r="N551" s="30"/>
    </row>
    <row r="552" spans="1:15" ht="14.1" customHeight="1">
      <c r="A552" s="6"/>
      <c r="B552" s="6"/>
      <c r="C552" s="7"/>
      <c r="D552" s="7"/>
      <c r="E552" s="7"/>
      <c r="F552" s="7"/>
      <c r="G552" s="7"/>
      <c r="H552" s="7"/>
      <c r="I552" s="7"/>
      <c r="K552" s="7"/>
      <c r="L552" s="7"/>
      <c r="M552" s="7"/>
      <c r="N552" s="7"/>
    </row>
    <row r="553" spans="1:15" ht="14.1" customHeight="1">
      <c r="A553" s="2"/>
      <c r="B553" s="2"/>
      <c r="C553" s="30"/>
      <c r="D553" s="30"/>
      <c r="E553" s="4"/>
      <c r="F553" s="4"/>
      <c r="G553" s="4"/>
      <c r="H553" s="4"/>
      <c r="I553" s="4"/>
      <c r="J553" s="30"/>
      <c r="K553" s="30"/>
      <c r="L553" s="30"/>
      <c r="M553" s="30"/>
      <c r="N553" s="30"/>
    </row>
    <row r="554" spans="1:15" ht="14.1" customHeight="1">
      <c r="A554" s="6"/>
      <c r="B554" s="6"/>
      <c r="C554" s="7"/>
      <c r="D554" s="7"/>
      <c r="E554" s="7"/>
      <c r="F554" s="7"/>
      <c r="G554" s="7"/>
      <c r="H554" s="7"/>
      <c r="I554" s="7"/>
      <c r="K554" s="7"/>
      <c r="L554" s="7"/>
      <c r="M554" s="7"/>
      <c r="N554" s="7"/>
    </row>
    <row r="555" spans="1:15" ht="14.1" customHeight="1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</row>
    <row r="556" spans="1:15" ht="14.1" customHeight="1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</row>
    <row r="557" spans="1:15" ht="14.1" customHeight="1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</row>
    <row r="558" spans="1:15" ht="14.1" customHeight="1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</row>
    <row r="559" spans="1:15" ht="14.1" customHeight="1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</row>
    <row r="560" spans="1:15" ht="14.1" customHeight="1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</row>
    <row r="561" spans="1:14" ht="14.1" customHeight="1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</row>
    <row r="562" spans="1:14" ht="14.1" customHeight="1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</row>
    <row r="563" spans="1:14" ht="14.1" customHeight="1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</row>
    <row r="564" spans="1:14" ht="14.1" customHeight="1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</row>
    <row r="565" spans="1:14" ht="14.1" customHeight="1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</row>
    <row r="566" spans="1:14" ht="14.1" customHeight="1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</row>
    <row r="567" spans="1:14" ht="14.1" customHeight="1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</row>
    <row r="568" spans="1:14" ht="14.1" customHeight="1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</row>
    <row r="569" spans="1:14" ht="14.1" customHeight="1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</row>
    <row r="570" spans="1:14" ht="14.1" customHeight="1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</row>
    <row r="571" spans="1:14" ht="14.1" customHeight="1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</row>
    <row r="572" spans="1:14" ht="14.1" customHeight="1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</row>
    <row r="573" spans="1:14" ht="14.1" customHeight="1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</row>
    <row r="574" spans="1:14" ht="14.1" customHeight="1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</row>
    <row r="575" spans="1:14" ht="14.1" customHeight="1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</row>
    <row r="576" spans="1:14" ht="14.1" customHeight="1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</row>
    <row r="577" spans="1:15" ht="14.1" customHeight="1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</row>
    <row r="578" spans="1:15" ht="14.1" customHeight="1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</row>
    <row r="579" spans="1:15" ht="14.1" customHeight="1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</row>
    <row r="580" spans="1:15" ht="14.1" customHeight="1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</row>
    <row r="581" spans="1:15" ht="18" customHeight="1">
      <c r="A581" s="184" t="s">
        <v>0</v>
      </c>
      <c r="B581" s="185"/>
      <c r="C581" s="185"/>
      <c r="D581" s="185"/>
      <c r="E581" s="185"/>
      <c r="F581" s="185"/>
      <c r="G581" s="20">
        <v>840</v>
      </c>
      <c r="H581" s="1" t="s">
        <v>15</v>
      </c>
      <c r="I581" s="1"/>
      <c r="J581" s="32"/>
      <c r="K581" s="1"/>
      <c r="L581" s="1"/>
      <c r="M581" s="1"/>
      <c r="N581" s="1"/>
    </row>
    <row r="582" spans="1:15" ht="18" customHeight="1">
      <c r="A582" s="42" t="s">
        <v>1</v>
      </c>
      <c r="B582" s="43"/>
      <c r="C582" s="44">
        <v>0</v>
      </c>
      <c r="D582" s="45">
        <v>0.7</v>
      </c>
      <c r="E582" s="45">
        <v>0.9</v>
      </c>
      <c r="F582" s="46">
        <v>1.2</v>
      </c>
      <c r="G582" s="46">
        <v>2.4</v>
      </c>
      <c r="H582" s="45">
        <v>3.3</v>
      </c>
      <c r="I582" s="47">
        <v>3.3</v>
      </c>
      <c r="J582" s="47"/>
      <c r="K582" s="45"/>
      <c r="L582" s="49"/>
      <c r="M582" s="45"/>
      <c r="N582" s="47"/>
    </row>
    <row r="583" spans="1:15" ht="18" customHeight="1">
      <c r="A583" s="42" t="s">
        <v>2</v>
      </c>
      <c r="B583" s="43"/>
      <c r="C583" s="44">
        <v>99.19</v>
      </c>
      <c r="D583" s="45">
        <v>98.135000000000005</v>
      </c>
      <c r="E583" s="45">
        <v>98.15</v>
      </c>
      <c r="F583" s="45">
        <v>98.15</v>
      </c>
      <c r="G583" s="45">
        <v>98.15</v>
      </c>
      <c r="H583" s="45">
        <v>98.15</v>
      </c>
      <c r="I583" s="45">
        <v>98.99</v>
      </c>
      <c r="J583" s="45"/>
      <c r="K583" s="45"/>
      <c r="L583" s="49"/>
      <c r="M583" s="45"/>
      <c r="N583" s="47"/>
    </row>
    <row r="584" spans="1:15" ht="18" customHeight="1">
      <c r="A584" s="42" t="s">
        <v>1</v>
      </c>
      <c r="B584" s="43"/>
      <c r="C584" s="44">
        <v>0</v>
      </c>
      <c r="D584" s="45">
        <v>0.7</v>
      </c>
      <c r="E584" s="45">
        <v>0.9</v>
      </c>
      <c r="F584" s="46">
        <v>1.2</v>
      </c>
      <c r="G584" s="46">
        <v>2.4</v>
      </c>
      <c r="H584" s="45">
        <v>3.3</v>
      </c>
      <c r="I584" s="47">
        <v>3.3</v>
      </c>
      <c r="J584" s="47"/>
      <c r="K584" s="45"/>
      <c r="L584" s="49"/>
      <c r="M584" s="45"/>
      <c r="N584" s="47"/>
    </row>
    <row r="585" spans="1:15" ht="18" customHeight="1">
      <c r="A585" s="42" t="s">
        <v>3</v>
      </c>
      <c r="B585" s="9"/>
      <c r="C585" s="44">
        <v>99.19</v>
      </c>
      <c r="D585" s="45">
        <v>98.13</v>
      </c>
      <c r="E585" s="45">
        <v>98.34</v>
      </c>
      <c r="F585" s="45">
        <v>98.35</v>
      </c>
      <c r="G585" s="45">
        <v>98.35</v>
      </c>
      <c r="H585" s="45">
        <v>98.35</v>
      </c>
      <c r="I585" s="45">
        <v>98.99</v>
      </c>
      <c r="J585" s="45"/>
      <c r="K585" s="45"/>
      <c r="L585" s="49"/>
      <c r="M585" s="45"/>
      <c r="N585" s="52"/>
    </row>
    <row r="586" spans="1:15" ht="18" customHeight="1">
      <c r="A586" s="42" t="s">
        <v>18</v>
      </c>
      <c r="B586" s="9"/>
      <c r="C586" s="47">
        <f t="shared" ref="C586" si="183">C583-C585</f>
        <v>0</v>
      </c>
      <c r="D586" s="47">
        <v>0</v>
      </c>
      <c r="E586" s="47">
        <f t="shared" ref="E586" si="184">E585-E583</f>
        <v>0.18999999999999773</v>
      </c>
      <c r="F586" s="47">
        <f t="shared" ref="F586" si="185">F585-F583</f>
        <v>0.19999999999998863</v>
      </c>
      <c r="G586" s="47">
        <f t="shared" ref="G586" si="186">G585-G583</f>
        <v>0.19999999999998863</v>
      </c>
      <c r="H586" s="47">
        <f t="shared" ref="H586" si="187">H585-H583</f>
        <v>0.19999999999998863</v>
      </c>
      <c r="I586" s="47">
        <f t="shared" ref="I586" si="188">I585-I583</f>
        <v>0</v>
      </c>
      <c r="J586" s="47"/>
      <c r="K586" s="47"/>
      <c r="L586" s="47"/>
      <c r="M586" s="47"/>
      <c r="N586" s="47"/>
    </row>
    <row r="587" spans="1:15" ht="18" customHeight="1">
      <c r="A587" s="42" t="s">
        <v>5</v>
      </c>
      <c r="B587" s="9"/>
      <c r="C587" s="47">
        <f t="shared" ref="C587" si="189">(C586+B586)/2*(C582-B582)</f>
        <v>0</v>
      </c>
      <c r="D587" s="47">
        <f>(D586+C586)/2*(D582-C582)</f>
        <v>0</v>
      </c>
      <c r="E587" s="47">
        <f t="shared" ref="E587" si="190">(E586+D586)/2*(E582-D582)</f>
        <v>1.8999999999999777E-2</v>
      </c>
      <c r="F587" s="47">
        <f t="shared" ref="F587" si="191">(F586+E586)/2*(F582-E582)</f>
        <v>5.8499999999997943E-2</v>
      </c>
      <c r="G587" s="47">
        <f t="shared" ref="G587" si="192">(G586+F586)/2*(G582-F582)</f>
        <v>0.23999999999998634</v>
      </c>
      <c r="H587" s="47">
        <f t="shared" ref="H587" si="193">(H586+G586)/2*(H582-G582)</f>
        <v>0.17999999999998975</v>
      </c>
      <c r="I587" s="47">
        <f t="shared" ref="I587" si="194">(I586+H586)/2*(I582-H582)</f>
        <v>0</v>
      </c>
      <c r="J587" s="47"/>
      <c r="K587" s="47"/>
      <c r="L587" s="47"/>
      <c r="M587" s="47"/>
      <c r="N587" s="77">
        <v>0.496</v>
      </c>
    </row>
    <row r="588" spans="1:15" ht="18" customHeight="1">
      <c r="A588" s="2"/>
      <c r="B588" s="2"/>
      <c r="C588" s="30"/>
      <c r="D588" s="30"/>
      <c r="E588" s="4"/>
      <c r="F588" s="4"/>
      <c r="G588" s="4"/>
      <c r="H588" s="4"/>
      <c r="I588" s="4"/>
      <c r="J588" s="179" t="s">
        <v>6</v>
      </c>
      <c r="K588" s="179"/>
      <c r="L588" s="179"/>
      <c r="M588" s="179"/>
      <c r="N588" s="5">
        <f>N587</f>
        <v>0.496</v>
      </c>
      <c r="O588" s="75"/>
    </row>
    <row r="589" spans="1:15" ht="18" customHeight="1">
      <c r="A589" s="24"/>
      <c r="B589" s="78"/>
      <c r="C589" s="18"/>
      <c r="D589" s="18"/>
      <c r="E589" s="21"/>
      <c r="F589" s="21"/>
      <c r="G589" s="21"/>
      <c r="H589" s="21"/>
      <c r="I589" s="21"/>
      <c r="J589" s="21"/>
      <c r="K589" s="21"/>
      <c r="L589" s="21"/>
      <c r="M589" s="21"/>
      <c r="N589" s="21"/>
    </row>
    <row r="590" spans="1:15" ht="14.1" customHeight="1">
      <c r="A590" s="2"/>
      <c r="B590" s="2"/>
      <c r="C590" s="30"/>
      <c r="D590" s="30"/>
      <c r="E590" s="21"/>
      <c r="F590" s="21"/>
      <c r="G590" s="21"/>
      <c r="H590" s="21"/>
      <c r="I590" s="21"/>
      <c r="J590" s="30"/>
      <c r="K590" s="30"/>
      <c r="L590" s="30"/>
      <c r="M590" s="30"/>
      <c r="N590" s="30"/>
    </row>
    <row r="591" spans="1:15" ht="14.1" customHeight="1">
      <c r="A591" s="6"/>
      <c r="B591" s="6"/>
      <c r="C591" s="7"/>
      <c r="D591" s="7"/>
      <c r="E591" s="7"/>
      <c r="F591" s="7"/>
      <c r="G591" s="7"/>
      <c r="H591" s="7"/>
      <c r="I591" s="7"/>
      <c r="K591" s="7"/>
      <c r="L591" s="7"/>
      <c r="M591" s="7"/>
      <c r="N591" s="7"/>
    </row>
    <row r="592" spans="1:15" ht="14.1" customHeight="1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</row>
    <row r="593" spans="1:14" ht="14.1" customHeight="1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</row>
    <row r="594" spans="1:14" ht="14.1" customHeight="1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</row>
    <row r="595" spans="1:14" ht="14.1" customHeight="1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</row>
    <row r="596" spans="1:14" ht="14.1" customHeight="1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</row>
    <row r="597" spans="1:14" ht="14.1" customHeight="1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</row>
    <row r="598" spans="1:14" ht="14.1" customHeight="1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</row>
    <row r="599" spans="1:14" ht="14.1" customHeight="1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</row>
    <row r="600" spans="1:14" ht="14.1" customHeight="1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</row>
    <row r="601" spans="1:14" ht="14.1" customHeight="1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</row>
    <row r="602" spans="1:14" ht="14.1" customHeight="1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</row>
    <row r="603" spans="1:14" ht="14.1" customHeight="1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</row>
    <row r="604" spans="1:14" ht="14.1" customHeight="1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</row>
    <row r="605" spans="1:14" ht="14.1" customHeight="1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</row>
    <row r="606" spans="1:14" ht="14.1" customHeight="1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</row>
    <row r="607" spans="1:14" ht="14.1" customHeight="1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</row>
    <row r="608" spans="1:14" ht="14.1" customHeight="1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</row>
    <row r="609" spans="1:14" ht="14.1" customHeight="1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</row>
    <row r="610" spans="1:14" ht="14.1" customHeight="1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</row>
    <row r="611" spans="1:14" ht="14.1" customHeight="1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</row>
    <row r="612" spans="1:14" ht="14.1" customHeight="1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</row>
    <row r="613" spans="1:14" ht="14.1" customHeight="1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</row>
    <row r="614" spans="1:14" ht="14.1" customHeight="1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</row>
    <row r="615" spans="1:14" ht="14.1" customHeight="1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</row>
    <row r="616" spans="1:14" ht="14.1" customHeight="1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</row>
    <row r="617" spans="1:14" ht="14.1" customHeight="1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</row>
    <row r="618" spans="1:14" ht="14.1" customHeight="1">
      <c r="B618" s="181"/>
      <c r="C618" s="181"/>
      <c r="D618" s="181"/>
      <c r="E618" s="25"/>
      <c r="F618" s="25"/>
      <c r="G618" s="167"/>
      <c r="H618" s="167"/>
      <c r="I618" s="167"/>
      <c r="J618" s="7"/>
      <c r="K618" s="182"/>
      <c r="L618" s="182"/>
    </row>
    <row r="619" spans="1:14" ht="14.1" customHeight="1">
      <c r="B619" s="170"/>
      <c r="C619" s="170"/>
      <c r="D619" s="170"/>
      <c r="E619" s="26"/>
      <c r="F619" s="26"/>
      <c r="G619" s="170"/>
      <c r="H619" s="170"/>
      <c r="I619" s="170"/>
      <c r="J619" s="25"/>
      <c r="K619" s="171"/>
      <c r="L619" s="171"/>
    </row>
    <row r="620" spans="1:14" ht="14.1" customHeight="1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</row>
    <row r="621" spans="1:14" ht="14.1" customHeight="1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</row>
    <row r="622" spans="1:14" ht="14.1" customHeight="1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</row>
    <row r="623" spans="1:14" ht="14.1" customHeight="1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</row>
    <row r="624" spans="1:14" ht="14.1" customHeight="1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</row>
    <row r="625" spans="1:14" ht="14.1" customHeight="1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</row>
    <row r="626" spans="1:14" ht="18" customHeight="1">
      <c r="A626" s="184" t="s">
        <v>0</v>
      </c>
      <c r="B626" s="185"/>
      <c r="C626" s="185"/>
      <c r="D626" s="185"/>
      <c r="E626" s="185"/>
      <c r="F626" s="185"/>
      <c r="G626" s="20">
        <v>900</v>
      </c>
      <c r="H626" s="1" t="s">
        <v>15</v>
      </c>
      <c r="I626" s="1"/>
      <c r="J626" s="32"/>
      <c r="K626" s="1"/>
      <c r="L626" s="1"/>
      <c r="M626" s="1"/>
      <c r="N626" s="1"/>
    </row>
    <row r="627" spans="1:14" ht="18" customHeight="1">
      <c r="A627" s="42" t="s">
        <v>1</v>
      </c>
      <c r="B627" s="43"/>
      <c r="C627" s="44">
        <v>0</v>
      </c>
      <c r="D627" s="45">
        <v>0.6</v>
      </c>
      <c r="E627" s="45">
        <v>0.9</v>
      </c>
      <c r="F627" s="46">
        <v>1.2</v>
      </c>
      <c r="G627" s="46">
        <v>2.1</v>
      </c>
      <c r="H627" s="45">
        <v>2.4</v>
      </c>
      <c r="I627" s="47">
        <v>3.3</v>
      </c>
      <c r="J627" s="47">
        <v>3.4</v>
      </c>
      <c r="K627" s="45">
        <v>3.8</v>
      </c>
      <c r="L627" s="49"/>
      <c r="M627" s="45"/>
      <c r="N627" s="47"/>
    </row>
    <row r="628" spans="1:14" ht="18" customHeight="1">
      <c r="A628" s="42" t="s">
        <v>2</v>
      </c>
      <c r="B628" s="43"/>
      <c r="C628" s="44">
        <v>98.84</v>
      </c>
      <c r="D628" s="45">
        <v>98.08</v>
      </c>
      <c r="E628" s="45">
        <v>98.05</v>
      </c>
      <c r="F628" s="45">
        <v>98.05</v>
      </c>
      <c r="G628" s="45">
        <v>98.05</v>
      </c>
      <c r="H628" s="45">
        <v>98.05</v>
      </c>
      <c r="I628" s="45">
        <v>98.05</v>
      </c>
      <c r="J628" s="45">
        <v>98</v>
      </c>
      <c r="K628" s="45">
        <v>98.84</v>
      </c>
      <c r="L628" s="49"/>
      <c r="M628" s="45"/>
      <c r="N628" s="47"/>
    </row>
    <row r="629" spans="1:14" ht="18" customHeight="1">
      <c r="A629" s="42" t="s">
        <v>1</v>
      </c>
      <c r="B629" s="43"/>
      <c r="C629" s="44">
        <v>0</v>
      </c>
      <c r="D629" s="45">
        <v>0.6</v>
      </c>
      <c r="E629" s="45">
        <v>0.9</v>
      </c>
      <c r="F629" s="46">
        <v>1.2</v>
      </c>
      <c r="G629" s="46">
        <v>2.1</v>
      </c>
      <c r="H629" s="45">
        <v>2.4</v>
      </c>
      <c r="I629" s="47">
        <v>3.3</v>
      </c>
      <c r="J629" s="47">
        <v>3.4</v>
      </c>
      <c r="K629" s="45">
        <v>3.8</v>
      </c>
      <c r="L629" s="49"/>
      <c r="M629" s="45"/>
      <c r="N629" s="47"/>
    </row>
    <row r="630" spans="1:14" ht="18" customHeight="1">
      <c r="A630" s="42" t="s">
        <v>3</v>
      </c>
      <c r="B630" s="9"/>
      <c r="C630" s="44">
        <v>98.84</v>
      </c>
      <c r="D630" s="45">
        <v>98.287000000000006</v>
      </c>
      <c r="E630" s="45">
        <v>98.22</v>
      </c>
      <c r="F630" s="45">
        <v>98.22</v>
      </c>
      <c r="G630" s="45">
        <v>98.22</v>
      </c>
      <c r="H630" s="45">
        <v>98.22</v>
      </c>
      <c r="I630" s="45">
        <v>98.22</v>
      </c>
      <c r="J630" s="45">
        <v>98.22</v>
      </c>
      <c r="K630" s="45">
        <v>98.84</v>
      </c>
      <c r="L630" s="49"/>
      <c r="M630" s="45"/>
      <c r="N630" s="52"/>
    </row>
    <row r="631" spans="1:14" ht="18" customHeight="1">
      <c r="A631" s="42" t="s">
        <v>18</v>
      </c>
      <c r="B631" s="9"/>
      <c r="C631" s="47">
        <f t="shared" ref="C631" si="195">C628-C630</f>
        <v>0</v>
      </c>
      <c r="D631" s="47">
        <f>D630-D628</f>
        <v>0.20700000000000784</v>
      </c>
      <c r="E631" s="47">
        <f t="shared" ref="E631" si="196">E630-E628</f>
        <v>0.17000000000000171</v>
      </c>
      <c r="F631" s="47">
        <f t="shared" ref="F631" si="197">F630-F628</f>
        <v>0.17000000000000171</v>
      </c>
      <c r="G631" s="47">
        <f t="shared" ref="G631" si="198">G630-G628</f>
        <v>0.17000000000000171</v>
      </c>
      <c r="H631" s="47">
        <f t="shared" ref="H631" si="199">H630-H628</f>
        <v>0.17000000000000171</v>
      </c>
      <c r="I631" s="47">
        <f t="shared" ref="I631" si="200">I630-I628</f>
        <v>0.17000000000000171</v>
      </c>
      <c r="J631" s="47">
        <f t="shared" ref="J631" si="201">J630-J628</f>
        <v>0.21999999999999886</v>
      </c>
      <c r="K631" s="47">
        <f t="shared" ref="K631" si="202">K630-K628</f>
        <v>0</v>
      </c>
      <c r="L631" s="47"/>
      <c r="M631" s="47"/>
      <c r="N631" s="47"/>
    </row>
    <row r="632" spans="1:14" ht="18" customHeight="1">
      <c r="A632" s="42" t="s">
        <v>5</v>
      </c>
      <c r="B632" s="9"/>
      <c r="C632" s="47">
        <f t="shared" ref="C632" si="203">(C631+B631)/2*(C627-B627)</f>
        <v>0</v>
      </c>
      <c r="D632" s="47">
        <f>(D631+C631)/2*(D627-C627)</f>
        <v>6.2100000000002348E-2</v>
      </c>
      <c r="E632" s="47">
        <f t="shared" ref="E632" si="204">(E631+D631)/2*(E627-D627)</f>
        <v>5.6550000000001439E-2</v>
      </c>
      <c r="F632" s="47">
        <f t="shared" ref="F632" si="205">(F631+E631)/2*(F627-E627)</f>
        <v>5.1000000000000503E-2</v>
      </c>
      <c r="G632" s="47">
        <f t="shared" ref="G632" si="206">(G631+F631)/2*(G627-F627)</f>
        <v>0.15300000000000155</v>
      </c>
      <c r="H632" s="47">
        <f t="shared" ref="H632" si="207">(H631+G631)/2*(H627-G627)</f>
        <v>5.1000000000000482E-2</v>
      </c>
      <c r="I632" s="47">
        <f t="shared" ref="I632" si="208">(I631+H631)/2*(I627-H627)</f>
        <v>0.15300000000000152</v>
      </c>
      <c r="J632" s="47">
        <f t="shared" ref="J632" si="209">(J631+I631)/2*(J627-I627)</f>
        <v>1.9500000000000045E-2</v>
      </c>
      <c r="K632" s="47">
        <f t="shared" ref="K632" si="210">(K631+J631)/2*(K627-J627)</f>
        <v>4.3999999999999762E-2</v>
      </c>
      <c r="L632" s="47"/>
      <c r="M632" s="47"/>
      <c r="N632" s="77">
        <f>SUM(B632:M632)</f>
        <v>0.59015000000000772</v>
      </c>
    </row>
    <row r="633" spans="1:14" ht="18" customHeight="1">
      <c r="A633" s="2"/>
      <c r="B633" s="2"/>
      <c r="C633" s="30"/>
      <c r="D633" s="30"/>
      <c r="E633" s="4"/>
      <c r="F633" s="4"/>
      <c r="G633" s="4"/>
      <c r="H633" s="4"/>
      <c r="I633" s="4"/>
      <c r="J633" s="179" t="s">
        <v>6</v>
      </c>
      <c r="K633" s="179"/>
      <c r="L633" s="179"/>
      <c r="M633" s="179"/>
      <c r="N633" s="5">
        <f>N632</f>
        <v>0.59015000000000772</v>
      </c>
    </row>
    <row r="634" spans="1:14" ht="18" customHeight="1">
      <c r="A634" s="24"/>
      <c r="B634" s="78"/>
      <c r="C634" s="18"/>
      <c r="D634" s="18"/>
      <c r="E634" s="21"/>
      <c r="F634" s="21"/>
      <c r="G634" s="21"/>
      <c r="H634" s="21"/>
      <c r="I634" s="21"/>
      <c r="J634" s="21"/>
      <c r="K634" s="21"/>
      <c r="L634" s="21"/>
      <c r="M634" s="21"/>
      <c r="N634" s="21"/>
    </row>
    <row r="635" spans="1:14" ht="14.1" customHeight="1">
      <c r="A635" s="2"/>
      <c r="B635" s="2"/>
      <c r="C635" s="30"/>
      <c r="D635" s="30"/>
      <c r="E635" s="21"/>
      <c r="F635" s="21"/>
      <c r="G635" s="21"/>
      <c r="H635" s="21"/>
      <c r="I635" s="21"/>
      <c r="J635" s="30"/>
      <c r="K635" s="30"/>
      <c r="L635" s="30"/>
      <c r="M635" s="30"/>
      <c r="N635" s="30"/>
    </row>
    <row r="636" spans="1:14" ht="14.1" customHeight="1">
      <c r="A636" s="6"/>
      <c r="B636" s="6"/>
      <c r="C636" s="7"/>
      <c r="D636" s="7"/>
      <c r="E636" s="7"/>
      <c r="F636" s="7"/>
      <c r="G636" s="7"/>
      <c r="H636" s="7"/>
      <c r="I636" s="7"/>
      <c r="K636" s="7"/>
      <c r="L636" s="7"/>
      <c r="M636" s="7"/>
      <c r="N636" s="7"/>
    </row>
    <row r="637" spans="1:14" ht="14.1" customHeight="1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</row>
    <row r="638" spans="1:14" ht="14.1" customHeight="1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</row>
    <row r="639" spans="1:14" ht="14.1" customHeight="1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</row>
    <row r="640" spans="1:14" ht="14.1" customHeight="1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</row>
    <row r="641" spans="1:14" ht="14.1" customHeight="1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</row>
    <row r="642" spans="1:14" ht="14.1" customHeight="1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</row>
    <row r="643" spans="1:14" ht="14.1" customHeight="1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</row>
    <row r="644" spans="1:14" ht="14.1" customHeight="1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</row>
    <row r="645" spans="1:14" ht="14.1" customHeight="1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</row>
    <row r="646" spans="1:14" ht="14.1" customHeight="1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</row>
    <row r="647" spans="1:14" ht="14.1" customHeight="1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</row>
    <row r="648" spans="1:14" ht="14.1" customHeight="1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</row>
    <row r="649" spans="1:14" ht="14.1" customHeight="1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</row>
    <row r="650" spans="1:14" ht="14.1" customHeight="1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</row>
    <row r="651" spans="1:14" ht="14.1" customHeight="1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</row>
    <row r="652" spans="1:14" ht="14.1" customHeight="1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</row>
    <row r="653" spans="1:14" ht="14.1" customHeight="1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</row>
    <row r="654" spans="1:14" ht="14.1" customHeight="1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</row>
    <row r="655" spans="1:14" ht="14.1" customHeight="1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</row>
    <row r="656" spans="1:14" ht="14.1" customHeight="1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</row>
    <row r="657" spans="1:15" ht="14.1" customHeight="1">
      <c r="A657" s="6"/>
      <c r="B657" s="6"/>
      <c r="C657" s="7"/>
      <c r="D657" s="7"/>
      <c r="E657" s="7"/>
      <c r="F657" s="7"/>
      <c r="G657" s="7"/>
      <c r="H657" s="7"/>
      <c r="I657" s="7"/>
      <c r="J657" s="35"/>
      <c r="K657" s="7"/>
      <c r="L657" s="7"/>
      <c r="M657" s="7"/>
      <c r="N657" s="7"/>
    </row>
    <row r="658" spans="1:15" ht="14.1" customHeight="1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</row>
    <row r="659" spans="1:15" ht="14.1" customHeight="1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</row>
    <row r="660" spans="1:15" ht="14.1" customHeight="1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</row>
    <row r="661" spans="1:15" ht="14.1" customHeight="1">
      <c r="A661" s="24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</row>
    <row r="662" spans="1:15" ht="14.1" customHeight="1"/>
    <row r="663" spans="1:15" ht="14.1" customHeight="1"/>
    <row r="664" spans="1:15" ht="14.1" customHeight="1"/>
    <row r="665" spans="1:15" ht="18" customHeight="1">
      <c r="A665" s="189" t="s">
        <v>0</v>
      </c>
      <c r="B665" s="190"/>
      <c r="C665" s="190"/>
      <c r="D665" s="190"/>
      <c r="E665" s="190"/>
      <c r="F665" s="190"/>
      <c r="G665" s="79">
        <v>960</v>
      </c>
      <c r="H665" s="113" t="s">
        <v>15</v>
      </c>
      <c r="I665" s="113"/>
      <c r="J665" s="114"/>
      <c r="K665" s="113"/>
      <c r="L665" s="113"/>
      <c r="M665" s="113"/>
      <c r="N665" s="113"/>
      <c r="O665" s="94"/>
    </row>
    <row r="666" spans="1:15" ht="18" customHeight="1">
      <c r="A666" s="81" t="s">
        <v>1</v>
      </c>
      <c r="B666" s="82"/>
      <c r="C666" s="115">
        <v>0</v>
      </c>
      <c r="D666" s="116">
        <v>0.9</v>
      </c>
      <c r="E666" s="116">
        <v>1.2</v>
      </c>
      <c r="F666" s="117">
        <v>2.4</v>
      </c>
      <c r="G666" s="117">
        <v>3.6</v>
      </c>
      <c r="H666" s="116">
        <v>3.6</v>
      </c>
      <c r="I666" s="52"/>
      <c r="J666" s="52"/>
      <c r="K666" s="84"/>
      <c r="L666" s="86"/>
      <c r="M666" s="84"/>
      <c r="N666" s="52"/>
      <c r="O666" s="94"/>
    </row>
    <row r="667" spans="1:15" ht="18" customHeight="1">
      <c r="A667" s="81" t="s">
        <v>2</v>
      </c>
      <c r="B667" s="82"/>
      <c r="C667" s="115">
        <v>99.37</v>
      </c>
      <c r="D667" s="116">
        <v>98.01</v>
      </c>
      <c r="E667" s="116">
        <v>98.01</v>
      </c>
      <c r="F667" s="116">
        <v>98.01</v>
      </c>
      <c r="G667" s="116">
        <v>98.01</v>
      </c>
      <c r="H667" s="116">
        <v>99.36</v>
      </c>
      <c r="I667" s="84"/>
      <c r="J667" s="84"/>
      <c r="K667" s="84"/>
      <c r="L667" s="86"/>
      <c r="M667" s="84"/>
      <c r="N667" s="52"/>
      <c r="O667" s="94"/>
    </row>
    <row r="668" spans="1:15" ht="18" customHeight="1">
      <c r="A668" s="81" t="s">
        <v>1</v>
      </c>
      <c r="B668" s="82"/>
      <c r="C668" s="115">
        <v>0</v>
      </c>
      <c r="D668" s="116">
        <v>0.9</v>
      </c>
      <c r="E668" s="116">
        <v>1.2</v>
      </c>
      <c r="F668" s="117">
        <v>2.4</v>
      </c>
      <c r="G668" s="117">
        <v>3.6</v>
      </c>
      <c r="H668" s="116">
        <v>3.6</v>
      </c>
      <c r="I668" s="52"/>
      <c r="J668" s="52"/>
      <c r="K668" s="84"/>
      <c r="L668" s="86"/>
      <c r="M668" s="84"/>
      <c r="N668" s="52"/>
      <c r="O668" s="94"/>
    </row>
    <row r="669" spans="1:15" ht="18" customHeight="1">
      <c r="A669" s="81" t="s">
        <v>3</v>
      </c>
      <c r="B669" s="87"/>
      <c r="C669" s="115">
        <v>99.37</v>
      </c>
      <c r="D669" s="116">
        <v>98.177000000000007</v>
      </c>
      <c r="E669" s="116">
        <v>98.174999999999997</v>
      </c>
      <c r="F669" s="116">
        <v>98.174999999999997</v>
      </c>
      <c r="G669" s="116">
        <v>98.174999999999997</v>
      </c>
      <c r="H669" s="116">
        <v>99.36</v>
      </c>
      <c r="I669" s="84"/>
      <c r="J669" s="84"/>
      <c r="K669" s="84"/>
      <c r="L669" s="86"/>
      <c r="M669" s="84"/>
      <c r="N669" s="52"/>
      <c r="O669" s="94"/>
    </row>
    <row r="670" spans="1:15" ht="18" customHeight="1">
      <c r="A670" s="81" t="s">
        <v>18</v>
      </c>
      <c r="B670" s="87"/>
      <c r="C670" s="118">
        <f t="shared" ref="C670" si="211">C667-C669</f>
        <v>0</v>
      </c>
      <c r="D670" s="118">
        <f>D669-D667</f>
        <v>0.16700000000000159</v>
      </c>
      <c r="E670" s="118">
        <f t="shared" ref="E670" si="212">E669-E667</f>
        <v>0.16499999999999204</v>
      </c>
      <c r="F670" s="118">
        <f t="shared" ref="F670" si="213">F669-F667</f>
        <v>0.16499999999999204</v>
      </c>
      <c r="G670" s="118">
        <f t="shared" ref="G670" si="214">G669-G667</f>
        <v>0.16499999999999204</v>
      </c>
      <c r="H670" s="118">
        <f t="shared" ref="H670" si="215">H669-H667</f>
        <v>0</v>
      </c>
      <c r="I670" s="52"/>
      <c r="J670" s="52"/>
      <c r="K670" s="52"/>
      <c r="L670" s="52"/>
      <c r="M670" s="52"/>
      <c r="N670" s="52"/>
      <c r="O670" s="94"/>
    </row>
    <row r="671" spans="1:15" ht="18" customHeight="1">
      <c r="A671" s="81" t="s">
        <v>5</v>
      </c>
      <c r="B671" s="87"/>
      <c r="C671" s="118">
        <f t="shared" ref="C671" si="216">(C670+B670)/2*(C666-B666)</f>
        <v>0</v>
      </c>
      <c r="D671" s="118">
        <f>(D670+C670)/2*(D666-C666)</f>
        <v>7.5150000000000716E-2</v>
      </c>
      <c r="E671" s="118">
        <f t="shared" ref="E671" si="217">(E670+D670)/2*(E666-D666)</f>
        <v>4.9799999999999033E-2</v>
      </c>
      <c r="F671" s="118">
        <f t="shared" ref="F671" si="218">(F670+E670)/2*(F666-E666)</f>
        <v>0.19799999999999043</v>
      </c>
      <c r="G671" s="118">
        <f t="shared" ref="G671" si="219">(G670+F670)/2*(G666-F666)</f>
        <v>0.19799999999999049</v>
      </c>
      <c r="H671" s="118">
        <f t="shared" ref="H671" si="220">(H670+G670)/2*(H666-G666)</f>
        <v>0</v>
      </c>
      <c r="I671" s="52"/>
      <c r="J671" s="52"/>
      <c r="K671" s="52"/>
      <c r="L671" s="52"/>
      <c r="M671" s="52"/>
      <c r="N671" s="88">
        <f>SUM(B671:M671)</f>
        <v>0.52094999999998071</v>
      </c>
      <c r="O671" s="94"/>
    </row>
    <row r="672" spans="1:15" ht="18" customHeight="1">
      <c r="A672" s="89"/>
      <c r="B672" s="89"/>
      <c r="C672" s="90"/>
      <c r="D672" s="90"/>
      <c r="E672" s="91"/>
      <c r="F672" s="91"/>
      <c r="G672" s="91"/>
      <c r="H672" s="91"/>
      <c r="I672" s="91"/>
      <c r="J672" s="187" t="s">
        <v>6</v>
      </c>
      <c r="K672" s="187"/>
      <c r="L672" s="187"/>
      <c r="M672" s="187"/>
      <c r="N672" s="111">
        <f>N671</f>
        <v>0.52094999999998071</v>
      </c>
      <c r="O672" s="94"/>
    </row>
    <row r="673" spans="1:15" ht="18" customHeight="1">
      <c r="A673" s="119"/>
      <c r="B673" s="120"/>
      <c r="C673" s="121"/>
      <c r="D673" s="121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94"/>
    </row>
    <row r="674" spans="1:15" ht="14.1" customHeight="1">
      <c r="A674" s="2"/>
      <c r="B674" s="2"/>
      <c r="C674" s="30"/>
      <c r="D674" s="30"/>
      <c r="E674" s="21"/>
      <c r="F674" s="21"/>
      <c r="G674" s="21"/>
      <c r="H674" s="21"/>
      <c r="I674" s="21"/>
      <c r="J674" s="30"/>
      <c r="K674" s="30"/>
      <c r="L674" s="30"/>
      <c r="M674" s="30"/>
      <c r="N674" s="30"/>
    </row>
    <row r="675" spans="1:15" ht="14.1" customHeight="1">
      <c r="A675" s="6"/>
      <c r="B675" s="6"/>
      <c r="C675" s="7"/>
      <c r="D675" s="7"/>
      <c r="E675" s="7"/>
      <c r="F675" s="7"/>
      <c r="G675" s="7"/>
      <c r="H675" s="7"/>
      <c r="I675" s="7"/>
      <c r="K675" s="7"/>
      <c r="L675" s="7"/>
      <c r="M675" s="7"/>
      <c r="N675" s="7"/>
    </row>
    <row r="676" spans="1:15" ht="14.1" customHeight="1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</row>
    <row r="677" spans="1:15" ht="14.1" customHeight="1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</row>
    <row r="678" spans="1:15" ht="14.1" customHeight="1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</row>
    <row r="679" spans="1:15" ht="14.1" customHeight="1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</row>
    <row r="680" spans="1:15" ht="14.1" customHeight="1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</row>
    <row r="681" spans="1:15" ht="14.1" customHeight="1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</row>
    <row r="682" spans="1:15" ht="14.1" customHeight="1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</row>
    <row r="683" spans="1:15" ht="14.1" customHeight="1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</row>
    <row r="684" spans="1:15" ht="14.1" customHeight="1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</row>
    <row r="685" spans="1:15" ht="14.1" customHeight="1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</row>
    <row r="686" spans="1:15" ht="14.1" customHeight="1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</row>
    <row r="687" spans="1:15" ht="14.1" customHeight="1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</row>
    <row r="688" spans="1:15" ht="14.1" customHeight="1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</row>
    <row r="689" spans="1:14" ht="14.1" customHeight="1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</row>
    <row r="690" spans="1:14" ht="14.1" customHeight="1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</row>
    <row r="691" spans="1:14" ht="14.1" customHeight="1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</row>
    <row r="692" spans="1:14" ht="14.1" customHeight="1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</row>
    <row r="693" spans="1:14" ht="14.1" customHeight="1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</row>
    <row r="694" spans="1:14" ht="14.1" customHeight="1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</row>
    <row r="695" spans="1:14" ht="14.1" customHeight="1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</row>
    <row r="696" spans="1:14" ht="14.1" customHeight="1">
      <c r="A696" s="6"/>
      <c r="B696" s="6"/>
      <c r="C696" s="7"/>
      <c r="D696" s="7"/>
      <c r="E696" s="7"/>
      <c r="F696" s="7"/>
      <c r="G696" s="7"/>
      <c r="H696" s="7"/>
      <c r="I696" s="7"/>
      <c r="J696" s="30"/>
      <c r="K696" s="7"/>
      <c r="L696" s="7"/>
      <c r="M696" s="7"/>
      <c r="N696" s="7"/>
    </row>
    <row r="697" spans="1:14" ht="14.1" customHeight="1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</row>
    <row r="698" spans="1:14" ht="14.1" customHeight="1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</row>
    <row r="699" spans="1:14" ht="14.1" customHeight="1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</row>
    <row r="700" spans="1:14" ht="14.1" customHeight="1">
      <c r="A700" s="24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</row>
    <row r="701" spans="1:14" ht="14.1" customHeight="1"/>
    <row r="702" spans="1:14" ht="14.1" customHeight="1"/>
    <row r="703" spans="1:14" ht="14.1" customHeight="1">
      <c r="B703" s="181"/>
      <c r="C703" s="181"/>
      <c r="D703" s="181"/>
      <c r="E703" s="25"/>
      <c r="F703" s="25"/>
      <c r="G703" s="167"/>
      <c r="H703" s="167"/>
      <c r="I703" s="167"/>
      <c r="J703" s="7"/>
      <c r="K703" s="182"/>
      <c r="L703" s="182"/>
    </row>
    <row r="704" spans="1:14" ht="14.1" customHeight="1">
      <c r="B704" s="170"/>
      <c r="C704" s="170"/>
      <c r="D704" s="170"/>
      <c r="E704" s="26"/>
      <c r="F704" s="26"/>
      <c r="G704" s="170"/>
      <c r="H704" s="170"/>
      <c r="I704" s="170"/>
      <c r="J704" s="25"/>
      <c r="K704" s="171"/>
      <c r="L704" s="171"/>
    </row>
    <row r="705" spans="1:15" ht="14.1" customHeight="1"/>
    <row r="706" spans="1:15" ht="14.1" customHeight="1"/>
    <row r="707" spans="1:15" ht="14.1" customHeight="1"/>
    <row r="708" spans="1:15" ht="18" customHeight="1">
      <c r="A708" s="189" t="s">
        <v>0</v>
      </c>
      <c r="B708" s="190"/>
      <c r="C708" s="190"/>
      <c r="D708" s="190"/>
      <c r="E708" s="190"/>
      <c r="F708" s="190"/>
      <c r="G708" s="79">
        <v>1020</v>
      </c>
      <c r="H708" s="113" t="s">
        <v>15</v>
      </c>
      <c r="I708" s="113"/>
      <c r="J708" s="114"/>
      <c r="K708" s="113"/>
      <c r="L708" s="113"/>
      <c r="M708" s="113"/>
      <c r="N708" s="113"/>
      <c r="O708" s="94"/>
    </row>
    <row r="709" spans="1:15" ht="18" customHeight="1">
      <c r="A709" s="81" t="s">
        <v>1</v>
      </c>
      <c r="B709" s="82"/>
      <c r="C709" s="83">
        <v>0</v>
      </c>
      <c r="D709" s="84">
        <v>0.6</v>
      </c>
      <c r="E709" s="84">
        <v>1.2</v>
      </c>
      <c r="F709" s="85">
        <v>2.4</v>
      </c>
      <c r="G709" s="85">
        <v>3.3</v>
      </c>
      <c r="H709" s="84">
        <v>3.3</v>
      </c>
      <c r="I709" s="52"/>
      <c r="J709" s="52"/>
      <c r="K709" s="84"/>
      <c r="L709" s="86"/>
      <c r="M709" s="84"/>
      <c r="N709" s="52"/>
      <c r="O709" s="94"/>
    </row>
    <row r="710" spans="1:15" ht="18" customHeight="1">
      <c r="A710" s="81" t="s">
        <v>2</v>
      </c>
      <c r="B710" s="82"/>
      <c r="C710" s="83">
        <v>98.79</v>
      </c>
      <c r="D710" s="84">
        <v>97.91</v>
      </c>
      <c r="E710" s="84">
        <v>97.91</v>
      </c>
      <c r="F710" s="84">
        <v>97.91</v>
      </c>
      <c r="G710" s="84">
        <v>97.91</v>
      </c>
      <c r="H710" s="84">
        <v>98.79</v>
      </c>
      <c r="I710" s="84"/>
      <c r="J710" s="84"/>
      <c r="K710" s="84"/>
      <c r="L710" s="86"/>
      <c r="M710" s="84"/>
      <c r="N710" s="52"/>
      <c r="O710" s="94"/>
    </row>
    <row r="711" spans="1:15" ht="18" customHeight="1">
      <c r="A711" s="81" t="s">
        <v>1</v>
      </c>
      <c r="B711" s="82"/>
      <c r="C711" s="83">
        <v>0</v>
      </c>
      <c r="D711" s="84">
        <v>0.6</v>
      </c>
      <c r="E711" s="84">
        <v>1.2</v>
      </c>
      <c r="F711" s="85">
        <v>2.4</v>
      </c>
      <c r="G711" s="85">
        <v>3.3</v>
      </c>
      <c r="H711" s="84">
        <v>3.3</v>
      </c>
      <c r="I711" s="52"/>
      <c r="J711" s="52"/>
      <c r="K711" s="84"/>
      <c r="L711" s="86"/>
      <c r="M711" s="84"/>
      <c r="N711" s="52"/>
      <c r="O711" s="94"/>
    </row>
    <row r="712" spans="1:15" ht="18" customHeight="1">
      <c r="A712" s="81" t="s">
        <v>3</v>
      </c>
      <c r="B712" s="87"/>
      <c r="C712" s="83">
        <v>98.79</v>
      </c>
      <c r="D712" s="84">
        <v>98.12</v>
      </c>
      <c r="E712" s="84">
        <v>98.12</v>
      </c>
      <c r="F712" s="84">
        <v>98.12</v>
      </c>
      <c r="G712" s="84">
        <v>98.12</v>
      </c>
      <c r="H712" s="84">
        <v>98.79</v>
      </c>
      <c r="I712" s="84"/>
      <c r="J712" s="84"/>
      <c r="K712" s="84"/>
      <c r="L712" s="86"/>
      <c r="M712" s="84"/>
      <c r="N712" s="52"/>
      <c r="O712" s="94"/>
    </row>
    <row r="713" spans="1:15" ht="18" customHeight="1">
      <c r="A713" s="81" t="s">
        <v>18</v>
      </c>
      <c r="B713" s="87"/>
      <c r="C713" s="52">
        <f t="shared" ref="C713" si="221">C710-C712</f>
        <v>0</v>
      </c>
      <c r="D713" s="52">
        <f>D712-D710</f>
        <v>0.21000000000000796</v>
      </c>
      <c r="E713" s="52">
        <f>E712-E710</f>
        <v>0.21000000000000796</v>
      </c>
      <c r="F713" s="52">
        <f t="shared" ref="F713:H713" si="222">F712-F710</f>
        <v>0.21000000000000796</v>
      </c>
      <c r="G713" s="52">
        <f t="shared" si="222"/>
        <v>0.21000000000000796</v>
      </c>
      <c r="H713" s="52">
        <f t="shared" si="222"/>
        <v>0</v>
      </c>
      <c r="I713" s="52"/>
      <c r="J713" s="52"/>
      <c r="K713" s="52"/>
      <c r="L713" s="52"/>
      <c r="M713" s="52"/>
      <c r="N713" s="52"/>
      <c r="O713" s="94"/>
    </row>
    <row r="714" spans="1:15" ht="18" customHeight="1">
      <c r="A714" s="81" t="s">
        <v>5</v>
      </c>
      <c r="B714" s="87"/>
      <c r="C714" s="52">
        <f t="shared" ref="C714" si="223">(C713+B713)/2*(C709-B709)</f>
        <v>0</v>
      </c>
      <c r="D714" s="52">
        <f>(D713+C713)/2*(D709-C709)</f>
        <v>6.3000000000002387E-2</v>
      </c>
      <c r="E714" s="52">
        <f t="shared" ref="E714:H714" si="224">(E713+D713)/2*(E709-D709)</f>
        <v>0.12600000000000477</v>
      </c>
      <c r="F714" s="52">
        <f t="shared" si="224"/>
        <v>0.25200000000000955</v>
      </c>
      <c r="G714" s="52">
        <f t="shared" si="224"/>
        <v>0.18900000000000713</v>
      </c>
      <c r="H714" s="52">
        <f t="shared" si="224"/>
        <v>0</v>
      </c>
      <c r="I714" s="52"/>
      <c r="J714" s="52"/>
      <c r="K714" s="52"/>
      <c r="L714" s="52"/>
      <c r="M714" s="52"/>
      <c r="N714" s="88">
        <f>SUM(B714:M714)</f>
        <v>0.63000000000002387</v>
      </c>
      <c r="O714" s="94"/>
    </row>
    <row r="715" spans="1:15" ht="18" customHeight="1">
      <c r="A715" s="89"/>
      <c r="B715" s="89"/>
      <c r="C715" s="90"/>
      <c r="D715" s="90"/>
      <c r="E715" s="91"/>
      <c r="F715" s="91"/>
      <c r="G715" s="91"/>
      <c r="H715" s="91"/>
      <c r="I715" s="91"/>
      <c r="J715" s="187" t="s">
        <v>6</v>
      </c>
      <c r="K715" s="187"/>
      <c r="L715" s="187"/>
      <c r="M715" s="187"/>
      <c r="N715" s="111">
        <f>N714</f>
        <v>0.63000000000002387</v>
      </c>
      <c r="O715" s="94"/>
    </row>
    <row r="716" spans="1:15" ht="18" customHeight="1">
      <c r="A716" s="24"/>
      <c r="B716" s="78"/>
      <c r="C716" s="18"/>
      <c r="D716" s="18"/>
      <c r="E716" s="21"/>
      <c r="F716" s="21"/>
      <c r="G716" s="21"/>
      <c r="H716" s="21"/>
      <c r="I716" s="21"/>
      <c r="J716" s="21"/>
      <c r="K716" s="21"/>
      <c r="L716" s="21"/>
      <c r="M716" s="21"/>
      <c r="N716" s="21"/>
    </row>
    <row r="717" spans="1:15" ht="14.1" customHeight="1">
      <c r="A717" s="2"/>
      <c r="B717" s="2"/>
      <c r="C717" s="30"/>
      <c r="D717" s="30"/>
      <c r="E717" s="21"/>
      <c r="F717" s="21"/>
      <c r="G717" s="21"/>
      <c r="H717" s="21"/>
      <c r="I717" s="21"/>
      <c r="J717" s="30"/>
      <c r="K717" s="30"/>
      <c r="L717" s="30"/>
      <c r="M717" s="30"/>
      <c r="N717" s="30"/>
    </row>
    <row r="718" spans="1:15" ht="14.1" customHeight="1">
      <c r="A718" s="6"/>
      <c r="B718" s="6"/>
      <c r="C718" s="7"/>
      <c r="D718" s="7"/>
      <c r="E718" s="7"/>
      <c r="F718" s="7"/>
      <c r="G718" s="7"/>
      <c r="H718" s="7"/>
      <c r="I718" s="7"/>
      <c r="K718" s="7"/>
      <c r="L718" s="7"/>
      <c r="M718" s="7"/>
      <c r="N718" s="7"/>
    </row>
    <row r="719" spans="1:15" ht="14.1" customHeight="1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</row>
    <row r="720" spans="1:15" ht="14.1" customHeight="1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</row>
    <row r="721" spans="1:14" ht="14.1" customHeight="1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</row>
    <row r="722" spans="1:14" ht="14.1" customHeight="1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</row>
    <row r="723" spans="1:14" ht="14.1" customHeight="1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</row>
    <row r="724" spans="1:14" ht="14.1" customHeight="1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</row>
    <row r="725" spans="1:14" ht="14.1" customHeight="1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</row>
    <row r="726" spans="1:14" ht="14.1" customHeight="1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</row>
    <row r="727" spans="1:14" ht="14.1" customHeight="1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</row>
    <row r="728" spans="1:14" ht="14.1" customHeight="1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</row>
    <row r="729" spans="1:14" ht="14.1" customHeight="1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</row>
    <row r="730" spans="1:14" ht="14.1" customHeight="1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</row>
    <row r="731" spans="1:14" ht="14.1" customHeight="1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</row>
    <row r="732" spans="1:14" ht="14.1" customHeight="1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</row>
    <row r="733" spans="1:14" ht="14.1" customHeight="1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</row>
    <row r="734" spans="1:14" ht="14.1" customHeight="1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</row>
    <row r="735" spans="1:14" ht="14.1" customHeight="1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</row>
    <row r="736" spans="1:14" ht="14.1" customHeight="1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</row>
    <row r="737" spans="1:15" ht="14.1" customHeight="1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</row>
    <row r="738" spans="1:15" ht="14.1" customHeight="1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</row>
    <row r="739" spans="1:15" ht="14.1" customHeight="1">
      <c r="A739" s="6"/>
      <c r="B739" s="6"/>
      <c r="C739" s="7"/>
      <c r="D739" s="7"/>
      <c r="E739" s="7"/>
      <c r="F739" s="7"/>
      <c r="G739" s="7"/>
      <c r="H739" s="7"/>
      <c r="I739" s="7"/>
      <c r="J739" s="35"/>
      <c r="K739" s="7"/>
      <c r="L739" s="7"/>
      <c r="M739" s="7"/>
      <c r="N739" s="7"/>
    </row>
    <row r="740" spans="1:15" ht="14.1" customHeight="1">
      <c r="A740" s="6"/>
      <c r="B740" s="6"/>
      <c r="C740" s="7"/>
      <c r="D740" s="7"/>
      <c r="E740" s="7"/>
      <c r="F740" s="7"/>
      <c r="G740" s="7"/>
      <c r="H740" s="7"/>
      <c r="I740" s="7"/>
      <c r="J740" s="30"/>
      <c r="K740" s="7"/>
      <c r="L740" s="7"/>
      <c r="M740" s="7"/>
      <c r="N740" s="7"/>
    </row>
    <row r="741" spans="1:15" ht="14.1" customHeight="1">
      <c r="A741" s="6"/>
      <c r="B741" s="6"/>
      <c r="C741" s="7"/>
      <c r="D741" s="7"/>
      <c r="E741" s="7"/>
      <c r="F741" s="7"/>
      <c r="G741" s="7"/>
      <c r="H741" s="7"/>
      <c r="I741" s="7"/>
      <c r="J741" s="30"/>
      <c r="K741" s="7"/>
      <c r="L741" s="7"/>
      <c r="M741" s="7"/>
      <c r="N741" s="7"/>
    </row>
    <row r="742" spans="1:15" ht="14.1" customHeight="1">
      <c r="A742" s="6"/>
      <c r="B742" s="6"/>
      <c r="C742" s="7"/>
      <c r="D742" s="7"/>
      <c r="E742" s="7"/>
      <c r="F742" s="7"/>
      <c r="G742" s="7"/>
      <c r="H742" s="7"/>
      <c r="I742" s="7"/>
      <c r="J742" s="30"/>
      <c r="K742" s="7"/>
      <c r="L742" s="7"/>
      <c r="M742" s="7"/>
      <c r="N742" s="7"/>
    </row>
    <row r="743" spans="1:15" ht="14.1" customHeight="1">
      <c r="A743" s="6"/>
      <c r="B743" s="6"/>
      <c r="C743" s="7"/>
      <c r="D743" s="7"/>
      <c r="E743" s="7"/>
      <c r="F743" s="7"/>
      <c r="G743" s="7"/>
      <c r="H743" s="7"/>
      <c r="I743" s="7"/>
      <c r="J743" s="30"/>
      <c r="K743" s="7"/>
      <c r="L743" s="7"/>
      <c r="M743" s="7"/>
      <c r="N743" s="7"/>
    </row>
    <row r="744" spans="1:15" ht="14.1" customHeight="1">
      <c r="A744" s="6"/>
      <c r="B744" s="6"/>
      <c r="C744" s="7"/>
      <c r="D744" s="7"/>
      <c r="E744" s="7"/>
      <c r="F744" s="7"/>
      <c r="G744" s="7"/>
      <c r="H744" s="7"/>
      <c r="I744" s="7"/>
      <c r="J744" s="30"/>
      <c r="K744" s="7"/>
      <c r="L744" s="7"/>
      <c r="M744" s="7"/>
      <c r="N744" s="7"/>
    </row>
    <row r="745" spans="1:15" ht="14.1" customHeight="1">
      <c r="A745" s="6"/>
      <c r="B745" s="6"/>
      <c r="C745" s="7"/>
      <c r="D745" s="7"/>
      <c r="E745" s="7"/>
      <c r="F745" s="7"/>
      <c r="G745" s="7"/>
      <c r="H745" s="7"/>
      <c r="I745" s="7"/>
      <c r="J745" s="30"/>
      <c r="K745" s="7"/>
      <c r="L745" s="7"/>
      <c r="M745" s="7"/>
      <c r="N745" s="7"/>
    </row>
    <row r="746" spans="1:15" ht="14.1" customHeight="1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</row>
    <row r="747" spans="1:15" ht="14.1" customHeight="1"/>
    <row r="748" spans="1:15" ht="14.1" customHeight="1"/>
    <row r="749" spans="1:15" ht="18" customHeight="1">
      <c r="A749" s="189" t="s">
        <v>0</v>
      </c>
      <c r="B749" s="190"/>
      <c r="C749" s="190"/>
      <c r="D749" s="190"/>
      <c r="E749" s="190"/>
      <c r="F749" s="190"/>
      <c r="G749" s="79">
        <v>1080</v>
      </c>
      <c r="H749" s="113" t="s">
        <v>15</v>
      </c>
      <c r="I749" s="113"/>
      <c r="J749" s="122"/>
      <c r="K749" s="113"/>
      <c r="L749" s="113"/>
      <c r="M749" s="113"/>
      <c r="N749" s="113"/>
      <c r="O749" s="94"/>
    </row>
    <row r="750" spans="1:15" ht="18" customHeight="1">
      <c r="A750" s="81" t="s">
        <v>1</v>
      </c>
      <c r="B750" s="82"/>
      <c r="C750" s="83">
        <v>0</v>
      </c>
      <c r="D750" s="84">
        <v>0.6</v>
      </c>
      <c r="E750" s="84">
        <v>1.2</v>
      </c>
      <c r="F750" s="85">
        <v>2.4</v>
      </c>
      <c r="G750" s="85">
        <v>3.4</v>
      </c>
      <c r="H750" s="84">
        <v>3.5</v>
      </c>
      <c r="I750" s="52">
        <v>3.8</v>
      </c>
      <c r="J750" s="52">
        <v>4</v>
      </c>
      <c r="K750" s="84"/>
      <c r="L750" s="86"/>
      <c r="M750" s="84"/>
      <c r="N750" s="52"/>
      <c r="O750" s="94"/>
    </row>
    <row r="751" spans="1:15" ht="18" customHeight="1">
      <c r="A751" s="81" t="s">
        <v>2</v>
      </c>
      <c r="B751" s="82"/>
      <c r="C751" s="83">
        <v>98.75</v>
      </c>
      <c r="D751" s="84">
        <v>97.91</v>
      </c>
      <c r="E751" s="84">
        <v>97.91</v>
      </c>
      <c r="F751" s="84">
        <v>97.91</v>
      </c>
      <c r="G751" s="84">
        <v>97.91</v>
      </c>
      <c r="H751" s="84">
        <v>98.048000000000002</v>
      </c>
      <c r="I751" s="84">
        <v>98.46</v>
      </c>
      <c r="J751" s="84">
        <v>98.69</v>
      </c>
      <c r="K751" s="84"/>
      <c r="L751" s="86"/>
      <c r="M751" s="84"/>
      <c r="N751" s="52"/>
      <c r="O751" s="94"/>
    </row>
    <row r="752" spans="1:15" ht="18" customHeight="1">
      <c r="A752" s="81" t="s">
        <v>1</v>
      </c>
      <c r="B752" s="82"/>
      <c r="C752" s="83">
        <v>0</v>
      </c>
      <c r="D752" s="84">
        <v>0.6</v>
      </c>
      <c r="E752" s="84">
        <v>1.2</v>
      </c>
      <c r="F752" s="85">
        <v>2.4</v>
      </c>
      <c r="G752" s="85">
        <v>3.4</v>
      </c>
      <c r="H752" s="84">
        <v>3.5</v>
      </c>
      <c r="I752" s="52">
        <v>3.8</v>
      </c>
      <c r="J752" s="52">
        <v>4</v>
      </c>
      <c r="K752" s="84"/>
      <c r="L752" s="86"/>
      <c r="M752" s="84"/>
      <c r="N752" s="52"/>
      <c r="O752" s="94"/>
    </row>
    <row r="753" spans="1:15" ht="18" customHeight="1">
      <c r="A753" s="81" t="s">
        <v>3</v>
      </c>
      <c r="B753" s="87"/>
      <c r="C753" s="83">
        <v>98.75</v>
      </c>
      <c r="D753" s="84">
        <v>98.228999999999999</v>
      </c>
      <c r="E753" s="84">
        <v>98.24</v>
      </c>
      <c r="F753" s="84">
        <v>98.24</v>
      </c>
      <c r="G753" s="84">
        <v>98.24</v>
      </c>
      <c r="H753" s="84">
        <v>98.24</v>
      </c>
      <c r="I753" s="84">
        <v>98.46</v>
      </c>
      <c r="J753" s="84">
        <v>98.69</v>
      </c>
      <c r="K753" s="84"/>
      <c r="L753" s="86"/>
      <c r="M753" s="84"/>
      <c r="N753" s="52"/>
      <c r="O753" s="94"/>
    </row>
    <row r="754" spans="1:15" ht="18" customHeight="1">
      <c r="A754" s="81" t="s">
        <v>18</v>
      </c>
      <c r="B754" s="87"/>
      <c r="C754" s="52">
        <f t="shared" ref="C754" si="225">C751-C753</f>
        <v>0</v>
      </c>
      <c r="D754" s="52">
        <f>D753-D751</f>
        <v>0.31900000000000261</v>
      </c>
      <c r="E754" s="52">
        <f t="shared" ref="E754" si="226">E753-E751</f>
        <v>0.32999999999999829</v>
      </c>
      <c r="F754" s="52">
        <f t="shared" ref="F754" si="227">F753-F751</f>
        <v>0.32999999999999829</v>
      </c>
      <c r="G754" s="52">
        <f t="shared" ref="G754" si="228">G753-G751</f>
        <v>0.32999999999999829</v>
      </c>
      <c r="H754" s="52">
        <f t="shared" ref="H754" si="229">H753-H751</f>
        <v>0.19199999999999307</v>
      </c>
      <c r="I754" s="52">
        <f t="shared" ref="I754" si="230">I753-I751</f>
        <v>0</v>
      </c>
      <c r="J754" s="52">
        <f t="shared" ref="J754" si="231">J753-J751</f>
        <v>0</v>
      </c>
      <c r="K754" s="52"/>
      <c r="L754" s="52"/>
      <c r="M754" s="52"/>
      <c r="N754" s="52"/>
      <c r="O754" s="94"/>
    </row>
    <row r="755" spans="1:15" ht="18" customHeight="1">
      <c r="A755" s="81" t="s">
        <v>5</v>
      </c>
      <c r="B755" s="87"/>
      <c r="C755" s="52">
        <f t="shared" ref="C755" si="232">(C754+B754)/2*(C750-B750)</f>
        <v>0</v>
      </c>
      <c r="D755" s="52">
        <f>(D754+C754)/2*(D750-C750)</f>
        <v>9.5700000000000784E-2</v>
      </c>
      <c r="E755" s="52">
        <f t="shared" ref="E755" si="233">(E754+D754)/2*(E750-D750)</f>
        <v>0.19470000000000026</v>
      </c>
      <c r="F755" s="52">
        <f t="shared" ref="F755" si="234">(F754+E754)/2*(F750-E750)</f>
        <v>0.39599999999999796</v>
      </c>
      <c r="G755" s="52">
        <f t="shared" ref="G755" si="235">(G754+F754)/2*(G750-F750)</f>
        <v>0.32999999999999829</v>
      </c>
      <c r="H755" s="52">
        <f t="shared" ref="H755" si="236">(H754+G754)/2*(H750-G750)</f>
        <v>2.6099999999999592E-2</v>
      </c>
      <c r="I755" s="52">
        <f t="shared" ref="I755" si="237">(I754+H754)/2*(I750-H750)</f>
        <v>2.8799999999998941E-2</v>
      </c>
      <c r="J755" s="52">
        <f t="shared" ref="J755" si="238">(J754+I754)/2*(J750-I750)</f>
        <v>0</v>
      </c>
      <c r="K755" s="52"/>
      <c r="L755" s="52"/>
      <c r="M755" s="52"/>
      <c r="N755" s="88">
        <f>SUM(B755:M755)</f>
        <v>1.0712999999999959</v>
      </c>
      <c r="O755" s="94"/>
    </row>
    <row r="756" spans="1:15" ht="18" customHeight="1">
      <c r="A756" s="89"/>
      <c r="B756" s="89"/>
      <c r="C756" s="90"/>
      <c r="D756" s="90"/>
      <c r="E756" s="91"/>
      <c r="F756" s="91"/>
      <c r="G756" s="91"/>
      <c r="H756" s="91"/>
      <c r="I756" s="91"/>
      <c r="J756" s="187" t="s">
        <v>6</v>
      </c>
      <c r="K756" s="187"/>
      <c r="L756" s="187"/>
      <c r="M756" s="187"/>
      <c r="N756" s="111">
        <f>N755</f>
        <v>1.0712999999999959</v>
      </c>
      <c r="O756" s="94"/>
    </row>
    <row r="757" spans="1:15" ht="18" customHeight="1">
      <c r="A757" s="24"/>
      <c r="B757" s="78"/>
      <c r="C757" s="18"/>
      <c r="D757" s="18"/>
      <c r="E757" s="21"/>
      <c r="F757" s="21"/>
      <c r="G757" s="21"/>
      <c r="H757" s="21"/>
      <c r="I757" s="21"/>
      <c r="J757" s="21"/>
      <c r="K757" s="21"/>
      <c r="L757" s="21"/>
      <c r="M757" s="21"/>
      <c r="N757" s="21"/>
    </row>
    <row r="758" spans="1:15" ht="14.1" customHeight="1">
      <c r="A758" s="2"/>
      <c r="B758" s="2"/>
      <c r="C758" s="30"/>
      <c r="D758" s="30"/>
      <c r="E758" s="21"/>
      <c r="F758" s="21"/>
      <c r="G758" s="21"/>
      <c r="H758" s="21"/>
      <c r="I758" s="21"/>
      <c r="J758" s="30"/>
      <c r="K758" s="30"/>
      <c r="L758" s="30"/>
      <c r="M758" s="30"/>
      <c r="N758" s="30"/>
    </row>
    <row r="759" spans="1:15" ht="14.1" customHeight="1">
      <c r="A759" s="6"/>
      <c r="B759" s="6"/>
      <c r="C759" s="7"/>
      <c r="D759" s="7"/>
      <c r="E759" s="7"/>
      <c r="F759" s="7"/>
      <c r="G759" s="7"/>
      <c r="H759" s="7"/>
      <c r="I759" s="7"/>
      <c r="K759" s="7"/>
      <c r="L759" s="7"/>
      <c r="M759" s="7"/>
      <c r="N759" s="7"/>
    </row>
    <row r="760" spans="1:15" ht="14.1" customHeight="1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</row>
    <row r="761" spans="1:15" ht="14.1" customHeight="1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</row>
    <row r="762" spans="1:15" ht="14.1" customHeight="1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</row>
    <row r="763" spans="1:15" ht="14.1" customHeight="1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</row>
    <row r="764" spans="1:15" ht="14.1" customHeight="1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</row>
    <row r="765" spans="1:15" ht="14.1" customHeight="1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</row>
    <row r="766" spans="1:15" ht="14.1" customHeight="1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</row>
    <row r="767" spans="1:15" ht="14.1" customHeight="1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</row>
    <row r="768" spans="1:15" ht="14.1" customHeight="1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</row>
    <row r="769" spans="1:14" ht="14.1" customHeight="1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</row>
    <row r="770" spans="1:14" ht="14.1" customHeight="1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</row>
    <row r="771" spans="1:14" ht="14.1" customHeight="1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</row>
    <row r="772" spans="1:14" ht="14.1" customHeight="1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</row>
    <row r="773" spans="1:14" ht="14.1" customHeight="1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</row>
    <row r="774" spans="1:14" ht="14.1" customHeight="1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</row>
    <row r="775" spans="1:14" ht="14.1" customHeight="1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</row>
    <row r="776" spans="1:14" ht="14.1" customHeight="1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</row>
    <row r="777" spans="1:14" ht="14.1" customHeight="1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</row>
    <row r="778" spans="1:14" ht="14.1" customHeight="1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</row>
    <row r="779" spans="1:14" ht="14.1" customHeight="1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</row>
    <row r="780" spans="1:14" ht="14.1" customHeight="1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</row>
    <row r="781" spans="1:14" ht="14.1" customHeight="1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</row>
    <row r="782" spans="1:14" ht="14.1" customHeight="1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</row>
    <row r="783" spans="1:14" ht="14.1" customHeight="1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</row>
    <row r="784" spans="1:14" ht="14.1" customHeight="1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</row>
    <row r="785" spans="1:15" ht="14.1" customHeight="1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</row>
    <row r="786" spans="1:15" ht="14.1" customHeight="1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</row>
    <row r="787" spans="1:15" ht="14.1" customHeight="1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</row>
    <row r="788" spans="1:15" ht="14.1" customHeight="1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</row>
    <row r="789" spans="1:15" ht="14.1" customHeight="1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</row>
    <row r="790" spans="1:15" ht="14.1" customHeight="1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</row>
    <row r="791" spans="1:15" ht="14.1" customHeight="1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</row>
    <row r="792" spans="1:15" ht="14.1" customHeight="1">
      <c r="A792" s="6"/>
      <c r="B792" s="181"/>
      <c r="C792" s="181"/>
      <c r="D792" s="181"/>
      <c r="E792" s="25"/>
      <c r="F792" s="25"/>
      <c r="G792" s="167"/>
      <c r="H792" s="167"/>
      <c r="I792" s="167"/>
      <c r="J792" s="7"/>
      <c r="K792" s="182"/>
      <c r="L792" s="182"/>
      <c r="M792" s="7"/>
      <c r="N792" s="7"/>
    </row>
    <row r="793" spans="1:15" ht="14.1" customHeight="1">
      <c r="A793" s="6"/>
      <c r="B793" s="170"/>
      <c r="C793" s="170"/>
      <c r="D793" s="170"/>
      <c r="E793" s="26"/>
      <c r="F793" s="26"/>
      <c r="G793" s="170"/>
      <c r="H793" s="170"/>
      <c r="I793" s="170"/>
      <c r="J793" s="25"/>
      <c r="K793" s="171"/>
      <c r="L793" s="171"/>
      <c r="M793" s="7"/>
      <c r="N793" s="7"/>
    </row>
    <row r="794" spans="1:15" ht="14.1" customHeight="1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</row>
    <row r="795" spans="1:15" ht="14.1" customHeight="1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</row>
    <row r="796" spans="1:15" ht="14.1" customHeight="1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</row>
    <row r="797" spans="1:15" ht="18.75" customHeight="1">
      <c r="A797" s="189" t="s">
        <v>0</v>
      </c>
      <c r="B797" s="190"/>
      <c r="C797" s="190"/>
      <c r="D797" s="190"/>
      <c r="E797" s="190"/>
      <c r="F797" s="190"/>
      <c r="G797" s="79">
        <v>1140</v>
      </c>
      <c r="H797" s="113" t="s">
        <v>15</v>
      </c>
      <c r="I797" s="113"/>
      <c r="J797" s="114"/>
      <c r="K797" s="113"/>
      <c r="L797" s="113"/>
      <c r="M797" s="113"/>
      <c r="N797" s="113"/>
    </row>
    <row r="798" spans="1:15" ht="18.75" customHeight="1">
      <c r="A798" s="81" t="s">
        <v>1</v>
      </c>
      <c r="B798" s="82"/>
      <c r="C798" s="83">
        <v>0</v>
      </c>
      <c r="D798" s="84">
        <v>0.5</v>
      </c>
      <c r="E798" s="84">
        <v>0.6</v>
      </c>
      <c r="F798" s="85">
        <v>1.2</v>
      </c>
      <c r="G798" s="85">
        <v>2.4</v>
      </c>
      <c r="H798" s="84">
        <v>3.4</v>
      </c>
      <c r="I798" s="52">
        <v>3.5</v>
      </c>
      <c r="J798" s="52">
        <v>3.7</v>
      </c>
      <c r="K798" s="84">
        <v>3.8</v>
      </c>
      <c r="L798" s="86"/>
      <c r="M798" s="84"/>
      <c r="N798" s="52"/>
      <c r="O798" s="22"/>
    </row>
    <row r="799" spans="1:15" ht="18.75" customHeight="1">
      <c r="A799" s="81" t="s">
        <v>2</v>
      </c>
      <c r="B799" s="82"/>
      <c r="C799" s="83">
        <v>98.65</v>
      </c>
      <c r="D799" s="84">
        <v>98.022000000000006</v>
      </c>
      <c r="E799" s="84">
        <v>97.9</v>
      </c>
      <c r="F799" s="84">
        <v>97.9</v>
      </c>
      <c r="G799" s="84">
        <v>97.9</v>
      </c>
      <c r="H799" s="84">
        <v>97.9</v>
      </c>
      <c r="I799" s="84">
        <v>98.1</v>
      </c>
      <c r="J799" s="84">
        <v>98.5</v>
      </c>
      <c r="K799" s="84">
        <v>98.58</v>
      </c>
      <c r="L799" s="86"/>
      <c r="M799" s="84"/>
      <c r="N799" s="52"/>
      <c r="O799" s="21"/>
    </row>
    <row r="800" spans="1:15" ht="18.75" customHeight="1">
      <c r="A800" s="81" t="s">
        <v>1</v>
      </c>
      <c r="B800" s="82"/>
      <c r="C800" s="83">
        <v>0</v>
      </c>
      <c r="D800" s="84">
        <v>0.5</v>
      </c>
      <c r="E800" s="84">
        <v>0.6</v>
      </c>
      <c r="F800" s="85">
        <v>1.2</v>
      </c>
      <c r="G800" s="85">
        <v>2.4</v>
      </c>
      <c r="H800" s="84">
        <v>3.4</v>
      </c>
      <c r="I800" s="52">
        <v>3.5</v>
      </c>
      <c r="J800" s="52">
        <v>3.7</v>
      </c>
      <c r="K800" s="84">
        <v>3.8</v>
      </c>
      <c r="L800" s="86"/>
      <c r="M800" s="84"/>
      <c r="N800" s="52"/>
      <c r="O800" s="22"/>
    </row>
    <row r="801" spans="1:15" ht="18.75" customHeight="1">
      <c r="A801" s="81" t="s">
        <v>3</v>
      </c>
      <c r="B801" s="87"/>
      <c r="C801" s="83">
        <v>98.65</v>
      </c>
      <c r="D801" s="84">
        <v>98.27</v>
      </c>
      <c r="E801" s="84">
        <v>98.22</v>
      </c>
      <c r="F801" s="84">
        <v>98.22</v>
      </c>
      <c r="G801" s="84">
        <v>98.22</v>
      </c>
      <c r="H801" s="84">
        <v>98.22</v>
      </c>
      <c r="I801" s="84">
        <v>98.22</v>
      </c>
      <c r="J801" s="84">
        <v>98.5</v>
      </c>
      <c r="K801" s="84">
        <v>98.58</v>
      </c>
      <c r="L801" s="86"/>
      <c r="M801" s="84"/>
      <c r="N801" s="52"/>
      <c r="O801" s="23"/>
    </row>
    <row r="802" spans="1:15" ht="18.75" customHeight="1">
      <c r="A802" s="81" t="s">
        <v>18</v>
      </c>
      <c r="B802" s="87"/>
      <c r="C802" s="52">
        <f t="shared" ref="C802" si="239">C799-C801</f>
        <v>0</v>
      </c>
      <c r="D802" s="52">
        <f>D801-D799</f>
        <v>0.24799999999999045</v>
      </c>
      <c r="E802" s="52">
        <f t="shared" ref="E802" si="240">E801-E799</f>
        <v>0.31999999999999318</v>
      </c>
      <c r="F802" s="52">
        <f t="shared" ref="F802" si="241">F801-F799</f>
        <v>0.31999999999999318</v>
      </c>
      <c r="G802" s="52">
        <f t="shared" ref="G802" si="242">G801-G799</f>
        <v>0.31999999999999318</v>
      </c>
      <c r="H802" s="52">
        <f t="shared" ref="H802" si="243">H801-H799</f>
        <v>0.31999999999999318</v>
      </c>
      <c r="I802" s="52">
        <f t="shared" ref="I802" si="244">I801-I799</f>
        <v>0.12000000000000455</v>
      </c>
      <c r="J802" s="52">
        <f t="shared" ref="J802" si="245">J801-J799</f>
        <v>0</v>
      </c>
      <c r="K802" s="52">
        <f t="shared" ref="K802" si="246">K801-K799</f>
        <v>0</v>
      </c>
      <c r="L802" s="52"/>
      <c r="M802" s="52"/>
      <c r="N802" s="52"/>
      <c r="O802" s="21"/>
    </row>
    <row r="803" spans="1:15" ht="18.75" customHeight="1">
      <c r="A803" s="81" t="s">
        <v>5</v>
      </c>
      <c r="B803" s="87"/>
      <c r="C803" s="52">
        <f t="shared" ref="C803" si="247">(C802+B802)/2*(C798-B798)</f>
        <v>0</v>
      </c>
      <c r="D803" s="52">
        <f>(D802+C802)/2*(D798-C798)</f>
        <v>6.1999999999997613E-2</v>
      </c>
      <c r="E803" s="52">
        <f t="shared" ref="E803" si="248">(E802+D802)/2*(E798-D798)</f>
        <v>2.8399999999999176E-2</v>
      </c>
      <c r="F803" s="52">
        <f t="shared" ref="F803" si="249">(F802+E802)/2*(F798-E798)</f>
        <v>0.1919999999999959</v>
      </c>
      <c r="G803" s="52">
        <f t="shared" ref="G803" si="250">(G802+F802)/2*(G798-F798)</f>
        <v>0.38399999999999179</v>
      </c>
      <c r="H803" s="52">
        <f t="shared" ref="H803" si="251">(H802+G802)/2*(H798-G798)</f>
        <v>0.31999999999999318</v>
      </c>
      <c r="I803" s="52">
        <f t="shared" ref="I803" si="252">(I802+H802)/2*(I798-H798)</f>
        <v>2.1999999999999905E-2</v>
      </c>
      <c r="J803" s="52">
        <f t="shared" ref="J803" si="253">(J802+I802)/2*(J798-I798)</f>
        <v>1.2000000000000465E-2</v>
      </c>
      <c r="K803" s="52">
        <f t="shared" ref="K803" si="254">(K802+J802)/2*(K798-J798)</f>
        <v>0</v>
      </c>
      <c r="L803" s="52"/>
      <c r="M803" s="52"/>
      <c r="N803" s="88">
        <f>SUM(B803:M803)</f>
        <v>1.020399999999978</v>
      </c>
      <c r="O803" s="21"/>
    </row>
    <row r="804" spans="1:15" ht="18.75" customHeight="1">
      <c r="A804" s="89"/>
      <c r="B804" s="89"/>
      <c r="C804" s="90"/>
      <c r="D804" s="90"/>
      <c r="E804" s="91"/>
      <c r="F804" s="91"/>
      <c r="G804" s="91"/>
      <c r="H804" s="91"/>
      <c r="I804" s="91"/>
      <c r="J804" s="187" t="s">
        <v>6</v>
      </c>
      <c r="K804" s="187"/>
      <c r="L804" s="187"/>
      <c r="M804" s="187"/>
      <c r="N804" s="111">
        <f>N803</f>
        <v>1.020399999999978</v>
      </c>
      <c r="O804" s="21"/>
    </row>
    <row r="805" spans="1:15" ht="18.75" customHeight="1">
      <c r="A805" s="24"/>
      <c r="B805" s="78"/>
      <c r="C805" s="18"/>
      <c r="D805" s="18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</row>
    <row r="806" spans="1:15" ht="18.75" customHeight="1">
      <c r="A806" s="2"/>
      <c r="B806" s="2"/>
      <c r="C806" s="30"/>
      <c r="D806" s="30"/>
      <c r="E806" s="21"/>
      <c r="F806" s="21"/>
      <c r="G806" s="21"/>
      <c r="H806" s="21"/>
      <c r="I806" s="21"/>
      <c r="J806" s="30"/>
      <c r="K806" s="30"/>
      <c r="L806" s="30"/>
      <c r="M806" s="30"/>
      <c r="N806" s="30"/>
    </row>
    <row r="807" spans="1:15" ht="14.1" customHeight="1">
      <c r="A807" s="6"/>
      <c r="B807" s="6"/>
      <c r="C807" s="7"/>
      <c r="D807" s="7"/>
      <c r="E807" s="7"/>
      <c r="F807" s="7"/>
      <c r="G807" s="7"/>
      <c r="H807" s="7"/>
      <c r="I807" s="7"/>
      <c r="K807" s="7"/>
      <c r="L807" s="7"/>
      <c r="M807" s="7"/>
      <c r="N807" s="7"/>
    </row>
    <row r="808" spans="1:15" ht="14.1" customHeight="1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</row>
    <row r="809" spans="1:15" ht="14.1" customHeight="1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</row>
    <row r="810" spans="1:15" ht="14.1" customHeight="1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</row>
    <row r="811" spans="1:15" ht="14.1" customHeight="1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</row>
    <row r="812" spans="1:15" ht="14.1" customHeight="1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</row>
    <row r="813" spans="1:15" ht="14.1" customHeight="1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</row>
    <row r="814" spans="1:15" ht="14.1" customHeight="1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</row>
    <row r="815" spans="1:15" ht="14.1" customHeight="1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</row>
    <row r="816" spans="1:15" ht="14.1" customHeight="1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</row>
    <row r="817" spans="1:14" ht="14.1" customHeight="1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</row>
    <row r="818" spans="1:14" ht="14.1" customHeight="1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</row>
    <row r="819" spans="1:14" ht="14.1" customHeight="1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</row>
    <row r="820" spans="1:14" ht="14.1" customHeight="1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</row>
    <row r="821" spans="1:14" ht="14.1" customHeight="1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</row>
    <row r="822" spans="1:14" ht="14.1" customHeight="1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</row>
    <row r="823" spans="1:14" ht="14.1" customHeight="1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</row>
    <row r="824" spans="1:14" ht="14.1" customHeight="1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</row>
    <row r="825" spans="1:14" ht="14.1" customHeight="1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</row>
    <row r="826" spans="1:14" ht="14.1" customHeight="1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</row>
    <row r="827" spans="1:14" ht="14.1" customHeight="1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</row>
    <row r="828" spans="1:14" ht="14.1" customHeight="1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</row>
    <row r="829" spans="1:14" ht="14.1" customHeight="1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</row>
    <row r="830" spans="1:14" ht="14.1" customHeight="1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</row>
    <row r="831" spans="1:14" ht="14.1" customHeight="1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</row>
    <row r="832" spans="1:14" ht="18" customHeight="1">
      <c r="A832" s="184" t="s">
        <v>0</v>
      </c>
      <c r="B832" s="185"/>
      <c r="C832" s="185"/>
      <c r="D832" s="185"/>
      <c r="E832" s="185"/>
      <c r="F832" s="185"/>
      <c r="G832" s="20">
        <v>1200</v>
      </c>
      <c r="H832" s="1" t="s">
        <v>15</v>
      </c>
      <c r="I832" s="1"/>
      <c r="J832" s="32"/>
      <c r="K832" s="1"/>
      <c r="L832" s="1"/>
      <c r="M832" s="1"/>
      <c r="N832" s="1"/>
    </row>
    <row r="833" spans="1:15" ht="18" customHeight="1">
      <c r="A833" s="81" t="s">
        <v>1</v>
      </c>
      <c r="B833" s="82"/>
      <c r="C833" s="83">
        <v>0</v>
      </c>
      <c r="D833" s="84">
        <v>0.5</v>
      </c>
      <c r="E833" s="84">
        <v>0.6</v>
      </c>
      <c r="F833" s="85">
        <v>1.2</v>
      </c>
      <c r="G833" s="85">
        <v>2.4</v>
      </c>
      <c r="H833" s="84">
        <v>3</v>
      </c>
      <c r="I833" s="52">
        <v>3.4</v>
      </c>
      <c r="J833" s="52">
        <v>4</v>
      </c>
      <c r="K833" s="84"/>
      <c r="L833" s="86"/>
      <c r="M833" s="84"/>
      <c r="N833" s="52"/>
      <c r="O833" s="22"/>
    </row>
    <row r="834" spans="1:15" ht="18" customHeight="1">
      <c r="A834" s="81" t="s">
        <v>2</v>
      </c>
      <c r="B834" s="82"/>
      <c r="C834" s="83">
        <v>99.06</v>
      </c>
      <c r="D834" s="84">
        <v>98.034999999999997</v>
      </c>
      <c r="E834" s="84">
        <v>97.83</v>
      </c>
      <c r="F834" s="84">
        <v>97.83</v>
      </c>
      <c r="G834" s="84">
        <v>97.83</v>
      </c>
      <c r="H834" s="84">
        <v>97.83</v>
      </c>
      <c r="I834" s="84">
        <v>98.4</v>
      </c>
      <c r="J834" s="84">
        <v>98.98</v>
      </c>
      <c r="K834" s="84"/>
      <c r="L834" s="86"/>
      <c r="M834" s="84"/>
      <c r="N834" s="52"/>
      <c r="O834" s="21"/>
    </row>
    <row r="835" spans="1:15" ht="18" customHeight="1">
      <c r="A835" s="81" t="s">
        <v>1</v>
      </c>
      <c r="B835" s="82"/>
      <c r="C835" s="83">
        <v>0</v>
      </c>
      <c r="D835" s="84">
        <v>0.5</v>
      </c>
      <c r="E835" s="84">
        <v>0.6</v>
      </c>
      <c r="F835" s="85">
        <v>1.2</v>
      </c>
      <c r="G835" s="85">
        <v>2.4</v>
      </c>
      <c r="H835" s="84">
        <v>3</v>
      </c>
      <c r="I835" s="52">
        <v>3.4</v>
      </c>
      <c r="J835" s="52">
        <v>4</v>
      </c>
      <c r="K835" s="84"/>
      <c r="L835" s="86"/>
      <c r="M835" s="84"/>
      <c r="N835" s="52"/>
      <c r="O835" s="22"/>
    </row>
    <row r="836" spans="1:15" ht="18" customHeight="1">
      <c r="A836" s="81" t="s">
        <v>3</v>
      </c>
      <c r="B836" s="87"/>
      <c r="C836" s="83">
        <v>99.06</v>
      </c>
      <c r="D836" s="84">
        <v>98.15</v>
      </c>
      <c r="E836" s="84">
        <v>98.135000000000005</v>
      </c>
      <c r="F836" s="84">
        <v>98.135000000000005</v>
      </c>
      <c r="G836" s="84">
        <v>98.135000000000005</v>
      </c>
      <c r="H836" s="84">
        <v>98.135000000000005</v>
      </c>
      <c r="I836" s="84">
        <v>98.4</v>
      </c>
      <c r="J836" s="84">
        <v>98.98</v>
      </c>
      <c r="K836" s="84"/>
      <c r="L836" s="86"/>
      <c r="M836" s="84"/>
      <c r="N836" s="52"/>
      <c r="O836" s="23"/>
    </row>
    <row r="837" spans="1:15" ht="18" customHeight="1">
      <c r="A837" s="81" t="s">
        <v>18</v>
      </c>
      <c r="B837" s="87"/>
      <c r="C837" s="52">
        <f t="shared" ref="C837" si="255">C834-C836</f>
        <v>0</v>
      </c>
      <c r="D837" s="52">
        <f>D836-D834</f>
        <v>0.11500000000000909</v>
      </c>
      <c r="E837" s="52">
        <f t="shared" ref="E837" si="256">E836-E834</f>
        <v>0.30500000000000682</v>
      </c>
      <c r="F837" s="52">
        <f t="shared" ref="F837" si="257">F836-F834</f>
        <v>0.30500000000000682</v>
      </c>
      <c r="G837" s="52">
        <f t="shared" ref="G837" si="258">G836-G834</f>
        <v>0.30500000000000682</v>
      </c>
      <c r="H837" s="52">
        <f t="shared" ref="H837" si="259">H836-H834</f>
        <v>0.30500000000000682</v>
      </c>
      <c r="I837" s="52">
        <f t="shared" ref="I837" si="260">I836-I834</f>
        <v>0</v>
      </c>
      <c r="J837" s="52">
        <f t="shared" ref="J837" si="261">J836-J834</f>
        <v>0</v>
      </c>
      <c r="K837" s="52"/>
      <c r="L837" s="52"/>
      <c r="M837" s="52"/>
      <c r="N837" s="52"/>
      <c r="O837" s="21"/>
    </row>
    <row r="838" spans="1:15" ht="18" customHeight="1">
      <c r="A838" s="81" t="s">
        <v>5</v>
      </c>
      <c r="B838" s="87"/>
      <c r="C838" s="52">
        <f t="shared" ref="C838" si="262">(C837+B837)/2*(C833-B833)</f>
        <v>0</v>
      </c>
      <c r="D838" s="52">
        <f>(D837+C837)/2*(D833-C833)</f>
        <v>2.8750000000002274E-2</v>
      </c>
      <c r="E838" s="52">
        <f t="shared" ref="E838" si="263">(E837+D837)/2*(E833-D833)</f>
        <v>2.1000000000000792E-2</v>
      </c>
      <c r="F838" s="52">
        <f t="shared" ref="F838" si="264">(F837+E837)/2*(F833-E833)</f>
        <v>0.18300000000000408</v>
      </c>
      <c r="G838" s="52">
        <f t="shared" ref="G838" si="265">(G837+F837)/2*(G833-F833)</f>
        <v>0.36600000000000815</v>
      </c>
      <c r="H838" s="52">
        <f t="shared" ref="H838" si="266">(H837+G837)/2*(H833-G833)</f>
        <v>0.18300000000000413</v>
      </c>
      <c r="I838" s="52">
        <f t="shared" ref="I838" si="267">(I837+H837)/2*(I833-H833)</f>
        <v>6.1000000000001352E-2</v>
      </c>
      <c r="J838" s="52">
        <f t="shared" ref="J838" si="268">(J837+I837)/2*(J833-I833)</f>
        <v>0</v>
      </c>
      <c r="K838" s="52"/>
      <c r="L838" s="52"/>
      <c r="M838" s="52"/>
      <c r="N838" s="88">
        <f>SUM(B838:M838)</f>
        <v>0.84275000000002087</v>
      </c>
      <c r="O838" s="21"/>
    </row>
    <row r="839" spans="1:15" ht="18" customHeight="1">
      <c r="A839" s="2"/>
      <c r="B839" s="2"/>
      <c r="C839" s="30"/>
      <c r="D839" s="30"/>
      <c r="E839" s="4"/>
      <c r="F839" s="4"/>
      <c r="G839" s="4"/>
      <c r="H839" s="4"/>
      <c r="I839" s="4"/>
      <c r="J839" s="179" t="s">
        <v>6</v>
      </c>
      <c r="K839" s="179"/>
      <c r="L839" s="179"/>
      <c r="M839" s="179"/>
      <c r="N839" s="5">
        <f>N838</f>
        <v>0.84275000000002087</v>
      </c>
      <c r="O839" s="21">
        <v>0.84299999999999997</v>
      </c>
    </row>
    <row r="840" spans="1:15" ht="18" customHeight="1">
      <c r="A840" s="24"/>
      <c r="B840" s="78"/>
      <c r="C840" s="18"/>
      <c r="D840" s="18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</row>
    <row r="841" spans="1:15" ht="14.1" customHeight="1">
      <c r="A841" s="2"/>
      <c r="B841" s="2"/>
      <c r="C841" s="30"/>
      <c r="D841" s="30"/>
      <c r="E841" s="21"/>
      <c r="F841" s="21"/>
      <c r="G841" s="21"/>
      <c r="H841" s="21"/>
      <c r="I841" s="21"/>
      <c r="J841" s="30"/>
      <c r="K841" s="30"/>
      <c r="L841" s="30"/>
      <c r="M841" s="30"/>
      <c r="N841" s="30"/>
    </row>
    <row r="842" spans="1:15" ht="14.1" customHeight="1">
      <c r="A842" s="6"/>
      <c r="B842" s="6"/>
      <c r="C842" s="7"/>
      <c r="D842" s="7"/>
      <c r="E842" s="7"/>
      <c r="F842" s="7"/>
      <c r="G842" s="7"/>
      <c r="H842" s="7"/>
      <c r="I842" s="7"/>
      <c r="K842" s="7"/>
      <c r="L842" s="7"/>
      <c r="M842" s="7"/>
      <c r="N842" s="7"/>
    </row>
    <row r="843" spans="1:15" ht="14.1" customHeight="1">
      <c r="A843" s="2"/>
      <c r="B843" s="2"/>
      <c r="C843" s="30"/>
      <c r="D843" s="30"/>
      <c r="E843" s="4"/>
      <c r="F843" s="4"/>
      <c r="G843" s="4"/>
      <c r="H843" s="4"/>
      <c r="I843" s="4"/>
      <c r="J843" s="30"/>
      <c r="K843" s="30"/>
      <c r="L843" s="30"/>
      <c r="M843" s="30"/>
      <c r="N843" s="30"/>
    </row>
    <row r="844" spans="1:15" ht="14.1" customHeight="1">
      <c r="A844" s="6"/>
      <c r="B844" s="6"/>
      <c r="C844" s="7"/>
      <c r="D844" s="7"/>
      <c r="E844" s="7"/>
      <c r="F844" s="7"/>
      <c r="G844" s="7"/>
      <c r="H844" s="7"/>
      <c r="I844" s="7"/>
      <c r="K844" s="7"/>
      <c r="L844" s="7"/>
      <c r="M844" s="7"/>
      <c r="N844" s="7"/>
    </row>
    <row r="845" spans="1:15" ht="14.1" customHeight="1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</row>
    <row r="846" spans="1:15" ht="14.1" customHeight="1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</row>
    <row r="847" spans="1:15" ht="14.1" customHeight="1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</row>
    <row r="848" spans="1:15" ht="14.1" customHeight="1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</row>
    <row r="849" spans="1:14" ht="14.1" customHeight="1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</row>
    <row r="850" spans="1:14" ht="14.1" customHeight="1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</row>
    <row r="851" spans="1:14" ht="14.1" customHeight="1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</row>
    <row r="852" spans="1:14" ht="14.1" customHeight="1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</row>
    <row r="853" spans="1:14" ht="14.1" customHeight="1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</row>
    <row r="854" spans="1:14" ht="14.1" customHeight="1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</row>
    <row r="855" spans="1:14" ht="14.1" customHeight="1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</row>
    <row r="856" spans="1:14" ht="14.1" customHeight="1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</row>
    <row r="857" spans="1:14" ht="14.1" customHeight="1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</row>
    <row r="858" spans="1:14" ht="14.1" customHeight="1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</row>
    <row r="859" spans="1:14" ht="14.1" customHeight="1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</row>
    <row r="860" spans="1:14" ht="14.1" customHeight="1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</row>
    <row r="861" spans="1:14" ht="14.1" customHeight="1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</row>
    <row r="862" spans="1:14" ht="14.1" customHeight="1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</row>
    <row r="863" spans="1:14" ht="14.1" customHeight="1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</row>
    <row r="864" spans="1:14" ht="14.1" customHeight="1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</row>
    <row r="865" spans="1:14" ht="14.1" customHeight="1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</row>
    <row r="866" spans="1:14" ht="14.1" customHeight="1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</row>
    <row r="867" spans="1:14" ht="14.1" customHeight="1">
      <c r="A867" s="6"/>
      <c r="B867" s="181"/>
      <c r="C867" s="181"/>
      <c r="D867" s="181"/>
      <c r="E867" s="25"/>
      <c r="F867" s="25"/>
      <c r="G867" s="167"/>
      <c r="H867" s="167"/>
      <c r="I867" s="167"/>
      <c r="J867" s="7"/>
      <c r="K867" s="182"/>
      <c r="L867" s="182"/>
      <c r="M867" s="7"/>
      <c r="N867" s="7"/>
    </row>
    <row r="868" spans="1:14" ht="14.1" customHeight="1">
      <c r="A868" s="6"/>
      <c r="B868" s="170"/>
      <c r="C868" s="170"/>
      <c r="D868" s="170"/>
      <c r="E868" s="26"/>
      <c r="F868" s="26"/>
      <c r="G868" s="170"/>
      <c r="H868" s="170"/>
      <c r="I868" s="170"/>
      <c r="J868" s="25"/>
      <c r="K868" s="171"/>
      <c r="L868" s="171"/>
      <c r="M868" s="7"/>
      <c r="N868" s="7"/>
    </row>
    <row r="869" spans="1:14" ht="14.1" customHeight="1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</row>
    <row r="870" spans="1:14" ht="14.1" customHeight="1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</row>
    <row r="871" spans="1:14" ht="14.1" customHeight="1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</row>
    <row r="872" spans="1:14" ht="14.1" customHeight="1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</row>
    <row r="873" spans="1:14" ht="14.1" customHeight="1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</row>
    <row r="874" spans="1:14" ht="14.1" customHeight="1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</row>
    <row r="875" spans="1:14" ht="14.1" customHeight="1">
      <c r="A875" s="6"/>
      <c r="B875" s="181"/>
      <c r="C875" s="181"/>
      <c r="D875" s="181"/>
      <c r="E875" s="25"/>
      <c r="F875" s="25"/>
      <c r="G875" s="167"/>
      <c r="H875" s="167"/>
      <c r="I875" s="167"/>
      <c r="J875" s="7"/>
      <c r="K875" s="182"/>
      <c r="L875" s="182"/>
      <c r="M875" s="7"/>
      <c r="N875" s="7"/>
    </row>
    <row r="876" spans="1:14" ht="14.1" customHeight="1">
      <c r="A876" s="6"/>
      <c r="B876" s="170"/>
      <c r="C876" s="170"/>
      <c r="D876" s="170"/>
      <c r="E876" s="26"/>
      <c r="F876" s="26"/>
      <c r="G876" s="170"/>
      <c r="H876" s="170"/>
      <c r="I876" s="170"/>
      <c r="J876" s="25"/>
      <c r="K876" s="171"/>
      <c r="L876" s="171"/>
      <c r="M876" s="7"/>
      <c r="N876" s="7"/>
    </row>
    <row r="877" spans="1:14" ht="14.1" customHeight="1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</row>
    <row r="878" spans="1:14" ht="14.1" customHeight="1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</row>
    <row r="879" spans="1:14" ht="18" customHeight="1">
      <c r="A879" s="184" t="s">
        <v>0</v>
      </c>
      <c r="B879" s="185"/>
      <c r="C879" s="185"/>
      <c r="D879" s="185"/>
      <c r="E879" s="185"/>
      <c r="F879" s="185"/>
      <c r="G879" s="20">
        <v>1260</v>
      </c>
      <c r="H879" s="1" t="s">
        <v>15</v>
      </c>
      <c r="I879" s="1"/>
      <c r="J879" s="32"/>
      <c r="K879" s="1"/>
      <c r="L879" s="1"/>
      <c r="M879" s="1"/>
      <c r="N879" s="1"/>
    </row>
    <row r="880" spans="1:14" ht="18" customHeight="1">
      <c r="A880" s="123" t="s">
        <v>1</v>
      </c>
      <c r="B880" s="82"/>
      <c r="C880" s="83">
        <v>0</v>
      </c>
      <c r="D880" s="84">
        <v>0.5</v>
      </c>
      <c r="E880" s="84">
        <v>0.6</v>
      </c>
      <c r="F880" s="124">
        <v>1.2</v>
      </c>
      <c r="G880" s="124">
        <v>2.4</v>
      </c>
      <c r="H880" s="84">
        <v>3</v>
      </c>
      <c r="I880" s="125">
        <v>3</v>
      </c>
      <c r="J880" s="125"/>
      <c r="K880" s="84"/>
      <c r="L880" s="126"/>
      <c r="M880" s="84"/>
      <c r="N880" s="125"/>
    </row>
    <row r="881" spans="1:14" ht="18" customHeight="1">
      <c r="A881" s="123" t="s">
        <v>2</v>
      </c>
      <c r="B881" s="82"/>
      <c r="C881" s="83">
        <v>98.75</v>
      </c>
      <c r="D881" s="84">
        <v>97.96</v>
      </c>
      <c r="E881" s="84">
        <v>97.8</v>
      </c>
      <c r="F881" s="84">
        <v>97.8</v>
      </c>
      <c r="G881" s="84">
        <v>97.8</v>
      </c>
      <c r="H881" s="84">
        <v>97.8</v>
      </c>
      <c r="I881" s="84">
        <v>98.68</v>
      </c>
      <c r="J881" s="84"/>
      <c r="K881" s="84"/>
      <c r="L881" s="126"/>
      <c r="M881" s="84"/>
      <c r="N881" s="125"/>
    </row>
    <row r="882" spans="1:14" ht="18" customHeight="1">
      <c r="A882" s="123" t="s">
        <v>1</v>
      </c>
      <c r="B882" s="82"/>
      <c r="C882" s="83">
        <v>0</v>
      </c>
      <c r="D882" s="84">
        <v>0.5</v>
      </c>
      <c r="E882" s="84">
        <v>0.6</v>
      </c>
      <c r="F882" s="124">
        <v>1.2</v>
      </c>
      <c r="G882" s="124">
        <v>2.4</v>
      </c>
      <c r="H882" s="84">
        <v>3</v>
      </c>
      <c r="I882" s="125">
        <v>3</v>
      </c>
      <c r="J882" s="125"/>
      <c r="K882" s="84"/>
      <c r="L882" s="126"/>
      <c r="M882" s="84"/>
      <c r="N882" s="125"/>
    </row>
    <row r="883" spans="1:14" ht="18" customHeight="1">
      <c r="A883" s="123" t="s">
        <v>3</v>
      </c>
      <c r="B883" s="127"/>
      <c r="C883" s="83">
        <v>98.75</v>
      </c>
      <c r="D883" s="84">
        <v>98.188000000000002</v>
      </c>
      <c r="E883" s="84">
        <v>98.155000000000001</v>
      </c>
      <c r="F883" s="84">
        <v>98.155000000000001</v>
      </c>
      <c r="G883" s="84">
        <v>98.155000000000001</v>
      </c>
      <c r="H883" s="84">
        <v>98.155000000000001</v>
      </c>
      <c r="I883" s="84">
        <v>98.68</v>
      </c>
      <c r="J883" s="84"/>
      <c r="K883" s="84"/>
      <c r="L883" s="126"/>
      <c r="M883" s="84"/>
      <c r="N883" s="125"/>
    </row>
    <row r="884" spans="1:14" ht="18" customHeight="1">
      <c r="A884" s="123" t="s">
        <v>18</v>
      </c>
      <c r="B884" s="127"/>
      <c r="C884" s="125">
        <f t="shared" ref="C884" si="269">C881-C883</f>
        <v>0</v>
      </c>
      <c r="D884" s="125">
        <f>D883-D881</f>
        <v>0.22800000000000864</v>
      </c>
      <c r="E884" s="125">
        <f t="shared" ref="E884" si="270">E883-E881</f>
        <v>0.35500000000000398</v>
      </c>
      <c r="F884" s="125">
        <f t="shared" ref="F884" si="271">F883-F881</f>
        <v>0.35500000000000398</v>
      </c>
      <c r="G884" s="125">
        <f t="shared" ref="G884" si="272">G883-G881</f>
        <v>0.35500000000000398</v>
      </c>
      <c r="H884" s="125">
        <f t="shared" ref="H884" si="273">H883-H881</f>
        <v>0.35500000000000398</v>
      </c>
      <c r="I884" s="125">
        <f t="shared" ref="I884" si="274">I883-I881</f>
        <v>0</v>
      </c>
      <c r="J884" s="125"/>
      <c r="K884" s="125"/>
      <c r="L884" s="125"/>
      <c r="M884" s="125"/>
      <c r="N884" s="125"/>
    </row>
    <row r="885" spans="1:14" ht="18" customHeight="1">
      <c r="A885" s="123" t="s">
        <v>5</v>
      </c>
      <c r="B885" s="127"/>
      <c r="C885" s="125">
        <f t="shared" ref="C885" si="275">(C884+B884)/2*(C880-B880)</f>
        <v>0</v>
      </c>
      <c r="D885" s="125">
        <f>(D884+C884)/2*(D880-C880)</f>
        <v>5.700000000000216E-2</v>
      </c>
      <c r="E885" s="125">
        <f t="shared" ref="E885" si="276">(E884+D884)/2*(E880-D880)</f>
        <v>2.9150000000000623E-2</v>
      </c>
      <c r="F885" s="125">
        <f t="shared" ref="F885" si="277">(F884+E884)/2*(F880-E880)</f>
        <v>0.21300000000000238</v>
      </c>
      <c r="G885" s="125">
        <f t="shared" ref="G885" si="278">(G884+F884)/2*(G880-F880)</f>
        <v>0.42600000000000476</v>
      </c>
      <c r="H885" s="125">
        <f t="shared" ref="H885" si="279">(H884+G884)/2*(H880-G880)</f>
        <v>0.21300000000000241</v>
      </c>
      <c r="I885" s="125">
        <f t="shared" ref="I885" si="280">(I884+H884)/2*(I880-H880)</f>
        <v>0</v>
      </c>
      <c r="J885" s="125"/>
      <c r="K885" s="125"/>
      <c r="L885" s="125"/>
      <c r="M885" s="125"/>
      <c r="N885" s="128">
        <f>SUM(B885:M885)</f>
        <v>0.93815000000001236</v>
      </c>
    </row>
    <row r="886" spans="1:14" ht="18" customHeight="1">
      <c r="A886" s="129"/>
      <c r="B886" s="129"/>
      <c r="C886" s="130"/>
      <c r="D886" s="130"/>
      <c r="E886" s="131"/>
      <c r="F886" s="131"/>
      <c r="G886" s="131"/>
      <c r="H886" s="131"/>
      <c r="I886" s="131"/>
      <c r="J886" s="195" t="s">
        <v>26</v>
      </c>
      <c r="K886" s="195"/>
      <c r="L886" s="195"/>
      <c r="M886" s="195"/>
      <c r="N886" s="132">
        <f>N885</f>
        <v>0.93815000000001236</v>
      </c>
    </row>
    <row r="887" spans="1:14" ht="18" customHeight="1">
      <c r="A887" s="24"/>
      <c r="B887" s="78"/>
      <c r="C887" s="18"/>
      <c r="D887" s="18"/>
      <c r="E887" s="21"/>
      <c r="F887" s="21"/>
      <c r="G887" s="21"/>
      <c r="H887" s="21"/>
      <c r="I887" s="21"/>
      <c r="J887" s="21"/>
      <c r="K887" s="21"/>
      <c r="L887" s="21"/>
      <c r="M887" s="21"/>
      <c r="N887" s="21"/>
    </row>
    <row r="888" spans="1:14" ht="14.1" customHeight="1">
      <c r="A888" s="2"/>
      <c r="B888" s="2"/>
      <c r="C888" s="30"/>
      <c r="D888" s="30"/>
      <c r="E888" s="21"/>
      <c r="F888" s="21"/>
      <c r="G888" s="21"/>
      <c r="H888" s="21"/>
      <c r="I888" s="21"/>
      <c r="J888" s="30"/>
      <c r="K888" s="30"/>
      <c r="L888" s="30"/>
      <c r="M888" s="30"/>
      <c r="N888" s="30"/>
    </row>
    <row r="889" spans="1:14" ht="14.1" customHeight="1">
      <c r="A889" s="6"/>
      <c r="B889" s="6"/>
      <c r="C889" s="7"/>
      <c r="D889" s="7"/>
      <c r="E889" s="7"/>
      <c r="F889" s="7"/>
      <c r="G889" s="7"/>
      <c r="H889" s="7"/>
      <c r="I889" s="7"/>
      <c r="K889" s="7"/>
      <c r="L889" s="7"/>
      <c r="M889" s="7"/>
      <c r="N889" s="7"/>
    </row>
    <row r="890" spans="1:14" ht="14.1" customHeight="1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</row>
    <row r="891" spans="1:14" ht="14.1" customHeight="1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</row>
    <row r="892" spans="1:14" ht="14.1" customHeight="1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</row>
    <row r="893" spans="1:14" ht="14.1" customHeight="1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</row>
    <row r="894" spans="1:14" ht="14.1" customHeight="1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</row>
    <row r="895" spans="1:14" ht="14.1" customHeight="1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</row>
    <row r="896" spans="1:14" ht="14.1" customHeight="1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</row>
    <row r="897" spans="1:14" ht="14.1" customHeight="1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</row>
    <row r="898" spans="1:14" ht="14.1" customHeight="1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</row>
    <row r="899" spans="1:14" ht="14.1" customHeight="1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</row>
    <row r="900" spans="1:14" ht="14.1" customHeight="1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</row>
    <row r="901" spans="1:14" ht="14.1" customHeight="1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</row>
    <row r="902" spans="1:14" ht="14.1" customHeight="1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</row>
    <row r="903" spans="1:14" ht="14.1" customHeight="1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</row>
    <row r="904" spans="1:14" ht="14.1" customHeight="1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</row>
    <row r="905" spans="1:14" ht="14.1" customHeight="1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</row>
    <row r="906" spans="1:14" ht="14.1" customHeight="1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</row>
    <row r="907" spans="1:14" ht="14.1" customHeight="1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</row>
    <row r="908" spans="1:14" ht="14.1" customHeight="1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</row>
    <row r="909" spans="1:14" ht="14.1" customHeight="1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</row>
    <row r="910" spans="1:14" ht="14.1" customHeight="1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</row>
    <row r="911" spans="1:14" ht="14.1" customHeight="1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</row>
    <row r="912" spans="1:14" ht="14.1" customHeight="1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</row>
    <row r="913" spans="1:15" ht="14.1" customHeight="1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</row>
    <row r="914" spans="1:15" ht="14.1" customHeight="1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</row>
    <row r="915" spans="1:15" ht="14.1" customHeight="1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</row>
    <row r="916" spans="1:15" ht="18.75" customHeight="1">
      <c r="A916" s="184" t="s">
        <v>0</v>
      </c>
      <c r="B916" s="185"/>
      <c r="C916" s="185"/>
      <c r="D916" s="185"/>
      <c r="E916" s="185"/>
      <c r="F916" s="185"/>
      <c r="G916" s="20">
        <v>1320</v>
      </c>
      <c r="H916" s="1" t="s">
        <v>15</v>
      </c>
      <c r="I916" s="1"/>
      <c r="J916" s="32"/>
      <c r="K916" s="1"/>
      <c r="L916" s="1"/>
      <c r="M916" s="1"/>
      <c r="N916" s="1"/>
    </row>
    <row r="917" spans="1:15" ht="18.75" customHeight="1">
      <c r="A917" s="42" t="s">
        <v>1</v>
      </c>
      <c r="B917" s="82"/>
      <c r="C917" s="83">
        <v>0</v>
      </c>
      <c r="D917" s="84">
        <v>0.5</v>
      </c>
      <c r="E917" s="84">
        <v>0.6</v>
      </c>
      <c r="F917" s="85">
        <v>1.2</v>
      </c>
      <c r="G917" s="85">
        <v>2.4</v>
      </c>
      <c r="H917" s="84">
        <v>3</v>
      </c>
      <c r="I917" s="52">
        <v>3</v>
      </c>
      <c r="J917" s="52"/>
      <c r="K917" s="84"/>
      <c r="L917" s="86"/>
      <c r="M917" s="84"/>
      <c r="N917" s="52"/>
      <c r="O917" s="22"/>
    </row>
    <row r="918" spans="1:15" ht="18.75" customHeight="1">
      <c r="A918" s="42" t="s">
        <v>2</v>
      </c>
      <c r="B918" s="82"/>
      <c r="C918" s="83">
        <v>98.71</v>
      </c>
      <c r="D918" s="84">
        <v>97.91</v>
      </c>
      <c r="E918" s="84">
        <v>97.75</v>
      </c>
      <c r="F918" s="84">
        <v>97.75</v>
      </c>
      <c r="G918" s="84">
        <v>97.75</v>
      </c>
      <c r="H918" s="84">
        <v>97.75</v>
      </c>
      <c r="I918" s="84">
        <v>98.86</v>
      </c>
      <c r="J918" s="84"/>
      <c r="K918" s="84"/>
      <c r="L918" s="86"/>
      <c r="M918" s="84"/>
      <c r="N918" s="52"/>
      <c r="O918" s="21"/>
    </row>
    <row r="919" spans="1:15" ht="18.75" customHeight="1">
      <c r="A919" s="42" t="s">
        <v>1</v>
      </c>
      <c r="B919" s="82"/>
      <c r="C919" s="83">
        <v>0</v>
      </c>
      <c r="D919" s="84">
        <v>0.5</v>
      </c>
      <c r="E919" s="84">
        <v>0.6</v>
      </c>
      <c r="F919" s="85">
        <v>1.2</v>
      </c>
      <c r="G919" s="85">
        <v>2.4</v>
      </c>
      <c r="H919" s="84">
        <v>3</v>
      </c>
      <c r="I919" s="52">
        <v>3</v>
      </c>
      <c r="J919" s="52"/>
      <c r="K919" s="84"/>
      <c r="L919" s="86"/>
      <c r="M919" s="84"/>
      <c r="N919" s="52"/>
      <c r="O919" s="22"/>
    </row>
    <row r="920" spans="1:15" ht="18.75" customHeight="1">
      <c r="A920" s="42" t="s">
        <v>3</v>
      </c>
      <c r="B920" s="87"/>
      <c r="C920" s="83">
        <v>98.71</v>
      </c>
      <c r="D920" s="84">
        <v>98.135000000000005</v>
      </c>
      <c r="E920" s="84">
        <v>98.094999999999999</v>
      </c>
      <c r="F920" s="84">
        <v>98.094999999999999</v>
      </c>
      <c r="G920" s="84">
        <v>98.094999999999999</v>
      </c>
      <c r="H920" s="84">
        <v>98.094999999999999</v>
      </c>
      <c r="I920" s="84">
        <v>98.86</v>
      </c>
      <c r="J920" s="84"/>
      <c r="K920" s="84"/>
      <c r="L920" s="86"/>
      <c r="M920" s="84"/>
      <c r="N920" s="52"/>
      <c r="O920" s="23"/>
    </row>
    <row r="921" spans="1:15" ht="18.75" customHeight="1">
      <c r="A921" s="42" t="s">
        <v>18</v>
      </c>
      <c r="B921" s="87"/>
      <c r="C921" s="52">
        <f t="shared" ref="C921" si="281">C918-C920</f>
        <v>0</v>
      </c>
      <c r="D921" s="52">
        <f>D920-D918</f>
        <v>0.22500000000000853</v>
      </c>
      <c r="E921" s="52">
        <f t="shared" ref="E921" si="282">E920-E918</f>
        <v>0.34499999999999886</v>
      </c>
      <c r="F921" s="52">
        <f t="shared" ref="F921" si="283">F920-F918</f>
        <v>0.34499999999999886</v>
      </c>
      <c r="G921" s="52">
        <f t="shared" ref="G921" si="284">G920-G918</f>
        <v>0.34499999999999886</v>
      </c>
      <c r="H921" s="52">
        <f t="shared" ref="H921" si="285">H920-H918</f>
        <v>0.34499999999999886</v>
      </c>
      <c r="I921" s="52">
        <f t="shared" ref="I921" si="286">I920-I918</f>
        <v>0</v>
      </c>
      <c r="J921" s="52"/>
      <c r="K921" s="52"/>
      <c r="L921" s="52"/>
      <c r="M921" s="52"/>
      <c r="N921" s="52"/>
      <c r="O921" s="21"/>
    </row>
    <row r="922" spans="1:15" ht="18.75" customHeight="1">
      <c r="A922" s="42" t="s">
        <v>5</v>
      </c>
      <c r="B922" s="87"/>
      <c r="C922" s="52">
        <f t="shared" ref="C922" si="287">(C921+B921)/2*(C917-B917)</f>
        <v>0</v>
      </c>
      <c r="D922" s="52">
        <f>(D921+C921)/2*(D917-C917)</f>
        <v>5.6250000000002132E-2</v>
      </c>
      <c r="E922" s="52">
        <f t="shared" ref="E922" si="288">(E921+D921)/2*(E917-D917)</f>
        <v>2.8500000000000362E-2</v>
      </c>
      <c r="F922" s="52">
        <f t="shared" ref="F922" si="289">(F921+E921)/2*(F917-E917)</f>
        <v>0.20699999999999932</v>
      </c>
      <c r="G922" s="52">
        <f t="shared" ref="G922" si="290">(G921+F921)/2*(G917-F917)</f>
        <v>0.41399999999999865</v>
      </c>
      <c r="H922" s="52">
        <f t="shared" ref="H922" si="291">(H921+G921)/2*(H917-G917)</f>
        <v>0.20699999999999935</v>
      </c>
      <c r="I922" s="52">
        <f t="shared" ref="I922" si="292">(I921+H921)/2*(I917-H917)</f>
        <v>0</v>
      </c>
      <c r="J922" s="52"/>
      <c r="K922" s="52"/>
      <c r="L922" s="52"/>
      <c r="M922" s="52"/>
      <c r="N922" s="88">
        <v>0.91200000000000003</v>
      </c>
      <c r="O922" s="21"/>
    </row>
    <row r="923" spans="1:15" ht="18.75" customHeight="1">
      <c r="A923" s="2"/>
      <c r="B923" s="2"/>
      <c r="C923" s="30"/>
      <c r="D923" s="30"/>
      <c r="E923" s="4"/>
      <c r="F923" s="4"/>
      <c r="G923" s="4"/>
      <c r="H923" s="4"/>
      <c r="I923" s="4"/>
      <c r="J923" s="179" t="s">
        <v>6</v>
      </c>
      <c r="K923" s="179"/>
      <c r="L923" s="179"/>
      <c r="M923" s="179"/>
      <c r="N923" s="5">
        <f>N922</f>
        <v>0.91200000000000003</v>
      </c>
      <c r="O923" s="21"/>
    </row>
    <row r="924" spans="1:15" ht="18.75" customHeight="1">
      <c r="A924" s="24"/>
      <c r="B924" s="78"/>
      <c r="C924" s="18"/>
      <c r="D924" s="18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</row>
    <row r="925" spans="1:15" ht="18.75" customHeight="1">
      <c r="A925" s="2"/>
      <c r="B925" s="2"/>
      <c r="C925" s="30"/>
      <c r="D925" s="30"/>
      <c r="E925" s="21"/>
      <c r="F925" s="21"/>
      <c r="G925" s="21"/>
      <c r="H925" s="21"/>
      <c r="I925" s="21"/>
      <c r="J925" s="30"/>
      <c r="K925" s="30"/>
      <c r="L925" s="30"/>
      <c r="M925" s="30"/>
      <c r="N925" s="30"/>
    </row>
    <row r="926" spans="1:15" ht="14.1" customHeight="1">
      <c r="A926" s="6"/>
      <c r="B926" s="6"/>
      <c r="C926" s="7"/>
      <c r="D926" s="7"/>
      <c r="E926" s="7"/>
      <c r="F926" s="7"/>
      <c r="G926" s="7"/>
      <c r="H926" s="7"/>
      <c r="I926" s="7"/>
      <c r="K926" s="7"/>
      <c r="L926" s="7"/>
      <c r="M926" s="7"/>
      <c r="N926" s="7"/>
    </row>
    <row r="927" spans="1:15" ht="14.1" customHeight="1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</row>
    <row r="928" spans="1:15" ht="14.1" customHeight="1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</row>
    <row r="929" spans="1:14" ht="14.1" customHeight="1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</row>
    <row r="930" spans="1:14" ht="14.1" customHeight="1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</row>
    <row r="931" spans="1:14" ht="14.1" customHeight="1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</row>
    <row r="932" spans="1:14" ht="14.1" customHeight="1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</row>
    <row r="933" spans="1:14" ht="14.1" customHeight="1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</row>
    <row r="934" spans="1:14" ht="14.1" customHeight="1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</row>
    <row r="935" spans="1:14" ht="14.1" customHeight="1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</row>
    <row r="936" spans="1:14" ht="14.1" customHeight="1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</row>
    <row r="937" spans="1:14" ht="14.1" customHeight="1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</row>
    <row r="938" spans="1:14" ht="14.1" customHeight="1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</row>
    <row r="939" spans="1:14" ht="14.1" customHeight="1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</row>
    <row r="940" spans="1:14" ht="14.1" customHeight="1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</row>
    <row r="941" spans="1:14" ht="14.1" customHeight="1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</row>
    <row r="942" spans="1:14" ht="14.1" customHeight="1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</row>
    <row r="943" spans="1:14" ht="14.1" customHeight="1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</row>
    <row r="944" spans="1:14" ht="14.1" customHeight="1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</row>
    <row r="945" spans="1:14" ht="14.1" customHeight="1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</row>
    <row r="946" spans="1:14" ht="14.1" customHeight="1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</row>
    <row r="947" spans="1:14" ht="14.1" customHeight="1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</row>
    <row r="948" spans="1:14" ht="14.1" customHeight="1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</row>
    <row r="949" spans="1:14" ht="14.1" customHeight="1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</row>
    <row r="950" spans="1:14" ht="14.1" customHeight="1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</row>
    <row r="951" spans="1:14" ht="14.1" customHeight="1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</row>
    <row r="952" spans="1:14" ht="14.1" customHeight="1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</row>
    <row r="953" spans="1:14" ht="14.1" customHeight="1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</row>
    <row r="954" spans="1:14" ht="14.1" customHeight="1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</row>
    <row r="955" spans="1:14" ht="14.1" customHeight="1">
      <c r="B955" s="181"/>
      <c r="C955" s="181"/>
      <c r="D955" s="181"/>
      <c r="E955" s="25"/>
      <c r="F955" s="25"/>
      <c r="G955" s="167"/>
      <c r="H955" s="167"/>
      <c r="I955" s="167"/>
      <c r="J955" s="7"/>
      <c r="K955" s="182"/>
      <c r="L955" s="182"/>
    </row>
    <row r="956" spans="1:14" ht="14.1" customHeight="1">
      <c r="B956" s="170"/>
      <c r="C956" s="170"/>
      <c r="D956" s="170"/>
      <c r="E956" s="26"/>
      <c r="F956" s="26"/>
      <c r="G956" s="170"/>
      <c r="H956" s="170"/>
      <c r="I956" s="170"/>
      <c r="J956" s="25"/>
      <c r="K956" s="171"/>
      <c r="L956" s="171"/>
    </row>
    <row r="957" spans="1:14" ht="14.1" customHeight="1">
      <c r="A957" s="6"/>
      <c r="B957" s="6"/>
      <c r="C957" s="7"/>
      <c r="D957" s="7"/>
      <c r="E957" s="7"/>
      <c r="F957" s="7"/>
      <c r="G957" s="7"/>
      <c r="H957" s="7"/>
      <c r="I957" s="7"/>
      <c r="J957" s="27"/>
      <c r="K957" s="7"/>
      <c r="L957" s="7"/>
      <c r="M957" s="7"/>
      <c r="N957" s="7"/>
    </row>
    <row r="958" spans="1:14" ht="14.1" customHeight="1">
      <c r="A958" s="6"/>
      <c r="B958" s="6"/>
      <c r="C958" s="7"/>
      <c r="D958" s="7"/>
      <c r="E958" s="7"/>
      <c r="F958" s="7"/>
      <c r="G958" s="7"/>
      <c r="H958" s="7"/>
      <c r="I958" s="7"/>
      <c r="J958" s="27"/>
      <c r="K958" s="7"/>
      <c r="L958" s="7"/>
      <c r="M958" s="7"/>
      <c r="N958" s="7"/>
    </row>
    <row r="959" spans="1:14" ht="14.1" customHeight="1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</row>
    <row r="960" spans="1:14" ht="18" customHeight="1">
      <c r="A960" s="184" t="s">
        <v>0</v>
      </c>
      <c r="B960" s="185"/>
      <c r="C960" s="185"/>
      <c r="D960" s="185"/>
      <c r="E960" s="185"/>
      <c r="F960" s="185"/>
      <c r="G960" s="20">
        <v>1380</v>
      </c>
      <c r="H960" s="1" t="s">
        <v>15</v>
      </c>
      <c r="I960" s="1"/>
      <c r="J960" s="32"/>
      <c r="K960" s="1"/>
      <c r="L960" s="1"/>
      <c r="M960" s="1"/>
      <c r="N960" s="1"/>
    </row>
    <row r="961" spans="1:15" ht="18" customHeight="1">
      <c r="A961" s="42" t="s">
        <v>1</v>
      </c>
      <c r="B961" s="43"/>
      <c r="C961" s="83">
        <v>0</v>
      </c>
      <c r="D961" s="84">
        <v>0.5</v>
      </c>
      <c r="E961" s="84">
        <v>0.6</v>
      </c>
      <c r="F961" s="85">
        <v>1.2</v>
      </c>
      <c r="G961" s="85">
        <v>2.4</v>
      </c>
      <c r="H961" s="84">
        <v>3</v>
      </c>
      <c r="I961" s="52">
        <v>3</v>
      </c>
      <c r="J961" s="52"/>
      <c r="K961" s="84"/>
      <c r="L961" s="126"/>
      <c r="M961" s="84"/>
      <c r="N961" s="47"/>
      <c r="O961" s="22"/>
    </row>
    <row r="962" spans="1:15" ht="18" customHeight="1">
      <c r="A962" s="42" t="s">
        <v>2</v>
      </c>
      <c r="B962" s="43"/>
      <c r="C962" s="83">
        <v>98.71</v>
      </c>
      <c r="D962" s="84">
        <v>97.7</v>
      </c>
      <c r="E962" s="84">
        <v>97.7</v>
      </c>
      <c r="F962" s="84">
        <v>97.7</v>
      </c>
      <c r="G962" s="84">
        <v>97.7</v>
      </c>
      <c r="H962" s="84">
        <v>97.7</v>
      </c>
      <c r="I962" s="84">
        <v>98.86</v>
      </c>
      <c r="J962" s="84"/>
      <c r="K962" s="84"/>
      <c r="L962" s="126"/>
      <c r="M962" s="84"/>
      <c r="N962" s="47"/>
      <c r="O962" s="21"/>
    </row>
    <row r="963" spans="1:15" ht="18" customHeight="1">
      <c r="A963" s="42" t="s">
        <v>1</v>
      </c>
      <c r="B963" s="43"/>
      <c r="C963" s="83">
        <v>0</v>
      </c>
      <c r="D963" s="84">
        <v>0.5</v>
      </c>
      <c r="E963" s="84">
        <v>0.6</v>
      </c>
      <c r="F963" s="85">
        <v>1.2</v>
      </c>
      <c r="G963" s="85">
        <v>2.4</v>
      </c>
      <c r="H963" s="84">
        <v>3</v>
      </c>
      <c r="I963" s="52">
        <v>3</v>
      </c>
      <c r="J963" s="52"/>
      <c r="K963" s="84"/>
      <c r="L963" s="126"/>
      <c r="M963" s="84"/>
      <c r="N963" s="47"/>
      <c r="O963" s="22"/>
    </row>
    <row r="964" spans="1:15" ht="18" customHeight="1">
      <c r="A964" s="42" t="s">
        <v>3</v>
      </c>
      <c r="B964" s="9"/>
      <c r="C964" s="83">
        <v>98.71</v>
      </c>
      <c r="D964" s="84">
        <v>98.058000000000007</v>
      </c>
      <c r="E964" s="84">
        <v>98.02</v>
      </c>
      <c r="F964" s="84">
        <v>98.02</v>
      </c>
      <c r="G964" s="84">
        <v>98.02</v>
      </c>
      <c r="H964" s="84">
        <v>98.02</v>
      </c>
      <c r="I964" s="84">
        <v>98.86</v>
      </c>
      <c r="J964" s="84"/>
      <c r="K964" s="84"/>
      <c r="L964" s="126"/>
      <c r="M964" s="84"/>
      <c r="N964" s="52"/>
      <c r="O964" s="23"/>
    </row>
    <row r="965" spans="1:15" ht="18" customHeight="1">
      <c r="A965" s="42" t="s">
        <v>18</v>
      </c>
      <c r="B965" s="9"/>
      <c r="C965" s="52">
        <f t="shared" ref="C965" si="293">C962-C964</f>
        <v>0</v>
      </c>
      <c r="D965" s="52">
        <f>D964-D962</f>
        <v>0.35800000000000409</v>
      </c>
      <c r="E965" s="52">
        <f t="shared" ref="E965:I965" si="294">E964-E962</f>
        <v>0.31999999999999318</v>
      </c>
      <c r="F965" s="52">
        <f t="shared" si="294"/>
        <v>0.31999999999999318</v>
      </c>
      <c r="G965" s="52">
        <f t="shared" si="294"/>
        <v>0.31999999999999318</v>
      </c>
      <c r="H965" s="52">
        <f t="shared" si="294"/>
        <v>0.31999999999999318</v>
      </c>
      <c r="I965" s="52">
        <f t="shared" si="294"/>
        <v>0</v>
      </c>
      <c r="J965" s="52"/>
      <c r="K965" s="125"/>
      <c r="L965" s="125"/>
      <c r="M965" s="125"/>
      <c r="N965" s="47"/>
      <c r="O965" s="21"/>
    </row>
    <row r="966" spans="1:15" ht="18" customHeight="1">
      <c r="A966" s="42" t="s">
        <v>5</v>
      </c>
      <c r="B966" s="9"/>
      <c r="C966" s="52">
        <f t="shared" ref="C966" si="295">(C965+B965)/2*(C961-B961)</f>
        <v>0</v>
      </c>
      <c r="D966" s="52">
        <f>(D965+C965)/2*(D961-C961)</f>
        <v>8.9500000000001023E-2</v>
      </c>
      <c r="E966" s="52">
        <f t="shared" ref="E966" si="296">(E965+D965)/2*(E961-D961)</f>
        <v>3.3899999999999854E-2</v>
      </c>
      <c r="F966" s="52">
        <f t="shared" ref="F966" si="297">(F965+E965)/2*(F961-E961)</f>
        <v>0.1919999999999959</v>
      </c>
      <c r="G966" s="52">
        <f t="shared" ref="G966" si="298">(G965+F965)/2*(G961-F961)</f>
        <v>0.38399999999999179</v>
      </c>
      <c r="H966" s="52">
        <f t="shared" ref="H966" si="299">(H965+G965)/2*(H961-G961)</f>
        <v>0.19199999999999592</v>
      </c>
      <c r="I966" s="52">
        <f t="shared" ref="I966" si="300">(I965+H965)/2*(I961-H961)</f>
        <v>0</v>
      </c>
      <c r="J966" s="52"/>
      <c r="K966" s="125"/>
      <c r="L966" s="125"/>
      <c r="M966" s="125"/>
      <c r="N966" s="77">
        <f>SUM(B966:M966)</f>
        <v>0.89139999999998454</v>
      </c>
      <c r="O966" s="21"/>
    </row>
    <row r="967" spans="1:15" ht="18" customHeight="1">
      <c r="A967" s="2"/>
      <c r="B967" s="2"/>
      <c r="C967" s="30"/>
      <c r="D967" s="30"/>
      <c r="E967" s="4"/>
      <c r="F967" s="4"/>
      <c r="G967" s="4"/>
      <c r="H967" s="4"/>
      <c r="I967" s="4"/>
      <c r="J967" s="179" t="s">
        <v>6</v>
      </c>
      <c r="K967" s="179"/>
      <c r="L967" s="179"/>
      <c r="M967" s="179"/>
      <c r="N967" s="5">
        <f>N966</f>
        <v>0.89139999999998454</v>
      </c>
      <c r="O967" s="21"/>
    </row>
    <row r="968" spans="1:15" ht="18" customHeight="1">
      <c r="A968" s="24"/>
      <c r="B968" s="78"/>
      <c r="C968" s="18"/>
      <c r="D968" s="18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</row>
    <row r="969" spans="1:15" ht="14.1" customHeight="1">
      <c r="A969" s="2"/>
      <c r="B969" s="2"/>
      <c r="C969" s="30"/>
      <c r="D969" s="30"/>
      <c r="E969" s="21"/>
      <c r="F969" s="21"/>
      <c r="G969" s="21"/>
      <c r="H969" s="21"/>
      <c r="I969" s="21"/>
      <c r="J969" s="30"/>
      <c r="K969" s="30"/>
      <c r="L969" s="30"/>
      <c r="M969" s="30"/>
      <c r="N969" s="30"/>
    </row>
    <row r="970" spans="1:15" ht="14.1" customHeight="1">
      <c r="A970" s="6"/>
      <c r="B970" s="6"/>
      <c r="C970" s="7"/>
      <c r="D970" s="7"/>
      <c r="E970" s="7"/>
      <c r="F970" s="7"/>
      <c r="G970" s="7"/>
      <c r="H970" s="7"/>
      <c r="I970" s="7"/>
      <c r="K970" s="7"/>
      <c r="L970" s="7"/>
      <c r="M970" s="7"/>
      <c r="N970" s="7"/>
    </row>
    <row r="971" spans="1:15" ht="14.1" customHeight="1">
      <c r="A971" s="2"/>
      <c r="B971" s="2"/>
      <c r="C971" s="30"/>
      <c r="D971" s="30"/>
      <c r="E971" s="4"/>
      <c r="F971" s="4"/>
      <c r="G971" s="4"/>
      <c r="H971" s="4"/>
      <c r="I971" s="4"/>
      <c r="J971" s="30"/>
      <c r="K971" s="30"/>
      <c r="L971" s="30"/>
      <c r="M971" s="30"/>
      <c r="N971" s="30"/>
    </row>
    <row r="972" spans="1:15" ht="14.1" customHeight="1">
      <c r="A972" s="6"/>
      <c r="B972" s="6"/>
      <c r="C972" s="7"/>
      <c r="D972" s="7"/>
      <c r="E972" s="7"/>
      <c r="F972" s="7"/>
      <c r="G972" s="7"/>
      <c r="H972" s="7"/>
      <c r="I972" s="7"/>
      <c r="K972" s="7"/>
      <c r="L972" s="7"/>
      <c r="M972" s="7"/>
      <c r="N972" s="7"/>
    </row>
    <row r="973" spans="1:15" ht="14.1" customHeight="1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</row>
    <row r="974" spans="1:15" ht="14.1" customHeight="1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</row>
    <row r="975" spans="1:15" ht="14.1" customHeight="1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</row>
    <row r="976" spans="1:15" ht="14.1" customHeight="1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</row>
    <row r="977" spans="1:14" ht="14.1" customHeight="1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</row>
    <row r="978" spans="1:14" ht="14.1" customHeight="1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</row>
    <row r="979" spans="1:14" ht="14.1" customHeight="1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</row>
    <row r="980" spans="1:14" ht="14.1" customHeight="1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</row>
    <row r="981" spans="1:14" ht="14.1" customHeight="1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</row>
    <row r="982" spans="1:14" ht="14.1" customHeight="1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</row>
    <row r="983" spans="1:14" ht="14.1" customHeight="1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</row>
    <row r="984" spans="1:14" ht="14.1" customHeight="1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</row>
    <row r="985" spans="1:14" ht="14.1" customHeight="1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</row>
    <row r="986" spans="1:14" ht="14.1" customHeight="1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</row>
    <row r="987" spans="1:14" ht="14.1" customHeight="1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</row>
    <row r="988" spans="1:14" ht="14.1" customHeight="1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</row>
    <row r="989" spans="1:14" ht="14.1" customHeight="1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</row>
    <row r="990" spans="1:14" ht="14.1" customHeight="1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</row>
    <row r="991" spans="1:14" ht="14.1" customHeight="1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</row>
    <row r="992" spans="1:14" ht="14.1" customHeight="1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</row>
    <row r="993" spans="1:14" ht="14.1" customHeight="1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</row>
    <row r="994" spans="1:14" ht="14.1" customHeight="1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</row>
    <row r="995" spans="1:14" ht="14.1" customHeight="1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</row>
    <row r="996" spans="1:14" ht="14.1" customHeight="1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</row>
    <row r="997" spans="1:14" ht="14.1" customHeight="1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</row>
    <row r="998" spans="1:14" ht="14.1" customHeight="1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</row>
    <row r="999" spans="1:14" ht="18" customHeight="1">
      <c r="A999" s="184" t="s">
        <v>0</v>
      </c>
      <c r="B999" s="185"/>
      <c r="C999" s="185"/>
      <c r="D999" s="185"/>
      <c r="E999" s="185"/>
      <c r="F999" s="185"/>
      <c r="G999" s="20">
        <v>1440</v>
      </c>
      <c r="H999" s="1" t="s">
        <v>15</v>
      </c>
      <c r="I999" s="1"/>
      <c r="J999" s="32"/>
      <c r="K999" s="1"/>
      <c r="L999" s="1"/>
      <c r="M999" s="1"/>
      <c r="N999" s="1"/>
    </row>
    <row r="1000" spans="1:14" ht="18" customHeight="1">
      <c r="A1000" s="42" t="s">
        <v>1</v>
      </c>
      <c r="B1000" s="82"/>
      <c r="C1000" s="83">
        <v>0</v>
      </c>
      <c r="D1000" s="84">
        <v>0.5</v>
      </c>
      <c r="E1000" s="84">
        <v>0.6</v>
      </c>
      <c r="F1000" s="85">
        <v>1.2</v>
      </c>
      <c r="G1000" s="85">
        <v>2.4</v>
      </c>
      <c r="H1000" s="84">
        <v>3</v>
      </c>
      <c r="I1000" s="52">
        <v>3</v>
      </c>
      <c r="J1000" s="52"/>
      <c r="K1000" s="84"/>
      <c r="L1000" s="86"/>
      <c r="M1000" s="84"/>
      <c r="N1000" s="52"/>
    </row>
    <row r="1001" spans="1:14" ht="18" customHeight="1">
      <c r="A1001" s="42" t="s">
        <v>2</v>
      </c>
      <c r="B1001" s="82"/>
      <c r="C1001" s="83">
        <v>98.54</v>
      </c>
      <c r="D1001" s="84">
        <v>97.856999999999999</v>
      </c>
      <c r="E1001" s="84">
        <v>97.72</v>
      </c>
      <c r="F1001" s="84">
        <v>97.72</v>
      </c>
      <c r="G1001" s="84">
        <v>97.72</v>
      </c>
      <c r="H1001" s="84">
        <v>97.72</v>
      </c>
      <c r="I1001" s="84">
        <v>98.68</v>
      </c>
      <c r="J1001" s="84"/>
      <c r="K1001" s="84"/>
      <c r="L1001" s="86"/>
      <c r="M1001" s="84"/>
      <c r="N1001" s="52"/>
    </row>
    <row r="1002" spans="1:14" ht="18" customHeight="1">
      <c r="A1002" s="42" t="s">
        <v>1</v>
      </c>
      <c r="B1002" s="82"/>
      <c r="C1002" s="83">
        <v>0</v>
      </c>
      <c r="D1002" s="84">
        <v>0.5</v>
      </c>
      <c r="E1002" s="84">
        <v>0.6</v>
      </c>
      <c r="F1002" s="85">
        <v>1.2</v>
      </c>
      <c r="G1002" s="85">
        <v>2.4</v>
      </c>
      <c r="H1002" s="84">
        <v>3</v>
      </c>
      <c r="I1002" s="52">
        <v>3</v>
      </c>
      <c r="J1002" s="52"/>
      <c r="K1002" s="84"/>
      <c r="L1002" s="86"/>
      <c r="M1002" s="84"/>
      <c r="N1002" s="52"/>
    </row>
    <row r="1003" spans="1:14" ht="18" customHeight="1">
      <c r="A1003" s="42" t="s">
        <v>3</v>
      </c>
      <c r="B1003" s="87"/>
      <c r="C1003" s="83">
        <v>98.54</v>
      </c>
      <c r="D1003" s="84">
        <v>98.16</v>
      </c>
      <c r="E1003" s="84">
        <v>98</v>
      </c>
      <c r="F1003" s="84">
        <v>98</v>
      </c>
      <c r="G1003" s="84">
        <v>98</v>
      </c>
      <c r="H1003" s="84">
        <v>98</v>
      </c>
      <c r="I1003" s="84">
        <v>98.68</v>
      </c>
      <c r="J1003" s="84"/>
      <c r="K1003" s="84"/>
      <c r="L1003" s="86"/>
      <c r="M1003" s="84"/>
      <c r="N1003" s="52"/>
    </row>
    <row r="1004" spans="1:14" ht="18" customHeight="1">
      <c r="A1004" s="42" t="s">
        <v>18</v>
      </c>
      <c r="B1004" s="87"/>
      <c r="C1004" s="52">
        <f t="shared" ref="C1004" si="301">C1001-C1003</f>
        <v>0</v>
      </c>
      <c r="D1004" s="52">
        <f>D1003-D1001</f>
        <v>0.30299999999999727</v>
      </c>
      <c r="E1004" s="52">
        <f t="shared" ref="E1004" si="302">E1003-E1001</f>
        <v>0.28000000000000114</v>
      </c>
      <c r="F1004" s="52">
        <f t="shared" ref="F1004" si="303">F1003-F1001</f>
        <v>0.28000000000000114</v>
      </c>
      <c r="G1004" s="52">
        <f t="shared" ref="G1004" si="304">G1003-G1001</f>
        <v>0.28000000000000114</v>
      </c>
      <c r="H1004" s="52">
        <f t="shared" ref="H1004" si="305">H1003-H1001</f>
        <v>0.28000000000000114</v>
      </c>
      <c r="I1004" s="52">
        <f t="shared" ref="I1004" si="306">I1003-I1001</f>
        <v>0</v>
      </c>
      <c r="J1004" s="52"/>
      <c r="K1004" s="52"/>
      <c r="L1004" s="52"/>
      <c r="M1004" s="52"/>
      <c r="N1004" s="52"/>
    </row>
    <row r="1005" spans="1:14" ht="18" customHeight="1">
      <c r="A1005" s="42" t="s">
        <v>5</v>
      </c>
      <c r="B1005" s="87"/>
      <c r="C1005" s="52">
        <f t="shared" ref="C1005" si="307">(C1004+B1004)/2*(C1000-B1000)</f>
        <v>0</v>
      </c>
      <c r="D1005" s="52">
        <f>(D1004+C1004)/2*(D1000-C1000)</f>
        <v>7.5749999999999318E-2</v>
      </c>
      <c r="E1005" s="52">
        <f t="shared" ref="E1005" si="308">(E1004+D1004)/2*(E1000-D1000)</f>
        <v>2.9149999999999916E-2</v>
      </c>
      <c r="F1005" s="52">
        <f t="shared" ref="F1005" si="309">(F1004+E1004)/2*(F1000-E1000)</f>
        <v>0.16800000000000068</v>
      </c>
      <c r="G1005" s="52">
        <f t="shared" ref="G1005" si="310">(G1004+F1004)/2*(G1000-F1000)</f>
        <v>0.33600000000000135</v>
      </c>
      <c r="H1005" s="52">
        <f t="shared" ref="H1005" si="311">(H1004+G1004)/2*(H1000-G1000)</f>
        <v>0.1680000000000007</v>
      </c>
      <c r="I1005" s="52">
        <f t="shared" ref="I1005" si="312">(I1004+H1004)/2*(I1000-H1000)</f>
        <v>0</v>
      </c>
      <c r="J1005" s="52"/>
      <c r="K1005" s="52"/>
      <c r="L1005" s="52"/>
      <c r="M1005" s="52"/>
      <c r="N1005" s="88">
        <f>SUM(B1005:M1005)</f>
        <v>0.77690000000000203</v>
      </c>
    </row>
    <row r="1006" spans="1:14" ht="18" customHeight="1">
      <c r="A1006" s="2"/>
      <c r="B1006" s="2"/>
      <c r="C1006" s="30"/>
      <c r="D1006" s="30"/>
      <c r="E1006" s="4"/>
      <c r="F1006" s="4"/>
      <c r="G1006" s="4"/>
      <c r="H1006" s="4"/>
      <c r="I1006" s="4"/>
      <c r="J1006" s="179" t="s">
        <v>6</v>
      </c>
      <c r="K1006" s="179"/>
      <c r="L1006" s="179"/>
      <c r="M1006" s="179"/>
      <c r="N1006" s="5">
        <f>N1005</f>
        <v>0.77690000000000203</v>
      </c>
    </row>
    <row r="1007" spans="1:14" ht="18" customHeight="1">
      <c r="A1007" s="24"/>
      <c r="B1007" s="78"/>
      <c r="C1007" s="18"/>
      <c r="D1007" s="18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</row>
    <row r="1008" spans="1:14" ht="14.1" customHeight="1">
      <c r="A1008" s="2"/>
      <c r="B1008" s="2"/>
      <c r="C1008" s="30"/>
      <c r="D1008" s="30"/>
      <c r="E1008" s="21"/>
      <c r="F1008" s="21"/>
      <c r="G1008" s="21"/>
      <c r="H1008" s="21"/>
      <c r="I1008" s="21"/>
      <c r="J1008" s="30"/>
      <c r="K1008" s="30"/>
      <c r="L1008" s="30"/>
      <c r="M1008" s="30"/>
      <c r="N1008" s="30"/>
    </row>
    <row r="1009" spans="1:14" ht="14.1" customHeight="1">
      <c r="A1009" s="6"/>
      <c r="B1009" s="6"/>
      <c r="C1009" s="7"/>
      <c r="D1009" s="7"/>
      <c r="E1009" s="7"/>
      <c r="F1009" s="7"/>
      <c r="G1009" s="7"/>
      <c r="H1009" s="7"/>
      <c r="I1009" s="7"/>
      <c r="K1009" s="7"/>
      <c r="L1009" s="7"/>
      <c r="M1009" s="7"/>
      <c r="N1009" s="7"/>
    </row>
    <row r="1010" spans="1:14" ht="14.1" customHeight="1">
      <c r="A1010" s="6"/>
      <c r="B1010" s="6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</row>
    <row r="1011" spans="1:14" ht="14.1" customHeight="1">
      <c r="A1011" s="6"/>
      <c r="B1011" s="6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</row>
    <row r="1012" spans="1:14" ht="14.1" customHeight="1">
      <c r="A1012" s="6"/>
      <c r="B1012" s="6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</row>
    <row r="1013" spans="1:14" ht="14.1" customHeight="1">
      <c r="A1013" s="6"/>
      <c r="B1013" s="6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</row>
    <row r="1014" spans="1:14" ht="14.1" customHeight="1">
      <c r="A1014" s="6"/>
      <c r="B1014" s="6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</row>
    <row r="1015" spans="1:14" ht="14.1" customHeight="1">
      <c r="A1015" s="6"/>
      <c r="B1015" s="6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</row>
    <row r="1016" spans="1:14" ht="14.1" customHeight="1">
      <c r="A1016" s="6"/>
      <c r="B1016" s="6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</row>
    <row r="1017" spans="1:14" ht="14.1" customHeight="1">
      <c r="A1017" s="6"/>
      <c r="B1017" s="6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</row>
    <row r="1018" spans="1:14" ht="14.1" customHeight="1">
      <c r="A1018" s="6"/>
      <c r="B1018" s="6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</row>
    <row r="1019" spans="1:14" ht="14.1" customHeight="1">
      <c r="A1019" s="6"/>
      <c r="B1019" s="6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</row>
    <row r="1020" spans="1:14" ht="14.1" customHeight="1">
      <c r="A1020" s="6"/>
      <c r="B1020" s="6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</row>
    <row r="1021" spans="1:14" ht="14.1" customHeight="1">
      <c r="A1021" s="6"/>
      <c r="B1021" s="6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</row>
    <row r="1022" spans="1:14" ht="14.1" customHeight="1">
      <c r="A1022" s="6"/>
      <c r="B1022" s="6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</row>
    <row r="1023" spans="1:14" ht="14.1" customHeight="1">
      <c r="A1023" s="6"/>
      <c r="B1023" s="6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</row>
    <row r="1024" spans="1:14" ht="14.1" customHeight="1">
      <c r="A1024" s="6"/>
      <c r="B1024" s="6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</row>
    <row r="1025" spans="1:14" ht="14.1" customHeight="1">
      <c r="A1025" s="6"/>
      <c r="B1025" s="6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</row>
    <row r="1026" spans="1:14" ht="14.1" customHeight="1">
      <c r="A1026" s="6"/>
      <c r="B1026" s="6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</row>
    <row r="1027" spans="1:14" ht="14.1" customHeight="1">
      <c r="A1027" s="6"/>
      <c r="B1027" s="6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</row>
    <row r="1028" spans="1:14" ht="14.1" customHeight="1">
      <c r="A1028" s="6"/>
      <c r="B1028" s="6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</row>
    <row r="1029" spans="1:14" ht="14.1" customHeight="1">
      <c r="A1029" s="6"/>
      <c r="B1029" s="6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</row>
    <row r="1030" spans="1:14" ht="14.1" customHeight="1">
      <c r="A1030" s="6"/>
      <c r="B1030" s="6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</row>
    <row r="1031" spans="1:14" ht="14.1" customHeight="1">
      <c r="A1031" s="6"/>
      <c r="B1031" s="6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</row>
    <row r="1032" spans="1:14" ht="14.1" customHeight="1">
      <c r="A1032" s="6"/>
      <c r="B1032" s="6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</row>
    <row r="1033" spans="1:14" ht="14.1" customHeight="1">
      <c r="A1033" s="6"/>
      <c r="B1033" s="6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</row>
    <row r="1034" spans="1:14" ht="14.1" customHeight="1">
      <c r="A1034" s="6"/>
      <c r="B1034" s="6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</row>
    <row r="1035" spans="1:14" ht="14.1" customHeight="1">
      <c r="A1035" s="6"/>
      <c r="B1035" s="6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</row>
    <row r="1036" spans="1:14" ht="14.1" customHeight="1">
      <c r="B1036" s="181"/>
      <c r="C1036" s="181"/>
      <c r="D1036" s="181"/>
      <c r="E1036" s="25"/>
      <c r="F1036" s="25"/>
      <c r="G1036" s="167"/>
      <c r="H1036" s="167"/>
      <c r="I1036" s="167"/>
      <c r="J1036" s="7"/>
      <c r="K1036" s="182"/>
      <c r="L1036" s="182"/>
    </row>
    <row r="1037" spans="1:14" ht="14.1" customHeight="1">
      <c r="B1037" s="170"/>
      <c r="C1037" s="170"/>
      <c r="D1037" s="170"/>
      <c r="E1037" s="26"/>
      <c r="F1037" s="26"/>
      <c r="G1037" s="170"/>
      <c r="H1037" s="170"/>
      <c r="I1037" s="170"/>
      <c r="J1037" s="25"/>
      <c r="K1037" s="171"/>
      <c r="L1037" s="171"/>
    </row>
    <row r="1038" spans="1:14" ht="14.1" customHeight="1">
      <c r="A1038" s="6"/>
      <c r="B1038" s="6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</row>
    <row r="1039" spans="1:14" ht="14.1" customHeight="1">
      <c r="A1039" s="6"/>
      <c r="B1039" s="6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</row>
    <row r="1040" spans="1:14" ht="14.1" customHeight="1">
      <c r="A1040" s="6"/>
      <c r="B1040" s="6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</row>
    <row r="1041" spans="1:14" ht="14.1" customHeight="1">
      <c r="A1041" s="6"/>
      <c r="B1041" s="6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</row>
    <row r="1042" spans="1:14" ht="14.1" customHeight="1">
      <c r="A1042" s="6"/>
      <c r="B1042" s="6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</row>
    <row r="1043" spans="1:14" ht="14.1" customHeight="1">
      <c r="A1043" s="6"/>
      <c r="B1043" s="6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</row>
    <row r="1044" spans="1:14" ht="18" customHeight="1">
      <c r="A1044" s="184" t="s">
        <v>0</v>
      </c>
      <c r="B1044" s="185"/>
      <c r="C1044" s="185"/>
      <c r="D1044" s="185"/>
      <c r="E1044" s="185"/>
      <c r="F1044" s="185"/>
      <c r="G1044" s="20">
        <v>1500</v>
      </c>
      <c r="H1044" s="1" t="s">
        <v>15</v>
      </c>
      <c r="I1044" s="1"/>
      <c r="J1044" s="32"/>
      <c r="K1044" s="1"/>
      <c r="L1044" s="1"/>
      <c r="M1044" s="1"/>
      <c r="N1044" s="1"/>
    </row>
    <row r="1045" spans="1:14" ht="18" customHeight="1">
      <c r="A1045" s="42" t="s">
        <v>1</v>
      </c>
      <c r="B1045" s="82"/>
      <c r="C1045" s="83">
        <v>0</v>
      </c>
      <c r="D1045" s="84">
        <v>0.6</v>
      </c>
      <c r="E1045" s="84">
        <v>1.2</v>
      </c>
      <c r="F1045" s="85">
        <v>2.4</v>
      </c>
      <c r="G1045" s="85">
        <v>3</v>
      </c>
      <c r="H1045" s="84">
        <v>3</v>
      </c>
      <c r="I1045" s="52"/>
      <c r="J1045" s="52"/>
      <c r="K1045" s="84"/>
      <c r="L1045" s="86"/>
      <c r="M1045" s="84"/>
      <c r="N1045" s="52"/>
    </row>
    <row r="1046" spans="1:14" ht="18" customHeight="1">
      <c r="A1046" s="42" t="s">
        <v>2</v>
      </c>
      <c r="B1046" s="82"/>
      <c r="C1046" s="83">
        <v>98.68</v>
      </c>
      <c r="D1046" s="84">
        <v>97.65</v>
      </c>
      <c r="E1046" s="84">
        <v>97.65</v>
      </c>
      <c r="F1046" s="84">
        <v>97.65</v>
      </c>
      <c r="G1046" s="84">
        <v>97.65</v>
      </c>
      <c r="H1046" s="84">
        <v>98.47</v>
      </c>
      <c r="I1046" s="84"/>
      <c r="J1046" s="84"/>
      <c r="K1046" s="84"/>
      <c r="L1046" s="86"/>
      <c r="M1046" s="84"/>
      <c r="N1046" s="52"/>
    </row>
    <row r="1047" spans="1:14" ht="18" customHeight="1">
      <c r="A1047" s="42" t="s">
        <v>1</v>
      </c>
      <c r="B1047" s="82"/>
      <c r="C1047" s="83">
        <v>0</v>
      </c>
      <c r="D1047" s="84">
        <v>0.6</v>
      </c>
      <c r="E1047" s="84">
        <v>1.2</v>
      </c>
      <c r="F1047" s="85">
        <v>2.4</v>
      </c>
      <c r="G1047" s="85">
        <v>3</v>
      </c>
      <c r="H1047" s="84">
        <v>3</v>
      </c>
      <c r="I1047" s="52"/>
      <c r="J1047" s="52"/>
      <c r="K1047" s="84"/>
      <c r="L1047" s="86"/>
      <c r="M1047" s="84"/>
      <c r="N1047" s="52"/>
    </row>
    <row r="1048" spans="1:14" ht="18" customHeight="1">
      <c r="A1048" s="42" t="s">
        <v>3</v>
      </c>
      <c r="B1048" s="87"/>
      <c r="C1048" s="83">
        <v>98.68</v>
      </c>
      <c r="D1048" s="84">
        <v>97.947999999999993</v>
      </c>
      <c r="E1048" s="84">
        <v>97.935000000000002</v>
      </c>
      <c r="F1048" s="84">
        <v>97.935000000000002</v>
      </c>
      <c r="G1048" s="84">
        <v>97.935000000000002</v>
      </c>
      <c r="H1048" s="84">
        <v>98.47</v>
      </c>
      <c r="I1048" s="84"/>
      <c r="J1048" s="84"/>
      <c r="K1048" s="84"/>
      <c r="L1048" s="86"/>
      <c r="M1048" s="84"/>
      <c r="N1048" s="52"/>
    </row>
    <row r="1049" spans="1:14" ht="18" customHeight="1">
      <c r="A1049" s="42" t="s">
        <v>18</v>
      </c>
      <c r="B1049" s="87"/>
      <c r="C1049" s="52">
        <f t="shared" ref="C1049" si="313">C1046-C1048</f>
        <v>0</v>
      </c>
      <c r="D1049" s="52">
        <f>D1048-D1046</f>
        <v>0.29799999999998761</v>
      </c>
      <c r="E1049" s="52">
        <f t="shared" ref="E1049" si="314">E1048-E1046</f>
        <v>0.28499999999999659</v>
      </c>
      <c r="F1049" s="52">
        <f t="shared" ref="F1049" si="315">F1048-F1046</f>
        <v>0.28499999999999659</v>
      </c>
      <c r="G1049" s="52">
        <f t="shared" ref="G1049" si="316">G1048-G1046</f>
        <v>0.28499999999999659</v>
      </c>
      <c r="H1049" s="52">
        <f t="shared" ref="H1049" si="317">H1048-H1046</f>
        <v>0</v>
      </c>
      <c r="I1049" s="52"/>
      <c r="J1049" s="52"/>
      <c r="K1049" s="52"/>
      <c r="L1049" s="52"/>
      <c r="M1049" s="52"/>
      <c r="N1049" s="52"/>
    </row>
    <row r="1050" spans="1:14" ht="18" customHeight="1">
      <c r="A1050" s="42" t="s">
        <v>5</v>
      </c>
      <c r="B1050" s="87"/>
      <c r="C1050" s="52">
        <f t="shared" ref="C1050" si="318">(C1049+B1049)/2*(C1045-B1045)</f>
        <v>0</v>
      </c>
      <c r="D1050" s="52">
        <f>(D1049+C1049)/2*(D1045-C1045)</f>
        <v>8.9399999999996274E-2</v>
      </c>
      <c r="E1050" s="52">
        <f t="shared" ref="E1050" si="319">(E1049+D1049)/2*(E1045-D1045)</f>
        <v>0.17489999999999525</v>
      </c>
      <c r="F1050" s="52">
        <f t="shared" ref="F1050" si="320">(F1049+E1049)/2*(F1045-E1045)</f>
        <v>0.34199999999999592</v>
      </c>
      <c r="G1050" s="52">
        <f t="shared" ref="G1050" si="321">(G1049+F1049)/2*(G1045-F1045)</f>
        <v>0.17099999999999799</v>
      </c>
      <c r="H1050" s="52">
        <f t="shared" ref="H1050" si="322">(H1049+G1049)/2*(H1045-G1045)</f>
        <v>0</v>
      </c>
      <c r="I1050" s="52"/>
      <c r="J1050" s="52"/>
      <c r="K1050" s="52"/>
      <c r="L1050" s="52"/>
      <c r="M1050" s="52"/>
      <c r="N1050" s="88">
        <f>SUM(B1050:M1050)</f>
        <v>0.77729999999998545</v>
      </c>
    </row>
    <row r="1051" spans="1:14" ht="18" customHeight="1">
      <c r="A1051" s="2"/>
      <c r="B1051" s="2"/>
      <c r="C1051" s="30"/>
      <c r="D1051" s="30"/>
      <c r="E1051" s="4"/>
      <c r="F1051" s="4"/>
      <c r="G1051" s="4"/>
      <c r="H1051" s="4"/>
      <c r="I1051" s="4"/>
      <c r="J1051" s="179" t="s">
        <v>6</v>
      </c>
      <c r="K1051" s="179"/>
      <c r="L1051" s="179"/>
      <c r="M1051" s="179"/>
      <c r="N1051" s="5">
        <f>N1050</f>
        <v>0.77729999999998545</v>
      </c>
    </row>
    <row r="1052" spans="1:14" ht="18" customHeight="1">
      <c r="A1052" s="24"/>
      <c r="B1052" s="78"/>
      <c r="C1052" s="18"/>
      <c r="D1052" s="18"/>
      <c r="E1052" s="21"/>
      <c r="F1052" s="21"/>
      <c r="G1052" s="21"/>
      <c r="H1052" s="21"/>
      <c r="I1052" s="21"/>
      <c r="J1052" s="21"/>
      <c r="K1052" s="21"/>
      <c r="L1052" s="21"/>
      <c r="M1052" s="21"/>
      <c r="N1052" s="21"/>
    </row>
    <row r="1053" spans="1:14" ht="14.1" customHeight="1">
      <c r="A1053" s="2"/>
      <c r="B1053" s="2"/>
      <c r="C1053" s="30"/>
      <c r="D1053" s="30"/>
      <c r="E1053" s="21"/>
      <c r="F1053" s="21"/>
      <c r="G1053" s="21"/>
      <c r="H1053" s="21"/>
      <c r="I1053" s="21"/>
      <c r="J1053" s="30"/>
      <c r="K1053" s="30"/>
      <c r="L1053" s="30"/>
      <c r="M1053" s="30"/>
      <c r="N1053" s="30"/>
    </row>
    <row r="1054" spans="1:14" ht="14.1" customHeight="1">
      <c r="A1054" s="6"/>
      <c r="B1054" s="6"/>
      <c r="C1054" s="7"/>
      <c r="D1054" s="7"/>
      <c r="E1054" s="7"/>
      <c r="F1054" s="7"/>
      <c r="G1054" s="7"/>
      <c r="H1054" s="7"/>
      <c r="I1054" s="7"/>
      <c r="K1054" s="7"/>
      <c r="L1054" s="7"/>
      <c r="M1054" s="7"/>
      <c r="N1054" s="7"/>
    </row>
    <row r="1055" spans="1:14" ht="14.1" customHeight="1">
      <c r="A1055" s="6"/>
      <c r="B1055" s="6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</row>
    <row r="1056" spans="1:14" ht="14.1" customHeight="1">
      <c r="A1056" s="6"/>
      <c r="B1056" s="6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</row>
    <row r="1057" spans="1:14" ht="14.1" customHeight="1">
      <c r="A1057" s="6"/>
      <c r="B1057" s="6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</row>
    <row r="1058" spans="1:14" ht="14.1" customHeight="1">
      <c r="A1058" s="6"/>
      <c r="B1058" s="6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</row>
    <row r="1059" spans="1:14" ht="14.1" customHeight="1">
      <c r="A1059" s="6"/>
      <c r="B1059" s="6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</row>
    <row r="1060" spans="1:14" ht="14.1" customHeight="1">
      <c r="A1060" s="6"/>
      <c r="B1060" s="6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</row>
    <row r="1061" spans="1:14" ht="14.1" customHeight="1">
      <c r="A1061" s="6"/>
      <c r="B1061" s="6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</row>
    <row r="1062" spans="1:14" ht="14.1" customHeight="1">
      <c r="A1062" s="6"/>
      <c r="B1062" s="6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</row>
    <row r="1063" spans="1:14" ht="14.1" customHeight="1">
      <c r="A1063" s="6"/>
      <c r="B1063" s="6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</row>
    <row r="1064" spans="1:14" ht="14.1" customHeight="1">
      <c r="A1064" s="6"/>
      <c r="B1064" s="6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</row>
    <row r="1065" spans="1:14" ht="14.1" customHeight="1">
      <c r="A1065" s="6"/>
      <c r="B1065" s="6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</row>
    <row r="1066" spans="1:14" ht="14.1" customHeight="1">
      <c r="A1066" s="6"/>
      <c r="B1066" s="6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</row>
    <row r="1067" spans="1:14" ht="14.1" customHeight="1">
      <c r="A1067" s="6"/>
      <c r="B1067" s="6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</row>
    <row r="1068" spans="1:14" ht="14.1" customHeight="1">
      <c r="A1068" s="6"/>
      <c r="B1068" s="6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</row>
    <row r="1069" spans="1:14" ht="14.1" customHeight="1">
      <c r="A1069" s="6"/>
      <c r="B1069" s="6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</row>
    <row r="1070" spans="1:14" ht="14.1" customHeight="1">
      <c r="A1070" s="6"/>
      <c r="B1070" s="6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</row>
    <row r="1071" spans="1:14" ht="14.1" customHeight="1">
      <c r="A1071" s="6"/>
      <c r="B1071" s="6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</row>
    <row r="1072" spans="1:14" ht="14.1" customHeight="1">
      <c r="A1072" s="6"/>
      <c r="B1072" s="6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</row>
    <row r="1073" spans="1:14" ht="14.1" customHeight="1">
      <c r="A1073" s="6"/>
      <c r="B1073" s="6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</row>
    <row r="1074" spans="1:14" ht="14.1" customHeight="1">
      <c r="A1074" s="6"/>
      <c r="B1074" s="6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</row>
    <row r="1075" spans="1:14" ht="14.1" customHeight="1">
      <c r="A1075" s="6"/>
      <c r="B1075" s="6"/>
      <c r="C1075" s="7"/>
      <c r="D1075" s="7"/>
      <c r="E1075" s="7"/>
      <c r="F1075" s="7"/>
      <c r="G1075" s="7"/>
      <c r="H1075" s="7"/>
      <c r="I1075" s="7"/>
      <c r="J1075" s="35"/>
      <c r="K1075" s="7"/>
      <c r="L1075" s="7"/>
      <c r="M1075" s="7"/>
      <c r="N1075" s="7"/>
    </row>
    <row r="1076" spans="1:14" ht="14.1" customHeight="1">
      <c r="A1076" s="6"/>
      <c r="B1076" s="6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</row>
    <row r="1077" spans="1:14" ht="14.1" customHeight="1">
      <c r="A1077" s="6"/>
      <c r="B1077" s="6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</row>
    <row r="1078" spans="1:14" ht="14.1" customHeight="1">
      <c r="A1078" s="6"/>
      <c r="B1078" s="6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</row>
    <row r="1079" spans="1:14" ht="14.1" customHeight="1">
      <c r="A1079" s="24"/>
      <c r="B1079" s="21"/>
      <c r="C1079" s="21"/>
      <c r="D1079" s="21"/>
      <c r="E1079" s="21"/>
      <c r="F1079" s="21"/>
      <c r="G1079" s="21"/>
      <c r="H1079" s="21"/>
      <c r="I1079" s="21"/>
      <c r="J1079" s="21"/>
      <c r="K1079" s="21"/>
      <c r="L1079" s="21"/>
      <c r="M1079" s="21"/>
      <c r="N1079" s="21"/>
    </row>
    <row r="1080" spans="1:14" ht="14.1" customHeight="1"/>
    <row r="1081" spans="1:14" ht="14.1" customHeight="1"/>
    <row r="1082" spans="1:14" ht="14.1" customHeight="1"/>
    <row r="1083" spans="1:14" ht="18" customHeight="1">
      <c r="A1083" s="184" t="s">
        <v>0</v>
      </c>
      <c r="B1083" s="185"/>
      <c r="C1083" s="185"/>
      <c r="D1083" s="185"/>
      <c r="E1083" s="185"/>
      <c r="F1083" s="185"/>
      <c r="G1083" s="20">
        <v>1560</v>
      </c>
      <c r="H1083" s="1" t="s">
        <v>15</v>
      </c>
      <c r="I1083" s="1"/>
      <c r="J1083" s="32"/>
      <c r="K1083" s="1"/>
      <c r="L1083" s="1"/>
      <c r="M1083" s="1"/>
      <c r="N1083" s="1"/>
    </row>
    <row r="1084" spans="1:14" ht="18" customHeight="1">
      <c r="A1084" s="42" t="s">
        <v>1</v>
      </c>
      <c r="B1084" s="82"/>
      <c r="C1084" s="83">
        <v>0</v>
      </c>
      <c r="D1084" s="84">
        <v>0.5</v>
      </c>
      <c r="E1084" s="84">
        <v>0.6</v>
      </c>
      <c r="F1084" s="85">
        <v>1.2</v>
      </c>
      <c r="G1084" s="85">
        <v>2.4</v>
      </c>
      <c r="H1084" s="84">
        <v>3</v>
      </c>
      <c r="I1084" s="52">
        <v>3.8</v>
      </c>
      <c r="J1084" s="52">
        <v>4</v>
      </c>
      <c r="K1084" s="84"/>
      <c r="L1084" s="86"/>
      <c r="M1084" s="84"/>
      <c r="N1084" s="52"/>
    </row>
    <row r="1085" spans="1:14" ht="18" customHeight="1">
      <c r="A1085" s="42" t="s">
        <v>2</v>
      </c>
      <c r="B1085" s="82"/>
      <c r="C1085" s="83">
        <v>98.32</v>
      </c>
      <c r="D1085" s="84">
        <v>97.727999999999994</v>
      </c>
      <c r="E1085" s="84">
        <v>97.61</v>
      </c>
      <c r="F1085" s="84">
        <v>97.61</v>
      </c>
      <c r="G1085" s="84">
        <v>97.61</v>
      </c>
      <c r="H1085" s="84">
        <v>97.61</v>
      </c>
      <c r="I1085" s="84">
        <v>98.21</v>
      </c>
      <c r="J1085" s="84">
        <v>98.27</v>
      </c>
      <c r="K1085" s="84"/>
      <c r="L1085" s="86"/>
      <c r="M1085" s="84"/>
      <c r="N1085" s="52"/>
    </row>
    <row r="1086" spans="1:14" ht="18" customHeight="1">
      <c r="A1086" s="42" t="s">
        <v>1</v>
      </c>
      <c r="B1086" s="82"/>
      <c r="C1086" s="83">
        <v>0</v>
      </c>
      <c r="D1086" s="84">
        <v>0.5</v>
      </c>
      <c r="E1086" s="84">
        <v>0.6</v>
      </c>
      <c r="F1086" s="85">
        <v>1.2</v>
      </c>
      <c r="G1086" s="85">
        <v>2.4</v>
      </c>
      <c r="H1086" s="84">
        <v>3</v>
      </c>
      <c r="I1086" s="52">
        <v>3.8</v>
      </c>
      <c r="J1086" s="52">
        <v>4</v>
      </c>
      <c r="K1086" s="84"/>
      <c r="L1086" s="86"/>
      <c r="M1086" s="84"/>
      <c r="N1086" s="52"/>
    </row>
    <row r="1087" spans="1:14" ht="18" customHeight="1">
      <c r="A1087" s="42" t="s">
        <v>3</v>
      </c>
      <c r="B1087" s="87"/>
      <c r="C1087" s="83">
        <v>98.32</v>
      </c>
      <c r="D1087" s="84">
        <v>97.875</v>
      </c>
      <c r="E1087" s="84">
        <v>97.83</v>
      </c>
      <c r="F1087" s="84">
        <v>97.83</v>
      </c>
      <c r="G1087" s="84">
        <v>97.83</v>
      </c>
      <c r="H1087" s="84">
        <v>97.834999999999994</v>
      </c>
      <c r="I1087" s="84">
        <v>98.21</v>
      </c>
      <c r="J1087" s="84">
        <v>98.27</v>
      </c>
      <c r="K1087" s="84"/>
      <c r="L1087" s="86"/>
      <c r="M1087" s="84"/>
      <c r="N1087" s="52"/>
    </row>
    <row r="1088" spans="1:14" ht="18" customHeight="1">
      <c r="A1088" s="42" t="s">
        <v>18</v>
      </c>
      <c r="B1088" s="87"/>
      <c r="C1088" s="52">
        <f t="shared" ref="C1088" si="323">C1085-C1087</f>
        <v>0</v>
      </c>
      <c r="D1088" s="52">
        <f>D1087-D1085</f>
        <v>0.14700000000000557</v>
      </c>
      <c r="E1088" s="52">
        <f t="shared" ref="E1088:H1088" si="324">E1087-E1085</f>
        <v>0.21999999999999886</v>
      </c>
      <c r="F1088" s="52">
        <f t="shared" si="324"/>
        <v>0.21999999999999886</v>
      </c>
      <c r="G1088" s="52">
        <f t="shared" si="324"/>
        <v>0.21999999999999886</v>
      </c>
      <c r="H1088" s="52">
        <f t="shared" si="324"/>
        <v>0.22499999999999432</v>
      </c>
      <c r="I1088" s="52">
        <f t="shared" ref="I1088:J1088" si="325">I1087-I1085</f>
        <v>0</v>
      </c>
      <c r="J1088" s="52">
        <f t="shared" si="325"/>
        <v>0</v>
      </c>
      <c r="K1088" s="52"/>
      <c r="L1088" s="52"/>
      <c r="M1088" s="52"/>
      <c r="N1088" s="52"/>
    </row>
    <row r="1089" spans="1:14" ht="18" customHeight="1">
      <c r="A1089" s="42" t="s">
        <v>5</v>
      </c>
      <c r="B1089" s="87"/>
      <c r="C1089" s="52">
        <f t="shared" ref="C1089" si="326">(C1088+B1088)/2*(C1084-B1084)</f>
        <v>0</v>
      </c>
      <c r="D1089" s="52">
        <f>(D1088+C1088)/2*(D1084-C1084)</f>
        <v>3.6750000000001393E-2</v>
      </c>
      <c r="E1089" s="52">
        <f t="shared" ref="E1089" si="327">(E1088+D1088)/2*(E1084-D1084)</f>
        <v>1.8350000000000217E-2</v>
      </c>
      <c r="F1089" s="52">
        <f t="shared" ref="F1089" si="328">(F1088+E1088)/2*(F1084-E1084)</f>
        <v>0.13199999999999931</v>
      </c>
      <c r="G1089" s="52">
        <f t="shared" ref="G1089" si="329">(G1088+F1088)/2*(G1084-F1084)</f>
        <v>0.26399999999999862</v>
      </c>
      <c r="H1089" s="52">
        <f t="shared" ref="H1089" si="330">(H1088+G1088)/2*(H1084-G1084)</f>
        <v>0.13349999999999798</v>
      </c>
      <c r="I1089" s="52">
        <f t="shared" ref="I1089" si="331">(I1088+H1088)/2*(I1084-H1084)</f>
        <v>8.9999999999997707E-2</v>
      </c>
      <c r="J1089" s="52">
        <f t="shared" ref="J1089" si="332">(J1088+I1088)/2*(J1084-I1084)</f>
        <v>0</v>
      </c>
      <c r="K1089" s="52"/>
      <c r="L1089" s="52"/>
      <c r="M1089" s="52"/>
      <c r="N1089" s="88">
        <f>SUM(B1089:M1089)</f>
        <v>0.67459999999999531</v>
      </c>
    </row>
    <row r="1090" spans="1:14" ht="18" customHeight="1">
      <c r="A1090" s="2"/>
      <c r="B1090" s="89"/>
      <c r="C1090" s="90"/>
      <c r="D1090" s="90"/>
      <c r="E1090" s="91"/>
      <c r="F1090" s="91"/>
      <c r="G1090" s="91"/>
      <c r="H1090" s="91"/>
      <c r="I1090" s="91"/>
      <c r="J1090" s="187" t="s">
        <v>6</v>
      </c>
      <c r="K1090" s="187"/>
      <c r="L1090" s="187"/>
      <c r="M1090" s="187"/>
      <c r="N1090" s="111">
        <f>N1089</f>
        <v>0.67459999999999531</v>
      </c>
    </row>
    <row r="1091" spans="1:14" ht="18" customHeight="1">
      <c r="A1091" s="24"/>
      <c r="B1091" s="78"/>
      <c r="C1091" s="18"/>
      <c r="D1091" s="18"/>
      <c r="E1091" s="21"/>
      <c r="F1091" s="21"/>
      <c r="G1091" s="21"/>
      <c r="H1091" s="21"/>
      <c r="I1091" s="21"/>
      <c r="J1091" s="21"/>
      <c r="K1091" s="21"/>
      <c r="L1091" s="21"/>
      <c r="M1091" s="21"/>
      <c r="N1091" s="21"/>
    </row>
    <row r="1092" spans="1:14" ht="14.1" customHeight="1">
      <c r="A1092" s="2"/>
      <c r="B1092" s="2"/>
      <c r="C1092" s="30"/>
      <c r="D1092" s="30"/>
      <c r="E1092" s="21"/>
      <c r="F1092" s="21"/>
      <c r="G1092" s="21"/>
      <c r="H1092" s="21"/>
      <c r="I1092" s="21"/>
      <c r="J1092" s="30"/>
      <c r="K1092" s="30"/>
      <c r="L1092" s="30"/>
      <c r="M1092" s="30"/>
      <c r="N1092" s="30"/>
    </row>
    <row r="1093" spans="1:14" ht="14.1" customHeight="1">
      <c r="A1093" s="6"/>
      <c r="B1093" s="6"/>
      <c r="C1093" s="7"/>
      <c r="D1093" s="7"/>
      <c r="E1093" s="7"/>
      <c r="F1093" s="7"/>
      <c r="G1093" s="7"/>
      <c r="H1093" s="7"/>
      <c r="I1093" s="7"/>
      <c r="K1093" s="7"/>
      <c r="L1093" s="7"/>
      <c r="M1093" s="7"/>
      <c r="N1093" s="7"/>
    </row>
    <row r="1094" spans="1:14" ht="14.1" customHeight="1">
      <c r="A1094" s="6"/>
      <c r="B1094" s="6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</row>
    <row r="1095" spans="1:14" ht="14.1" customHeight="1">
      <c r="A1095" s="6"/>
      <c r="B1095" s="6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</row>
    <row r="1096" spans="1:14" ht="14.1" customHeight="1">
      <c r="A1096" s="6"/>
      <c r="B1096" s="6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</row>
    <row r="1097" spans="1:14" ht="14.1" customHeight="1">
      <c r="A1097" s="6"/>
      <c r="B1097" s="6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</row>
    <row r="1098" spans="1:14" ht="14.1" customHeight="1">
      <c r="A1098" s="6"/>
      <c r="B1098" s="6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</row>
    <row r="1099" spans="1:14" ht="14.1" customHeight="1">
      <c r="A1099" s="6"/>
      <c r="B1099" s="6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</row>
    <row r="1100" spans="1:14" ht="14.1" customHeight="1">
      <c r="A1100" s="6"/>
      <c r="B1100" s="6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</row>
    <row r="1101" spans="1:14" ht="14.1" customHeight="1">
      <c r="A1101" s="6"/>
      <c r="B1101" s="6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</row>
    <row r="1102" spans="1:14" ht="14.1" customHeight="1">
      <c r="A1102" s="6"/>
      <c r="B1102" s="6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</row>
    <row r="1103" spans="1:14" ht="14.1" customHeight="1">
      <c r="A1103" s="6"/>
      <c r="B1103" s="6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</row>
    <row r="1104" spans="1:14" ht="14.1" customHeight="1">
      <c r="A1104" s="6"/>
      <c r="B1104" s="6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</row>
    <row r="1105" spans="1:14" ht="14.1" customHeight="1">
      <c r="A1105" s="6"/>
      <c r="B1105" s="6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</row>
    <row r="1106" spans="1:14" ht="14.1" customHeight="1">
      <c r="A1106" s="6"/>
      <c r="B1106" s="6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</row>
    <row r="1107" spans="1:14" ht="14.1" customHeight="1">
      <c r="A1107" s="6"/>
      <c r="B1107" s="6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</row>
    <row r="1108" spans="1:14" ht="14.1" customHeight="1">
      <c r="A1108" s="6"/>
      <c r="B1108" s="6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</row>
    <row r="1109" spans="1:14" ht="14.1" customHeight="1">
      <c r="A1109" s="6"/>
      <c r="B1109" s="6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</row>
    <row r="1110" spans="1:14" ht="14.1" customHeight="1">
      <c r="A1110" s="6"/>
      <c r="B1110" s="6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</row>
    <row r="1111" spans="1:14" ht="14.1" customHeight="1">
      <c r="A1111" s="6"/>
      <c r="B1111" s="6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</row>
    <row r="1112" spans="1:14" ht="14.1" customHeight="1">
      <c r="A1112" s="6"/>
      <c r="B1112" s="6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</row>
    <row r="1113" spans="1:14" ht="14.1" customHeight="1">
      <c r="A1113" s="6"/>
      <c r="B1113" s="6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</row>
    <row r="1114" spans="1:14" ht="14.1" customHeight="1">
      <c r="A1114" s="6"/>
      <c r="B1114" s="6"/>
      <c r="C1114" s="7"/>
      <c r="D1114" s="7"/>
      <c r="E1114" s="7"/>
      <c r="F1114" s="7"/>
      <c r="G1114" s="7"/>
      <c r="H1114" s="7"/>
      <c r="I1114" s="7"/>
      <c r="J1114" s="30"/>
      <c r="K1114" s="7"/>
      <c r="L1114" s="7"/>
      <c r="M1114" s="7"/>
      <c r="N1114" s="7"/>
    </row>
    <row r="1115" spans="1:14" ht="14.1" customHeight="1">
      <c r="A1115" s="6"/>
      <c r="B1115" s="6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</row>
    <row r="1116" spans="1:14" ht="14.1" customHeight="1">
      <c r="A1116" s="6"/>
      <c r="B1116" s="6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</row>
    <row r="1117" spans="1:14" ht="14.1" customHeight="1">
      <c r="A1117" s="6"/>
      <c r="B1117" s="6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</row>
    <row r="1118" spans="1:14" ht="14.1" customHeight="1">
      <c r="A1118" s="24"/>
      <c r="B1118" s="21"/>
      <c r="C1118" s="21"/>
      <c r="D1118" s="21"/>
      <c r="E1118" s="21"/>
      <c r="F1118" s="21"/>
      <c r="G1118" s="21"/>
      <c r="H1118" s="21"/>
      <c r="I1118" s="21"/>
      <c r="J1118" s="21"/>
      <c r="K1118" s="21"/>
      <c r="L1118" s="21"/>
      <c r="M1118" s="21"/>
      <c r="N1118" s="21"/>
    </row>
    <row r="1119" spans="1:14" ht="14.1" customHeight="1"/>
    <row r="1120" spans="1:14" ht="14.1" customHeight="1"/>
    <row r="1121" spans="1:14" ht="14.1" customHeight="1">
      <c r="B1121" s="181"/>
      <c r="C1121" s="181"/>
      <c r="D1121" s="181"/>
      <c r="E1121" s="25"/>
      <c r="F1121" s="25"/>
      <c r="G1121" s="167"/>
      <c r="H1121" s="167"/>
      <c r="I1121" s="167"/>
      <c r="J1121" s="7"/>
      <c r="K1121" s="182"/>
      <c r="L1121" s="182"/>
    </row>
    <row r="1122" spans="1:14" ht="14.1" customHeight="1">
      <c r="B1122" s="170"/>
      <c r="C1122" s="170"/>
      <c r="D1122" s="170"/>
      <c r="E1122" s="26"/>
      <c r="F1122" s="26"/>
      <c r="G1122" s="170"/>
      <c r="H1122" s="170"/>
      <c r="I1122" s="170"/>
      <c r="J1122" s="25"/>
      <c r="K1122" s="171"/>
      <c r="L1122" s="171"/>
    </row>
    <row r="1123" spans="1:14" ht="14.1" customHeight="1"/>
    <row r="1124" spans="1:14" ht="14.1" customHeight="1"/>
    <row r="1125" spans="1:14" ht="14.1" customHeight="1"/>
    <row r="1126" spans="1:14" ht="18" customHeight="1">
      <c r="A1126" s="184" t="s">
        <v>0</v>
      </c>
      <c r="B1126" s="185"/>
      <c r="C1126" s="185"/>
      <c r="D1126" s="185"/>
      <c r="E1126" s="185"/>
      <c r="F1126" s="185"/>
      <c r="G1126" s="20">
        <v>1620</v>
      </c>
      <c r="H1126" s="1" t="s">
        <v>15</v>
      </c>
      <c r="I1126" s="1"/>
      <c r="J1126" s="32"/>
      <c r="K1126" s="1"/>
      <c r="L1126" s="1"/>
      <c r="M1126" s="1"/>
      <c r="N1126" s="1"/>
    </row>
    <row r="1127" spans="1:14" ht="18" customHeight="1">
      <c r="A1127" s="42" t="s">
        <v>1</v>
      </c>
      <c r="B1127" s="43"/>
      <c r="C1127" s="83">
        <v>0</v>
      </c>
      <c r="D1127" s="84">
        <v>0.5</v>
      </c>
      <c r="E1127" s="84">
        <v>0.6</v>
      </c>
      <c r="F1127" s="85">
        <v>1.2</v>
      </c>
      <c r="G1127" s="85">
        <v>2.4</v>
      </c>
      <c r="H1127" s="84">
        <v>3</v>
      </c>
      <c r="I1127" s="52">
        <v>3.2</v>
      </c>
      <c r="J1127" s="52">
        <v>3.5</v>
      </c>
      <c r="K1127" s="84">
        <v>3.8</v>
      </c>
      <c r="L1127" s="86"/>
      <c r="M1127" s="84"/>
      <c r="N1127" s="52"/>
    </row>
    <row r="1128" spans="1:14" ht="18" customHeight="1">
      <c r="A1128" s="42" t="s">
        <v>2</v>
      </c>
      <c r="B1128" s="43"/>
      <c r="C1128" s="83">
        <v>98.66</v>
      </c>
      <c r="D1128" s="84">
        <v>97.751999999999995</v>
      </c>
      <c r="E1128" s="84">
        <v>97.57</v>
      </c>
      <c r="F1128" s="84">
        <v>97.57</v>
      </c>
      <c r="G1128" s="84">
        <v>97.57</v>
      </c>
      <c r="H1128" s="84">
        <v>97.57</v>
      </c>
      <c r="I1128" s="84">
        <v>97.81</v>
      </c>
      <c r="J1128" s="84">
        <v>98.17</v>
      </c>
      <c r="K1128" s="84">
        <v>98.62</v>
      </c>
      <c r="L1128" s="86"/>
      <c r="M1128" s="84"/>
      <c r="N1128" s="52"/>
    </row>
    <row r="1129" spans="1:14" ht="18" customHeight="1">
      <c r="A1129" s="42" t="s">
        <v>1</v>
      </c>
      <c r="B1129" s="43"/>
      <c r="C1129" s="83">
        <v>0</v>
      </c>
      <c r="D1129" s="84">
        <v>0.5</v>
      </c>
      <c r="E1129" s="84">
        <v>0.6</v>
      </c>
      <c r="F1129" s="85">
        <v>1.2</v>
      </c>
      <c r="G1129" s="85">
        <v>2.4</v>
      </c>
      <c r="H1129" s="84">
        <v>3</v>
      </c>
      <c r="I1129" s="52">
        <v>3.2</v>
      </c>
      <c r="J1129" s="52">
        <v>3.5</v>
      </c>
      <c r="K1129" s="84">
        <v>3.8</v>
      </c>
      <c r="L1129" s="86"/>
      <c r="M1129" s="84"/>
      <c r="N1129" s="52"/>
    </row>
    <row r="1130" spans="1:14" ht="18" customHeight="1">
      <c r="A1130" s="42" t="s">
        <v>3</v>
      </c>
      <c r="B1130" s="9"/>
      <c r="C1130" s="83">
        <v>98.66</v>
      </c>
      <c r="D1130" s="84">
        <v>97.844999999999999</v>
      </c>
      <c r="E1130" s="84">
        <v>97.83</v>
      </c>
      <c r="F1130" s="84">
        <v>97.83</v>
      </c>
      <c r="G1130" s="84">
        <v>97.83</v>
      </c>
      <c r="H1130" s="84">
        <v>97.83</v>
      </c>
      <c r="I1130" s="84">
        <v>97.83</v>
      </c>
      <c r="J1130" s="84">
        <v>98.28</v>
      </c>
      <c r="K1130" s="84">
        <v>98.62</v>
      </c>
      <c r="L1130" s="86"/>
      <c r="M1130" s="84"/>
      <c r="N1130" s="52"/>
    </row>
    <row r="1131" spans="1:14" ht="18" customHeight="1">
      <c r="A1131" s="42" t="s">
        <v>18</v>
      </c>
      <c r="B1131" s="9"/>
      <c r="C1131" s="52">
        <f t="shared" ref="C1131" si="333">C1128-C1130</f>
        <v>0</v>
      </c>
      <c r="D1131" s="52">
        <f>D1130-D1128</f>
        <v>9.3000000000003524E-2</v>
      </c>
      <c r="E1131" s="52">
        <f t="shared" ref="E1131" si="334">E1130-E1128</f>
        <v>0.26000000000000512</v>
      </c>
      <c r="F1131" s="52">
        <f t="shared" ref="F1131" si="335">F1130-F1128</f>
        <v>0.26000000000000512</v>
      </c>
      <c r="G1131" s="52">
        <f t="shared" ref="G1131" si="336">G1130-G1128</f>
        <v>0.26000000000000512</v>
      </c>
      <c r="H1131" s="52">
        <f t="shared" ref="H1131" si="337">H1130-H1128</f>
        <v>0.26000000000000512</v>
      </c>
      <c r="I1131" s="52">
        <f t="shared" ref="I1131" si="338">I1130-I1128</f>
        <v>1.9999999999996021E-2</v>
      </c>
      <c r="J1131" s="52">
        <f t="shared" ref="J1131" si="339">J1130-J1128</f>
        <v>0.10999999999999943</v>
      </c>
      <c r="K1131" s="52">
        <f t="shared" ref="K1131" si="340">K1130-K1128</f>
        <v>0</v>
      </c>
      <c r="L1131" s="52"/>
      <c r="M1131" s="52"/>
      <c r="N1131" s="52"/>
    </row>
    <row r="1132" spans="1:14" ht="18" customHeight="1">
      <c r="A1132" s="42" t="s">
        <v>5</v>
      </c>
      <c r="B1132" s="9"/>
      <c r="C1132" s="52">
        <f t="shared" ref="C1132" si="341">(C1131+B1131)/2*(C1127-B1127)</f>
        <v>0</v>
      </c>
      <c r="D1132" s="52">
        <f>(D1131+C1131)/2*(D1127-C1127)</f>
        <v>2.3250000000000881E-2</v>
      </c>
      <c r="E1132" s="52">
        <f t="shared" ref="E1132" si="342">(E1131+D1131)/2*(E1127-D1127)</f>
        <v>1.7650000000000429E-2</v>
      </c>
      <c r="F1132" s="52">
        <f t="shared" ref="F1132" si="343">(F1131+E1131)/2*(F1127-E1127)</f>
        <v>0.15600000000000305</v>
      </c>
      <c r="G1132" s="52">
        <f t="shared" ref="G1132" si="344">(G1131+F1131)/2*(G1127-F1127)</f>
        <v>0.31200000000000611</v>
      </c>
      <c r="H1132" s="52">
        <f t="shared" ref="H1132" si="345">(H1131+G1131)/2*(H1127-G1127)</f>
        <v>0.15600000000000308</v>
      </c>
      <c r="I1132" s="52">
        <f t="shared" ref="I1132" si="346">(I1131+H1131)/2*(I1127-H1127)</f>
        <v>2.8000000000000139E-2</v>
      </c>
      <c r="J1132" s="52">
        <f t="shared" ref="J1132" si="347">(J1131+I1131)/2*(J1127-I1127)</f>
        <v>1.9499999999999306E-2</v>
      </c>
      <c r="K1132" s="52">
        <f t="shared" ref="K1132" si="348">(K1131+J1131)/2*(K1127-J1127)</f>
        <v>1.6499999999999904E-2</v>
      </c>
      <c r="L1132" s="52"/>
      <c r="M1132" s="52"/>
      <c r="N1132" s="88">
        <f>SUM(B1132:M1132)</f>
        <v>0.72890000000001298</v>
      </c>
    </row>
    <row r="1133" spans="1:14" ht="18" customHeight="1">
      <c r="A1133" s="2"/>
      <c r="B1133" s="2"/>
      <c r="C1133" s="90"/>
      <c r="D1133" s="90"/>
      <c r="E1133" s="91"/>
      <c r="F1133" s="91"/>
      <c r="G1133" s="91"/>
      <c r="H1133" s="91"/>
      <c r="I1133" s="91"/>
      <c r="J1133" s="187" t="s">
        <v>6</v>
      </c>
      <c r="K1133" s="187"/>
      <c r="L1133" s="187"/>
      <c r="M1133" s="187"/>
      <c r="N1133" s="111">
        <f>N1132</f>
        <v>0.72890000000001298</v>
      </c>
    </row>
    <row r="1134" spans="1:14" ht="18" customHeight="1">
      <c r="A1134" s="24"/>
      <c r="B1134" s="78"/>
      <c r="C1134" s="18"/>
      <c r="D1134" s="18"/>
      <c r="E1134" s="21"/>
      <c r="F1134" s="21"/>
      <c r="G1134" s="21"/>
      <c r="H1134" s="21"/>
      <c r="I1134" s="21"/>
      <c r="J1134" s="21"/>
      <c r="K1134" s="21"/>
      <c r="L1134" s="21"/>
      <c r="M1134" s="21"/>
      <c r="N1134" s="21"/>
    </row>
    <row r="1135" spans="1:14" ht="14.1" customHeight="1">
      <c r="A1135" s="2"/>
      <c r="B1135" s="2"/>
      <c r="C1135" s="30"/>
      <c r="D1135" s="30"/>
      <c r="E1135" s="21"/>
      <c r="F1135" s="21"/>
      <c r="G1135" s="21"/>
      <c r="H1135" s="21"/>
      <c r="I1135" s="21"/>
      <c r="J1135" s="30"/>
      <c r="K1135" s="30"/>
      <c r="L1135" s="30"/>
      <c r="M1135" s="30"/>
      <c r="N1135" s="30"/>
    </row>
    <row r="1136" spans="1:14" ht="14.1" customHeight="1">
      <c r="A1136" s="6"/>
      <c r="B1136" s="6"/>
      <c r="C1136" s="7"/>
      <c r="D1136" s="7"/>
      <c r="E1136" s="7"/>
      <c r="F1136" s="7"/>
      <c r="G1136" s="7"/>
      <c r="H1136" s="7"/>
      <c r="I1136" s="7"/>
      <c r="K1136" s="7"/>
      <c r="L1136" s="7"/>
      <c r="M1136" s="7"/>
      <c r="N1136" s="7"/>
    </row>
    <row r="1137" spans="1:14" ht="14.1" customHeight="1">
      <c r="A1137" s="6"/>
      <c r="B1137" s="6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</row>
    <row r="1138" spans="1:14" ht="14.1" customHeight="1">
      <c r="A1138" s="6"/>
      <c r="B1138" s="6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</row>
    <row r="1139" spans="1:14" ht="14.1" customHeight="1">
      <c r="A1139" s="6"/>
      <c r="B1139" s="6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</row>
    <row r="1140" spans="1:14" ht="14.1" customHeight="1">
      <c r="A1140" s="6"/>
      <c r="B1140" s="6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</row>
    <row r="1141" spans="1:14" ht="14.1" customHeight="1">
      <c r="A1141" s="6"/>
      <c r="B1141" s="6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</row>
    <row r="1142" spans="1:14" ht="14.1" customHeight="1">
      <c r="A1142" s="6"/>
      <c r="B1142" s="6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</row>
    <row r="1143" spans="1:14" ht="14.1" customHeight="1">
      <c r="A1143" s="6"/>
      <c r="B1143" s="6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</row>
    <row r="1144" spans="1:14" ht="14.1" customHeight="1">
      <c r="A1144" s="6"/>
      <c r="B1144" s="6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</row>
    <row r="1145" spans="1:14" ht="14.1" customHeight="1">
      <c r="A1145" s="6"/>
      <c r="B1145" s="6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</row>
    <row r="1146" spans="1:14" ht="14.1" customHeight="1">
      <c r="A1146" s="6"/>
      <c r="B1146" s="6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</row>
    <row r="1147" spans="1:14" ht="14.1" customHeight="1">
      <c r="A1147" s="6"/>
      <c r="B1147" s="6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</row>
    <row r="1148" spans="1:14" ht="14.1" customHeight="1">
      <c r="A1148" s="6"/>
      <c r="B1148" s="6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</row>
    <row r="1149" spans="1:14" ht="14.1" customHeight="1">
      <c r="A1149" s="6"/>
      <c r="B1149" s="6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</row>
    <row r="1150" spans="1:14" ht="14.1" customHeight="1">
      <c r="A1150" s="6"/>
      <c r="B1150" s="6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</row>
    <row r="1151" spans="1:14" ht="14.1" customHeight="1">
      <c r="A1151" s="6"/>
      <c r="B1151" s="6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</row>
    <row r="1152" spans="1:14" ht="14.1" customHeight="1">
      <c r="A1152" s="6"/>
      <c r="B1152" s="6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</row>
    <row r="1153" spans="1:14" ht="14.1" customHeight="1">
      <c r="A1153" s="6"/>
      <c r="B1153" s="6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</row>
    <row r="1154" spans="1:14" ht="14.1" customHeight="1">
      <c r="A1154" s="6"/>
      <c r="B1154" s="6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</row>
    <row r="1155" spans="1:14" ht="14.1" customHeight="1">
      <c r="A1155" s="6"/>
      <c r="B1155" s="6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</row>
    <row r="1156" spans="1:14" ht="14.1" customHeight="1">
      <c r="A1156" s="6"/>
      <c r="B1156" s="6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</row>
    <row r="1157" spans="1:14" ht="14.1" customHeight="1">
      <c r="A1157" s="6"/>
      <c r="B1157" s="6"/>
      <c r="C1157" s="7"/>
      <c r="D1157" s="7"/>
      <c r="E1157" s="7"/>
      <c r="F1157" s="7"/>
      <c r="G1157" s="7"/>
      <c r="H1157" s="7"/>
      <c r="I1157" s="7"/>
      <c r="J1157" s="35"/>
      <c r="K1157" s="7"/>
      <c r="L1157" s="7"/>
      <c r="M1157" s="7"/>
      <c r="N1157" s="7"/>
    </row>
    <row r="1158" spans="1:14" ht="14.1" customHeight="1">
      <c r="A1158" s="6"/>
      <c r="B1158" s="6"/>
      <c r="C1158" s="7"/>
      <c r="D1158" s="7"/>
      <c r="E1158" s="7"/>
      <c r="F1158" s="7"/>
      <c r="G1158" s="7"/>
      <c r="H1158" s="7"/>
      <c r="I1158" s="7"/>
      <c r="J1158" s="30"/>
      <c r="K1158" s="7"/>
      <c r="L1158" s="7"/>
      <c r="M1158" s="7"/>
      <c r="N1158" s="7"/>
    </row>
    <row r="1159" spans="1:14" ht="14.1" customHeight="1">
      <c r="A1159" s="6"/>
      <c r="B1159" s="6"/>
      <c r="C1159" s="7"/>
      <c r="D1159" s="7"/>
      <c r="E1159" s="7"/>
      <c r="F1159" s="7"/>
      <c r="G1159" s="7"/>
      <c r="H1159" s="7"/>
      <c r="I1159" s="7"/>
      <c r="J1159" s="30"/>
      <c r="K1159" s="7"/>
      <c r="L1159" s="7"/>
      <c r="M1159" s="7"/>
      <c r="N1159" s="7"/>
    </row>
    <row r="1160" spans="1:14" ht="14.1" customHeight="1">
      <c r="A1160" s="6"/>
      <c r="B1160" s="6"/>
      <c r="C1160" s="7"/>
      <c r="D1160" s="7"/>
      <c r="E1160" s="7"/>
      <c r="F1160" s="7"/>
      <c r="G1160" s="7"/>
      <c r="H1160" s="7"/>
      <c r="I1160" s="7"/>
      <c r="J1160" s="30"/>
      <c r="K1160" s="7"/>
      <c r="L1160" s="7"/>
      <c r="M1160" s="7"/>
      <c r="N1160" s="7"/>
    </row>
    <row r="1161" spans="1:14" ht="14.1" customHeight="1">
      <c r="A1161" s="6"/>
      <c r="B1161" s="6"/>
      <c r="C1161" s="7"/>
      <c r="D1161" s="7"/>
      <c r="E1161" s="7"/>
      <c r="F1161" s="7"/>
      <c r="G1161" s="7"/>
      <c r="H1161" s="7"/>
      <c r="I1161" s="7"/>
      <c r="J1161" s="30"/>
      <c r="K1161" s="7"/>
      <c r="L1161" s="7"/>
      <c r="M1161" s="7"/>
      <c r="N1161" s="7"/>
    </row>
    <row r="1162" spans="1:14" ht="14.1" customHeight="1">
      <c r="A1162" s="6"/>
      <c r="B1162" s="6"/>
      <c r="C1162" s="7"/>
      <c r="D1162" s="7"/>
      <c r="E1162" s="7"/>
      <c r="F1162" s="7"/>
      <c r="G1162" s="7"/>
      <c r="H1162" s="7"/>
      <c r="I1162" s="7"/>
      <c r="J1162" s="30"/>
      <c r="K1162" s="7"/>
      <c r="L1162" s="7"/>
      <c r="M1162" s="7"/>
      <c r="N1162" s="7"/>
    </row>
    <row r="1163" spans="1:14" ht="14.1" customHeight="1">
      <c r="A1163" s="6"/>
      <c r="B1163" s="6"/>
      <c r="C1163" s="7"/>
      <c r="D1163" s="7"/>
      <c r="E1163" s="7"/>
      <c r="F1163" s="7"/>
      <c r="G1163" s="7"/>
      <c r="H1163" s="7"/>
      <c r="I1163" s="7"/>
      <c r="J1163" s="30"/>
      <c r="K1163" s="7"/>
      <c r="L1163" s="7"/>
      <c r="M1163" s="7"/>
      <c r="N1163" s="7"/>
    </row>
    <row r="1164" spans="1:14" ht="14.1" customHeight="1">
      <c r="A1164" s="6"/>
      <c r="B1164" s="6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</row>
    <row r="1165" spans="1:14" ht="14.1" customHeight="1"/>
    <row r="1166" spans="1:14" ht="14.1" customHeight="1"/>
    <row r="1167" spans="1:14" ht="18" customHeight="1">
      <c r="A1167" s="184" t="s">
        <v>0</v>
      </c>
      <c r="B1167" s="185"/>
      <c r="C1167" s="185"/>
      <c r="D1167" s="185"/>
      <c r="E1167" s="185"/>
      <c r="F1167" s="185"/>
      <c r="G1167" s="20">
        <v>1680</v>
      </c>
      <c r="H1167" s="1" t="s">
        <v>15</v>
      </c>
      <c r="I1167" s="1"/>
      <c r="J1167" s="33"/>
      <c r="K1167" s="1"/>
      <c r="L1167" s="1"/>
      <c r="M1167" s="1"/>
      <c r="N1167" s="1"/>
    </row>
    <row r="1168" spans="1:14" ht="18" customHeight="1">
      <c r="A1168" s="42" t="s">
        <v>1</v>
      </c>
      <c r="B1168" s="43"/>
      <c r="C1168" s="83">
        <v>0</v>
      </c>
      <c r="D1168" s="84">
        <v>0.6</v>
      </c>
      <c r="E1168" s="84">
        <v>0.7</v>
      </c>
      <c r="F1168" s="85">
        <v>1.7</v>
      </c>
      <c r="G1168" s="85">
        <v>2.7</v>
      </c>
      <c r="H1168" s="84">
        <v>2.8</v>
      </c>
      <c r="I1168" s="52">
        <v>3.5</v>
      </c>
      <c r="J1168" s="52"/>
      <c r="K1168" s="84"/>
      <c r="L1168" s="86"/>
      <c r="M1168" s="84"/>
      <c r="N1168" s="47"/>
    </row>
    <row r="1169" spans="1:14" ht="18" customHeight="1">
      <c r="A1169" s="42" t="s">
        <v>2</v>
      </c>
      <c r="B1169" s="43"/>
      <c r="C1169" s="83">
        <v>98.56</v>
      </c>
      <c r="D1169" s="84">
        <v>97.56</v>
      </c>
      <c r="E1169" s="84">
        <v>97.56</v>
      </c>
      <c r="F1169" s="84">
        <v>97.56</v>
      </c>
      <c r="G1169" s="84">
        <v>97.56</v>
      </c>
      <c r="H1169" s="84">
        <v>97.56</v>
      </c>
      <c r="I1169" s="84">
        <v>98.71</v>
      </c>
      <c r="J1169" s="84"/>
      <c r="K1169" s="84"/>
      <c r="L1169" s="86"/>
      <c r="M1169" s="84"/>
      <c r="N1169" s="47"/>
    </row>
    <row r="1170" spans="1:14" ht="18" customHeight="1">
      <c r="A1170" s="42" t="s">
        <v>1</v>
      </c>
      <c r="B1170" s="43"/>
      <c r="C1170" s="83">
        <v>0</v>
      </c>
      <c r="D1170" s="84">
        <v>0.6</v>
      </c>
      <c r="E1170" s="84">
        <v>0.7</v>
      </c>
      <c r="F1170" s="85">
        <v>1.7</v>
      </c>
      <c r="G1170" s="85">
        <v>2.7</v>
      </c>
      <c r="H1170" s="84">
        <v>2.8</v>
      </c>
      <c r="I1170" s="52">
        <v>3.5</v>
      </c>
      <c r="J1170" s="52"/>
      <c r="K1170" s="84"/>
      <c r="L1170" s="86"/>
      <c r="M1170" s="84"/>
      <c r="N1170" s="47"/>
    </row>
    <row r="1171" spans="1:14" ht="18" customHeight="1">
      <c r="A1171" s="42" t="s">
        <v>3</v>
      </c>
      <c r="B1171" s="9"/>
      <c r="C1171" s="83">
        <v>98.56</v>
      </c>
      <c r="D1171" s="84">
        <v>97.82</v>
      </c>
      <c r="E1171" s="84">
        <v>97.805000000000007</v>
      </c>
      <c r="F1171" s="84">
        <v>97.805000000000007</v>
      </c>
      <c r="G1171" s="84">
        <v>97.805000000000007</v>
      </c>
      <c r="H1171" s="84">
        <v>98.070999999999998</v>
      </c>
      <c r="I1171" s="84">
        <v>98.71</v>
      </c>
      <c r="J1171" s="84"/>
      <c r="K1171" s="84"/>
      <c r="L1171" s="86"/>
      <c r="M1171" s="84"/>
      <c r="N1171" s="52"/>
    </row>
    <row r="1172" spans="1:14" ht="18" customHeight="1">
      <c r="A1172" s="42" t="s">
        <v>18</v>
      </c>
      <c r="B1172" s="9"/>
      <c r="C1172" s="52">
        <f t="shared" ref="C1172" si="349">C1169-C1171</f>
        <v>0</v>
      </c>
      <c r="D1172" s="52">
        <f>D1171-D1169</f>
        <v>0.25999999999999091</v>
      </c>
      <c r="E1172" s="52">
        <f t="shared" ref="E1172" si="350">E1171-E1169</f>
        <v>0.24500000000000455</v>
      </c>
      <c r="F1172" s="52">
        <f t="shared" ref="F1172" si="351">F1171-F1169</f>
        <v>0.24500000000000455</v>
      </c>
      <c r="G1172" s="52">
        <f t="shared" ref="G1172" si="352">G1171-G1169</f>
        <v>0.24500000000000455</v>
      </c>
      <c r="H1172" s="52">
        <f t="shared" ref="H1172" si="353">H1171-H1169</f>
        <v>0.51099999999999568</v>
      </c>
      <c r="I1172" s="52">
        <f t="shared" ref="I1172" si="354">I1171-I1169</f>
        <v>0</v>
      </c>
      <c r="J1172" s="52"/>
      <c r="K1172" s="52"/>
      <c r="L1172" s="52"/>
      <c r="M1172" s="52"/>
      <c r="N1172" s="47"/>
    </row>
    <row r="1173" spans="1:14" ht="18" customHeight="1">
      <c r="A1173" s="42" t="s">
        <v>5</v>
      </c>
      <c r="B1173" s="9"/>
      <c r="C1173" s="52">
        <f t="shared" ref="C1173" si="355">(C1172+B1172)/2*(C1168-B1168)</f>
        <v>0</v>
      </c>
      <c r="D1173" s="52">
        <f>(D1172+C1172)/2*(D1168-C1168)</f>
        <v>7.7999999999997266E-2</v>
      </c>
      <c r="E1173" s="52">
        <f t="shared" ref="E1173" si="356">(E1172+D1172)/2*(E1168-D1168)</f>
        <v>2.5249999999999766E-2</v>
      </c>
      <c r="F1173" s="52">
        <f t="shared" ref="F1173" si="357">(F1172+E1172)/2*(F1168-E1168)</f>
        <v>0.24500000000000455</v>
      </c>
      <c r="G1173" s="52">
        <f t="shared" ref="G1173" si="358">(G1172+F1172)/2*(G1168-F1168)</f>
        <v>0.2450000000000046</v>
      </c>
      <c r="H1173" s="52">
        <f t="shared" ref="H1173" si="359">(H1172+G1172)/2*(H1168-G1168)</f>
        <v>3.7799999999999875E-2</v>
      </c>
      <c r="I1173" s="52">
        <f t="shared" ref="I1173" si="360">(I1172+H1172)/2*(I1168-H1168)</f>
        <v>0.17884999999999854</v>
      </c>
      <c r="J1173" s="52"/>
      <c r="K1173" s="52"/>
      <c r="L1173" s="52"/>
      <c r="M1173" s="52"/>
      <c r="N1173" s="77">
        <f>SUM(B1173:M1173)</f>
        <v>0.80990000000000462</v>
      </c>
    </row>
    <row r="1174" spans="1:14" ht="18" customHeight="1">
      <c r="A1174" s="2"/>
      <c r="B1174" s="2"/>
      <c r="C1174" s="90"/>
      <c r="D1174" s="90"/>
      <c r="E1174" s="91"/>
      <c r="F1174" s="91"/>
      <c r="G1174" s="91"/>
      <c r="H1174" s="91"/>
      <c r="I1174" s="91"/>
      <c r="J1174" s="187" t="s">
        <v>6</v>
      </c>
      <c r="K1174" s="187"/>
      <c r="L1174" s="187"/>
      <c r="M1174" s="187"/>
      <c r="N1174" s="5">
        <f>N1173</f>
        <v>0.80990000000000462</v>
      </c>
    </row>
    <row r="1175" spans="1:14" ht="18" customHeight="1">
      <c r="A1175" s="24"/>
      <c r="B1175" s="78"/>
      <c r="C1175" s="18"/>
      <c r="D1175" s="18"/>
      <c r="E1175" s="21"/>
      <c r="F1175" s="21"/>
      <c r="G1175" s="21"/>
      <c r="H1175" s="21"/>
      <c r="I1175" s="21"/>
      <c r="J1175" s="21"/>
      <c r="K1175" s="21"/>
      <c r="L1175" s="21"/>
      <c r="M1175" s="21"/>
      <c r="N1175" s="21"/>
    </row>
    <row r="1176" spans="1:14" ht="14.1" customHeight="1">
      <c r="A1176" s="2"/>
      <c r="B1176" s="2"/>
      <c r="C1176" s="30"/>
      <c r="D1176" s="30"/>
      <c r="E1176" s="21"/>
      <c r="F1176" s="21"/>
      <c r="G1176" s="21"/>
      <c r="H1176" s="21"/>
      <c r="I1176" s="21"/>
      <c r="J1176" s="30"/>
      <c r="K1176" s="30"/>
      <c r="L1176" s="30"/>
      <c r="M1176" s="30"/>
      <c r="N1176" s="30"/>
    </row>
    <row r="1177" spans="1:14" ht="14.1" customHeight="1">
      <c r="A1177" s="6"/>
      <c r="B1177" s="6"/>
      <c r="C1177" s="7"/>
      <c r="D1177" s="7"/>
      <c r="E1177" s="7"/>
      <c r="F1177" s="7"/>
      <c r="G1177" s="7"/>
      <c r="H1177" s="7"/>
      <c r="I1177" s="7"/>
      <c r="K1177" s="7"/>
      <c r="L1177" s="7"/>
      <c r="M1177" s="7"/>
      <c r="N1177" s="7"/>
    </row>
    <row r="1178" spans="1:14" ht="14.1" customHeight="1">
      <c r="A1178" s="6"/>
      <c r="B1178" s="6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</row>
    <row r="1179" spans="1:14" ht="14.1" customHeight="1">
      <c r="A1179" s="6"/>
      <c r="B1179" s="6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</row>
    <row r="1180" spans="1:14" ht="14.1" customHeight="1">
      <c r="A1180" s="6"/>
      <c r="B1180" s="6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</row>
    <row r="1181" spans="1:14" ht="14.1" customHeight="1">
      <c r="A1181" s="6"/>
      <c r="B1181" s="6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</row>
    <row r="1182" spans="1:14" ht="14.1" customHeight="1">
      <c r="A1182" s="6"/>
      <c r="B1182" s="6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</row>
    <row r="1183" spans="1:14" ht="14.1" customHeight="1">
      <c r="A1183" s="6"/>
      <c r="B1183" s="6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</row>
    <row r="1184" spans="1:14" ht="14.1" customHeight="1">
      <c r="A1184" s="6"/>
      <c r="B1184" s="6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</row>
    <row r="1185" spans="1:14" ht="14.1" customHeight="1">
      <c r="A1185" s="6"/>
      <c r="B1185" s="6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</row>
    <row r="1186" spans="1:14" ht="14.1" customHeight="1">
      <c r="A1186" s="6"/>
      <c r="B1186" s="6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</row>
    <row r="1187" spans="1:14" ht="14.1" customHeight="1">
      <c r="A1187" s="6"/>
      <c r="B1187" s="6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</row>
    <row r="1188" spans="1:14" ht="14.1" customHeight="1">
      <c r="A1188" s="6"/>
      <c r="B1188" s="6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</row>
    <row r="1189" spans="1:14" ht="14.1" customHeight="1">
      <c r="A1189" s="6"/>
      <c r="B1189" s="6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</row>
    <row r="1190" spans="1:14" ht="14.1" customHeight="1">
      <c r="A1190" s="6"/>
      <c r="B1190" s="6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</row>
    <row r="1191" spans="1:14" ht="14.1" customHeight="1">
      <c r="A1191" s="6"/>
      <c r="B1191" s="6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</row>
    <row r="1192" spans="1:14" ht="14.1" customHeight="1">
      <c r="A1192" s="6"/>
      <c r="B1192" s="6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</row>
    <row r="1193" spans="1:14" ht="14.1" customHeight="1">
      <c r="A1193" s="6"/>
      <c r="B1193" s="6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</row>
    <row r="1194" spans="1:14" ht="14.1" customHeight="1">
      <c r="A1194" s="6"/>
      <c r="B1194" s="6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</row>
    <row r="1195" spans="1:14" ht="14.1" customHeight="1">
      <c r="A1195" s="6"/>
      <c r="B1195" s="6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</row>
    <row r="1196" spans="1:14" ht="14.1" customHeight="1">
      <c r="A1196" s="6"/>
      <c r="B1196" s="6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</row>
    <row r="1197" spans="1:14" ht="14.1" customHeight="1">
      <c r="A1197" s="6"/>
      <c r="B1197" s="6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</row>
    <row r="1198" spans="1:14" ht="14.1" customHeight="1">
      <c r="A1198" s="6"/>
      <c r="B1198" s="6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</row>
    <row r="1199" spans="1:14" ht="14.1" customHeight="1">
      <c r="A1199" s="6"/>
      <c r="B1199" s="6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</row>
    <row r="1200" spans="1:14" ht="14.1" customHeight="1">
      <c r="A1200" s="6"/>
      <c r="B1200" s="6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</row>
    <row r="1201" spans="1:15" ht="14.1" customHeight="1">
      <c r="A1201" s="6"/>
      <c r="B1201" s="6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</row>
    <row r="1202" spans="1:15" ht="14.1" customHeight="1">
      <c r="A1202" s="6"/>
      <c r="B1202" s="6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</row>
    <row r="1203" spans="1:15" ht="14.1" customHeight="1">
      <c r="A1203" s="6"/>
      <c r="B1203" s="6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</row>
    <row r="1204" spans="1:15" ht="14.1" customHeight="1">
      <c r="A1204" s="6"/>
      <c r="B1204" s="6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</row>
    <row r="1205" spans="1:15" ht="14.1" customHeight="1">
      <c r="A1205" s="6"/>
      <c r="B1205" s="6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</row>
    <row r="1206" spans="1:15" ht="14.1" customHeight="1">
      <c r="A1206" s="6"/>
      <c r="B1206" s="6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</row>
    <row r="1207" spans="1:15" ht="14.1" customHeight="1">
      <c r="A1207" s="6"/>
      <c r="B1207" s="6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</row>
    <row r="1208" spans="1:15" ht="14.1" customHeight="1">
      <c r="A1208" s="6"/>
      <c r="B1208" s="6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</row>
    <row r="1209" spans="1:15" ht="14.1" customHeight="1">
      <c r="A1209" s="6"/>
      <c r="B1209" s="6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</row>
    <row r="1210" spans="1:15" ht="14.1" customHeight="1">
      <c r="A1210" s="6"/>
      <c r="B1210" s="181"/>
      <c r="C1210" s="181"/>
      <c r="D1210" s="181"/>
      <c r="E1210" s="25"/>
      <c r="F1210" s="25"/>
      <c r="G1210" s="167"/>
      <c r="H1210" s="167"/>
      <c r="I1210" s="167"/>
      <c r="J1210" s="7"/>
      <c r="K1210" s="182"/>
      <c r="L1210" s="182"/>
      <c r="M1210" s="7"/>
      <c r="N1210" s="7"/>
    </row>
    <row r="1211" spans="1:15" ht="14.1" customHeight="1">
      <c r="A1211" s="6"/>
      <c r="B1211" s="170"/>
      <c r="C1211" s="170"/>
      <c r="D1211" s="170"/>
      <c r="E1211" s="26"/>
      <c r="F1211" s="26"/>
      <c r="G1211" s="170"/>
      <c r="H1211" s="170"/>
      <c r="I1211" s="170"/>
      <c r="J1211" s="25"/>
      <c r="K1211" s="171"/>
      <c r="L1211" s="171"/>
      <c r="M1211" s="7"/>
      <c r="N1211" s="7"/>
    </row>
    <row r="1212" spans="1:15" ht="14.1" customHeight="1">
      <c r="A1212" s="6"/>
      <c r="B1212" s="6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</row>
    <row r="1213" spans="1:15" ht="14.1" customHeight="1">
      <c r="A1213" s="6"/>
      <c r="B1213" s="6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</row>
    <row r="1214" spans="1:15" ht="14.1" customHeight="1">
      <c r="A1214" s="6"/>
      <c r="B1214" s="6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</row>
    <row r="1215" spans="1:15" ht="18.75" customHeight="1">
      <c r="A1215" s="184" t="s">
        <v>0</v>
      </c>
      <c r="B1215" s="185"/>
      <c r="C1215" s="185"/>
      <c r="D1215" s="185"/>
      <c r="E1215" s="185"/>
      <c r="F1215" s="185"/>
      <c r="G1215" s="20">
        <v>1740</v>
      </c>
      <c r="H1215" s="1" t="s">
        <v>15</v>
      </c>
      <c r="I1215" s="1"/>
      <c r="J1215" s="32"/>
      <c r="K1215" s="1"/>
      <c r="L1215" s="1"/>
      <c r="M1215" s="1"/>
      <c r="N1215" s="1"/>
    </row>
    <row r="1216" spans="1:15" ht="18.75" customHeight="1">
      <c r="A1216" s="42" t="s">
        <v>1</v>
      </c>
      <c r="B1216" s="43"/>
      <c r="C1216" s="83">
        <v>0</v>
      </c>
      <c r="D1216" s="84">
        <v>0.6</v>
      </c>
      <c r="E1216" s="84">
        <v>0.7</v>
      </c>
      <c r="F1216" s="85">
        <v>1.7</v>
      </c>
      <c r="G1216" s="85">
        <v>2.8</v>
      </c>
      <c r="H1216" s="84">
        <v>3.6</v>
      </c>
      <c r="I1216" s="84">
        <v>3.6</v>
      </c>
      <c r="J1216" s="52"/>
      <c r="K1216" s="45"/>
      <c r="L1216" s="49"/>
      <c r="M1216" s="45"/>
      <c r="N1216" s="47"/>
      <c r="O1216" s="22"/>
    </row>
    <row r="1217" spans="1:15" ht="18.75" customHeight="1">
      <c r="A1217" s="42" t="s">
        <v>2</v>
      </c>
      <c r="B1217" s="43"/>
      <c r="C1217" s="83">
        <v>98.84</v>
      </c>
      <c r="D1217" s="84">
        <v>97.55</v>
      </c>
      <c r="E1217" s="84">
        <v>97.55</v>
      </c>
      <c r="F1217" s="84">
        <v>97.55</v>
      </c>
      <c r="G1217" s="84">
        <v>97.55</v>
      </c>
      <c r="H1217" s="84">
        <v>97.55</v>
      </c>
      <c r="I1217" s="84">
        <v>99.02</v>
      </c>
      <c r="J1217" s="84"/>
      <c r="K1217" s="45"/>
      <c r="L1217" s="49"/>
      <c r="M1217" s="45"/>
      <c r="N1217" s="47"/>
      <c r="O1217" s="21"/>
    </row>
    <row r="1218" spans="1:15" ht="18.75" customHeight="1">
      <c r="A1218" s="42" t="s">
        <v>1</v>
      </c>
      <c r="B1218" s="43"/>
      <c r="C1218" s="83">
        <v>0</v>
      </c>
      <c r="D1218" s="84">
        <v>0.6</v>
      </c>
      <c r="E1218" s="84">
        <v>0.7</v>
      </c>
      <c r="F1218" s="85">
        <v>1.7</v>
      </c>
      <c r="G1218" s="85">
        <v>2.8</v>
      </c>
      <c r="H1218" s="84">
        <v>3.6</v>
      </c>
      <c r="I1218" s="84">
        <v>3.6</v>
      </c>
      <c r="J1218" s="52"/>
      <c r="K1218" s="45"/>
      <c r="L1218" s="49"/>
      <c r="M1218" s="45"/>
      <c r="N1218" s="47"/>
      <c r="O1218" s="22"/>
    </row>
    <row r="1219" spans="1:15" ht="18.75" customHeight="1">
      <c r="A1219" s="42" t="s">
        <v>3</v>
      </c>
      <c r="B1219" s="9"/>
      <c r="C1219" s="83">
        <v>98.84</v>
      </c>
      <c r="D1219" s="84">
        <v>97.873000000000005</v>
      </c>
      <c r="E1219" s="84">
        <v>97.78</v>
      </c>
      <c r="F1219" s="84">
        <v>97.78</v>
      </c>
      <c r="G1219" s="84">
        <v>97.78</v>
      </c>
      <c r="H1219" s="84">
        <v>98.042000000000002</v>
      </c>
      <c r="I1219" s="84">
        <v>99.02</v>
      </c>
      <c r="J1219" s="84"/>
      <c r="K1219" s="45"/>
      <c r="L1219" s="49"/>
      <c r="M1219" s="45"/>
      <c r="N1219" s="52"/>
      <c r="O1219" s="23"/>
    </row>
    <row r="1220" spans="1:15" ht="18.75" customHeight="1">
      <c r="A1220" s="42" t="s">
        <v>18</v>
      </c>
      <c r="B1220" s="9"/>
      <c r="C1220" s="52">
        <f t="shared" ref="C1220" si="361">C1217-C1219</f>
        <v>0</v>
      </c>
      <c r="D1220" s="52">
        <f>D1219-D1217</f>
        <v>0.3230000000000075</v>
      </c>
      <c r="E1220" s="52">
        <f t="shared" ref="E1220:I1220" si="362">E1219-E1217</f>
        <v>0.23000000000000398</v>
      </c>
      <c r="F1220" s="52">
        <f t="shared" si="362"/>
        <v>0.23000000000000398</v>
      </c>
      <c r="G1220" s="52">
        <f t="shared" si="362"/>
        <v>0.23000000000000398</v>
      </c>
      <c r="H1220" s="52">
        <f t="shared" si="362"/>
        <v>0.49200000000000443</v>
      </c>
      <c r="I1220" s="52">
        <f t="shared" si="362"/>
        <v>0</v>
      </c>
      <c r="J1220" s="52"/>
      <c r="K1220" s="47"/>
      <c r="L1220" s="47"/>
      <c r="M1220" s="47"/>
      <c r="N1220" s="47"/>
      <c r="O1220" s="21"/>
    </row>
    <row r="1221" spans="1:15" ht="18.75" customHeight="1">
      <c r="A1221" s="42" t="s">
        <v>5</v>
      </c>
      <c r="B1221" s="9"/>
      <c r="C1221" s="52">
        <f t="shared" ref="C1221" si="363">(C1220+B1220)/2*(C1216-B1216)</f>
        <v>0</v>
      </c>
      <c r="D1221" s="52">
        <f>(D1220+C1220)/2*(D1216-C1216)</f>
        <v>9.6900000000002248E-2</v>
      </c>
      <c r="E1221" s="52">
        <f>(E1220+D1220)/2*(E1216-D1216)</f>
        <v>2.7650000000000566E-2</v>
      </c>
      <c r="F1221" s="52">
        <f t="shared" ref="F1221:I1221" si="364">(F1220+E1220)/2*(F1216-E1216)</f>
        <v>0.23000000000000398</v>
      </c>
      <c r="G1221" s="52">
        <f t="shared" si="364"/>
        <v>0.25300000000000433</v>
      </c>
      <c r="H1221" s="52">
        <f t="shared" si="364"/>
        <v>0.28880000000000344</v>
      </c>
      <c r="I1221" s="52">
        <f t="shared" si="364"/>
        <v>0</v>
      </c>
      <c r="J1221" s="52"/>
      <c r="K1221" s="47"/>
      <c r="L1221" s="47"/>
      <c r="M1221" s="47"/>
      <c r="N1221" s="77">
        <f>SUM(B1221:M1221)</f>
        <v>0.89635000000001464</v>
      </c>
      <c r="O1221" s="21"/>
    </row>
    <row r="1222" spans="1:15" ht="18.75" customHeight="1">
      <c r="A1222" s="2"/>
      <c r="B1222" s="2"/>
      <c r="C1222" s="30"/>
      <c r="D1222" s="30"/>
      <c r="E1222" s="4"/>
      <c r="F1222" s="4"/>
      <c r="G1222" s="4"/>
      <c r="H1222" s="4"/>
      <c r="I1222" s="4"/>
      <c r="J1222" s="179" t="s">
        <v>6</v>
      </c>
      <c r="K1222" s="179"/>
      <c r="L1222" s="179"/>
      <c r="M1222" s="179"/>
      <c r="N1222" s="5">
        <f>N1221</f>
        <v>0.89635000000001464</v>
      </c>
      <c r="O1222" s="21"/>
    </row>
    <row r="1223" spans="1:15" ht="18.75" customHeight="1">
      <c r="A1223" s="24"/>
      <c r="B1223" s="78"/>
      <c r="C1223" s="18"/>
      <c r="D1223" s="18"/>
      <c r="E1223" s="21"/>
      <c r="F1223" s="21"/>
      <c r="G1223" s="21"/>
      <c r="H1223" s="21"/>
      <c r="I1223" s="21"/>
      <c r="J1223" s="21"/>
      <c r="K1223" s="21"/>
      <c r="L1223" s="21"/>
      <c r="M1223" s="21"/>
      <c r="N1223" s="21"/>
      <c r="O1223" s="21"/>
    </row>
    <row r="1224" spans="1:15" ht="18.75" customHeight="1">
      <c r="A1224" s="2"/>
      <c r="B1224" s="2"/>
      <c r="C1224" s="30"/>
      <c r="D1224" s="30"/>
      <c r="E1224" s="21"/>
      <c r="F1224" s="21"/>
      <c r="G1224" s="21"/>
      <c r="H1224" s="21"/>
      <c r="I1224" s="21"/>
      <c r="J1224" s="30"/>
      <c r="K1224" s="30"/>
      <c r="L1224" s="30"/>
      <c r="M1224" s="30"/>
      <c r="N1224" s="30"/>
    </row>
    <row r="1225" spans="1:15" ht="14.1" customHeight="1">
      <c r="A1225" s="6"/>
      <c r="B1225" s="6"/>
      <c r="C1225" s="7"/>
      <c r="D1225" s="7"/>
      <c r="E1225" s="7"/>
      <c r="F1225" s="7"/>
      <c r="G1225" s="7"/>
      <c r="H1225" s="7"/>
      <c r="I1225" s="7"/>
      <c r="K1225" s="7"/>
      <c r="L1225" s="7"/>
      <c r="M1225" s="7"/>
      <c r="N1225" s="7"/>
    </row>
    <row r="1226" spans="1:15" ht="14.1" customHeight="1">
      <c r="A1226" s="6"/>
      <c r="B1226" s="6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</row>
    <row r="1227" spans="1:15" ht="14.1" customHeight="1">
      <c r="A1227" s="6"/>
      <c r="B1227" s="6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</row>
    <row r="1228" spans="1:15" ht="14.1" customHeight="1">
      <c r="A1228" s="6"/>
      <c r="B1228" s="6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</row>
    <row r="1229" spans="1:15" ht="14.1" customHeight="1">
      <c r="A1229" s="6"/>
      <c r="B1229" s="6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</row>
    <row r="1230" spans="1:15" ht="14.1" customHeight="1">
      <c r="A1230" s="6"/>
      <c r="B1230" s="6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</row>
    <row r="1231" spans="1:15" ht="14.1" customHeight="1">
      <c r="A1231" s="6"/>
      <c r="B1231" s="6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</row>
    <row r="1232" spans="1:15" ht="14.1" customHeight="1">
      <c r="A1232" s="6"/>
      <c r="B1232" s="6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</row>
    <row r="1233" spans="1:14" ht="14.1" customHeight="1">
      <c r="A1233" s="6"/>
      <c r="B1233" s="6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</row>
    <row r="1234" spans="1:14" ht="14.1" customHeight="1">
      <c r="A1234" s="6"/>
      <c r="B1234" s="6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</row>
    <row r="1235" spans="1:14" ht="14.1" customHeight="1">
      <c r="A1235" s="6"/>
      <c r="B1235" s="6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</row>
    <row r="1236" spans="1:14" ht="14.1" customHeight="1">
      <c r="A1236" s="6"/>
      <c r="B1236" s="6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</row>
    <row r="1237" spans="1:14" ht="14.1" customHeight="1">
      <c r="A1237" s="6"/>
      <c r="B1237" s="6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</row>
    <row r="1238" spans="1:14" ht="14.1" customHeight="1">
      <c r="A1238" s="6"/>
      <c r="B1238" s="6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</row>
    <row r="1239" spans="1:14" ht="14.1" customHeight="1">
      <c r="A1239" s="6"/>
      <c r="B1239" s="6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</row>
    <row r="1240" spans="1:14" ht="14.1" customHeight="1">
      <c r="A1240" s="6"/>
      <c r="B1240" s="6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</row>
    <row r="1241" spans="1:14" ht="14.1" customHeight="1">
      <c r="A1241" s="6"/>
      <c r="B1241" s="6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</row>
    <row r="1242" spans="1:14" ht="14.1" customHeight="1">
      <c r="A1242" s="6"/>
      <c r="B1242" s="6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</row>
    <row r="1243" spans="1:14" ht="14.1" customHeight="1">
      <c r="A1243" s="6"/>
      <c r="B1243" s="6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</row>
    <row r="1244" spans="1:14" ht="14.1" customHeight="1">
      <c r="A1244" s="6"/>
      <c r="B1244" s="6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</row>
    <row r="1245" spans="1:14" ht="14.1" customHeight="1">
      <c r="A1245" s="6"/>
      <c r="B1245" s="6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</row>
    <row r="1246" spans="1:14" ht="14.1" customHeight="1">
      <c r="A1246" s="6"/>
      <c r="B1246" s="6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</row>
    <row r="1247" spans="1:14" ht="14.1" customHeight="1">
      <c r="A1247" s="6"/>
      <c r="B1247" s="6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</row>
    <row r="1248" spans="1:14" ht="14.1" customHeight="1">
      <c r="A1248" s="6"/>
      <c r="B1248" s="6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</row>
    <row r="1249" spans="1:15" ht="14.1" customHeight="1">
      <c r="A1249" s="6"/>
      <c r="B1249" s="6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</row>
    <row r="1250" spans="1:15" ht="18" customHeight="1">
      <c r="A1250" s="184" t="s">
        <v>0</v>
      </c>
      <c r="B1250" s="185"/>
      <c r="C1250" s="185"/>
      <c r="D1250" s="185"/>
      <c r="E1250" s="185"/>
      <c r="F1250" s="185"/>
      <c r="G1250" s="20">
        <v>1800</v>
      </c>
      <c r="H1250" s="1" t="s">
        <v>15</v>
      </c>
      <c r="I1250" s="1"/>
      <c r="J1250" s="32"/>
      <c r="K1250" s="1"/>
      <c r="L1250" s="1"/>
      <c r="M1250" s="1"/>
      <c r="N1250" s="1"/>
    </row>
    <row r="1251" spans="1:15" ht="18" customHeight="1">
      <c r="A1251" s="42" t="s">
        <v>1</v>
      </c>
      <c r="B1251" s="43"/>
      <c r="C1251" s="83">
        <v>0</v>
      </c>
      <c r="D1251" s="84">
        <v>0.6</v>
      </c>
      <c r="E1251" s="84">
        <v>0.7</v>
      </c>
      <c r="F1251" s="124">
        <v>1.7</v>
      </c>
      <c r="G1251" s="124">
        <v>2.7</v>
      </c>
      <c r="H1251" s="84">
        <v>2.8</v>
      </c>
      <c r="I1251" s="125">
        <v>3.5</v>
      </c>
      <c r="J1251" s="125"/>
      <c r="K1251" s="84"/>
      <c r="L1251" s="97"/>
      <c r="M1251" s="95"/>
      <c r="N1251" s="96"/>
      <c r="O1251" s="22"/>
    </row>
    <row r="1252" spans="1:15" ht="18" customHeight="1">
      <c r="A1252" s="42" t="s">
        <v>2</v>
      </c>
      <c r="B1252" s="43"/>
      <c r="C1252" s="83">
        <v>98.47</v>
      </c>
      <c r="D1252" s="84">
        <v>97.54</v>
      </c>
      <c r="E1252" s="84">
        <v>97.54</v>
      </c>
      <c r="F1252" s="84">
        <v>97.54</v>
      </c>
      <c r="G1252" s="84">
        <v>97.54</v>
      </c>
      <c r="H1252" s="84">
        <v>97.54</v>
      </c>
      <c r="I1252" s="84">
        <v>98.64</v>
      </c>
      <c r="J1252" s="84"/>
      <c r="K1252" s="84"/>
      <c r="L1252" s="97"/>
      <c r="M1252" s="95"/>
      <c r="N1252" s="96"/>
      <c r="O1252" s="21"/>
    </row>
    <row r="1253" spans="1:15" ht="18" customHeight="1">
      <c r="A1253" s="42" t="s">
        <v>1</v>
      </c>
      <c r="B1253" s="43"/>
      <c r="C1253" s="83">
        <v>0</v>
      </c>
      <c r="D1253" s="84">
        <v>0.6</v>
      </c>
      <c r="E1253" s="84">
        <v>0.7</v>
      </c>
      <c r="F1253" s="124">
        <v>1.7</v>
      </c>
      <c r="G1253" s="124">
        <v>2.7</v>
      </c>
      <c r="H1253" s="84">
        <v>2.8</v>
      </c>
      <c r="I1253" s="125">
        <v>3.5</v>
      </c>
      <c r="J1253" s="125"/>
      <c r="K1253" s="84"/>
      <c r="L1253" s="97"/>
      <c r="M1253" s="95"/>
      <c r="N1253" s="96"/>
      <c r="O1253" s="22"/>
    </row>
    <row r="1254" spans="1:15" ht="18" customHeight="1">
      <c r="A1254" s="42" t="s">
        <v>3</v>
      </c>
      <c r="B1254" s="9"/>
      <c r="C1254" s="83">
        <v>98.47</v>
      </c>
      <c r="D1254" s="84">
        <v>97.980999999999995</v>
      </c>
      <c r="E1254" s="84">
        <v>97.9</v>
      </c>
      <c r="F1254" s="84">
        <v>97.9</v>
      </c>
      <c r="G1254" s="84">
        <v>97.9</v>
      </c>
      <c r="H1254" s="84">
        <v>97.992999999999995</v>
      </c>
      <c r="I1254" s="84">
        <v>98.64</v>
      </c>
      <c r="J1254" s="84"/>
      <c r="K1254" s="84"/>
      <c r="L1254" s="97"/>
      <c r="M1254" s="95"/>
      <c r="N1254" s="98"/>
      <c r="O1254" s="23"/>
    </row>
    <row r="1255" spans="1:15" ht="18" customHeight="1">
      <c r="A1255" s="42" t="s">
        <v>18</v>
      </c>
      <c r="B1255" s="9"/>
      <c r="C1255" s="125">
        <f t="shared" ref="C1255" si="365">C1252-C1254</f>
        <v>0</v>
      </c>
      <c r="D1255" s="125">
        <f>D1254-D1252</f>
        <v>0.44099999999998829</v>
      </c>
      <c r="E1255" s="125">
        <f t="shared" ref="E1255" si="366">E1254-E1252</f>
        <v>0.35999999999999943</v>
      </c>
      <c r="F1255" s="125">
        <f t="shared" ref="F1255" si="367">F1254-F1252</f>
        <v>0.35999999999999943</v>
      </c>
      <c r="G1255" s="125">
        <f t="shared" ref="G1255" si="368">G1254-G1252</f>
        <v>0.35999999999999943</v>
      </c>
      <c r="H1255" s="125">
        <f t="shared" ref="H1255" si="369">H1254-H1252</f>
        <v>0.45299999999998875</v>
      </c>
      <c r="I1255" s="125">
        <f t="shared" ref="I1255" si="370">I1254-I1252</f>
        <v>0</v>
      </c>
      <c r="J1255" s="125"/>
      <c r="K1255" s="125"/>
      <c r="L1255" s="96"/>
      <c r="M1255" s="96"/>
      <c r="N1255" s="96"/>
      <c r="O1255" s="21"/>
    </row>
    <row r="1256" spans="1:15" ht="18" customHeight="1">
      <c r="A1256" s="42" t="s">
        <v>5</v>
      </c>
      <c r="B1256" s="9"/>
      <c r="C1256" s="125">
        <f t="shared" ref="C1256" si="371">(C1255+B1255)/2*(C1251-B1251)</f>
        <v>0</v>
      </c>
      <c r="D1256" s="125">
        <f>(D1255+C1255)/2*(D1251-C1251)</f>
        <v>0.13229999999999648</v>
      </c>
      <c r="E1256" s="125">
        <f t="shared" ref="E1256" si="372">(E1255+D1255)/2*(E1251-D1251)</f>
        <v>4.0049999999999378E-2</v>
      </c>
      <c r="F1256" s="125">
        <f t="shared" ref="F1256" si="373">(F1255+E1255)/2*(F1251-E1251)</f>
        <v>0.35999999999999943</v>
      </c>
      <c r="G1256" s="125">
        <f t="shared" ref="G1256" si="374">(G1255+F1255)/2*(G1251-F1251)</f>
        <v>0.35999999999999949</v>
      </c>
      <c r="H1256" s="125">
        <f t="shared" ref="H1256" si="375">(H1255+G1255)/2*(H1251-G1251)</f>
        <v>4.0649999999999263E-2</v>
      </c>
      <c r="I1256" s="125">
        <f t="shared" ref="I1256" si="376">(I1255+H1255)/2*(I1251-H1251)</f>
        <v>0.15854999999999611</v>
      </c>
      <c r="J1256" s="125"/>
      <c r="K1256" s="125"/>
      <c r="L1256" s="133"/>
      <c r="M1256" s="133"/>
      <c r="N1256" s="134">
        <f>SUM(B1256:M1256)</f>
        <v>1.09154999999999</v>
      </c>
      <c r="O1256" s="21"/>
    </row>
    <row r="1257" spans="1:15" ht="18" customHeight="1">
      <c r="A1257" s="2"/>
      <c r="B1257" s="2"/>
      <c r="C1257" s="99"/>
      <c r="D1257" s="99"/>
      <c r="E1257" s="100"/>
      <c r="F1257" s="100"/>
      <c r="G1257" s="100"/>
      <c r="H1257" s="100"/>
      <c r="I1257" s="100"/>
      <c r="J1257" s="194" t="s">
        <v>26</v>
      </c>
      <c r="K1257" s="194"/>
      <c r="L1257" s="194"/>
      <c r="M1257" s="194"/>
      <c r="N1257" s="135">
        <f>N1256</f>
        <v>1.09154999999999</v>
      </c>
      <c r="O1257" s="21"/>
    </row>
    <row r="1258" spans="1:15" ht="18" customHeight="1">
      <c r="A1258" s="24"/>
      <c r="B1258" s="78"/>
      <c r="C1258" s="18"/>
      <c r="D1258" s="18"/>
      <c r="E1258" s="21"/>
      <c r="F1258" s="21"/>
      <c r="G1258" s="21"/>
      <c r="H1258" s="21"/>
      <c r="I1258" s="21"/>
      <c r="J1258" s="21"/>
      <c r="K1258" s="21"/>
      <c r="L1258" s="21"/>
      <c r="M1258" s="21"/>
      <c r="N1258" s="21"/>
      <c r="O1258" s="21"/>
    </row>
    <row r="1259" spans="1:15" ht="14.1" customHeight="1">
      <c r="A1259" s="2"/>
      <c r="B1259" s="2"/>
      <c r="C1259" s="30"/>
      <c r="D1259" s="30"/>
      <c r="E1259" s="21"/>
      <c r="F1259" s="21"/>
      <c r="G1259" s="21"/>
      <c r="H1259" s="21"/>
      <c r="I1259" s="21"/>
      <c r="J1259" s="30"/>
      <c r="K1259" s="30"/>
      <c r="L1259" s="30"/>
      <c r="M1259" s="30"/>
      <c r="N1259" s="30"/>
    </row>
    <row r="1260" spans="1:15" ht="14.1" customHeight="1">
      <c r="A1260" s="6"/>
      <c r="B1260" s="6"/>
      <c r="C1260" s="7"/>
      <c r="D1260" s="7"/>
      <c r="E1260" s="7"/>
      <c r="F1260" s="7"/>
      <c r="G1260" s="7"/>
      <c r="H1260" s="7"/>
      <c r="I1260" s="7"/>
      <c r="K1260" s="7"/>
      <c r="L1260" s="7"/>
      <c r="M1260" s="7"/>
      <c r="N1260" s="7"/>
    </row>
    <row r="1261" spans="1:15" ht="14.1" customHeight="1">
      <c r="A1261" s="2"/>
      <c r="B1261" s="2"/>
      <c r="C1261" s="30"/>
      <c r="D1261" s="30"/>
      <c r="E1261" s="4"/>
      <c r="F1261" s="4"/>
      <c r="G1261" s="4"/>
      <c r="H1261" s="4"/>
      <c r="I1261" s="4"/>
      <c r="J1261" s="30"/>
      <c r="K1261" s="30"/>
      <c r="L1261" s="30"/>
      <c r="M1261" s="30"/>
      <c r="N1261" s="30"/>
    </row>
    <row r="1262" spans="1:15" ht="14.1" customHeight="1">
      <c r="A1262" s="6"/>
      <c r="B1262" s="6"/>
      <c r="C1262" s="7"/>
      <c r="D1262" s="7"/>
      <c r="E1262" s="7"/>
      <c r="F1262" s="7"/>
      <c r="G1262" s="7"/>
      <c r="H1262" s="7"/>
      <c r="I1262" s="7"/>
      <c r="K1262" s="7"/>
      <c r="L1262" s="7"/>
      <c r="M1262" s="7"/>
      <c r="N1262" s="7"/>
    </row>
    <row r="1263" spans="1:15" ht="14.1" customHeight="1">
      <c r="A1263" s="6"/>
      <c r="B1263" s="6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</row>
    <row r="1264" spans="1:15" ht="14.1" customHeight="1">
      <c r="A1264" s="6"/>
      <c r="B1264" s="6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</row>
    <row r="1265" spans="1:14" ht="14.1" customHeight="1">
      <c r="A1265" s="6"/>
      <c r="B1265" s="6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</row>
    <row r="1266" spans="1:14" ht="14.1" customHeight="1">
      <c r="A1266" s="6"/>
      <c r="B1266" s="6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</row>
    <row r="1267" spans="1:14" ht="14.1" customHeight="1">
      <c r="A1267" s="6"/>
      <c r="B1267" s="6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</row>
    <row r="1268" spans="1:14" ht="14.1" customHeight="1">
      <c r="A1268" s="6"/>
      <c r="B1268" s="6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</row>
    <row r="1269" spans="1:14" ht="14.1" customHeight="1">
      <c r="A1269" s="6"/>
      <c r="B1269" s="6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</row>
    <row r="1270" spans="1:14" ht="14.1" customHeight="1">
      <c r="A1270" s="6"/>
      <c r="B1270" s="6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</row>
    <row r="1271" spans="1:14" ht="14.1" customHeight="1">
      <c r="A1271" s="6"/>
      <c r="B1271" s="6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</row>
    <row r="1272" spans="1:14" ht="14.1" customHeight="1">
      <c r="A1272" s="6"/>
      <c r="B1272" s="6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</row>
    <row r="1273" spans="1:14" ht="14.1" customHeight="1">
      <c r="A1273" s="6"/>
      <c r="B1273" s="6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</row>
    <row r="1274" spans="1:14" ht="14.1" customHeight="1">
      <c r="A1274" s="6"/>
      <c r="B1274" s="6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</row>
    <row r="1275" spans="1:14" ht="14.1" customHeight="1">
      <c r="A1275" s="6"/>
      <c r="B1275" s="6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</row>
    <row r="1276" spans="1:14" ht="14.1" customHeight="1">
      <c r="A1276" s="6"/>
      <c r="B1276" s="6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</row>
    <row r="1277" spans="1:14" ht="14.1" customHeight="1">
      <c r="A1277" s="6"/>
      <c r="B1277" s="6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</row>
    <row r="1278" spans="1:14" ht="14.1" customHeight="1">
      <c r="A1278" s="6"/>
      <c r="B1278" s="6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</row>
    <row r="1279" spans="1:14" ht="14.1" customHeight="1">
      <c r="A1279" s="6"/>
      <c r="B1279" s="6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</row>
    <row r="1280" spans="1:14" ht="14.1" customHeight="1">
      <c r="A1280" s="6"/>
      <c r="B1280" s="6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</row>
    <row r="1281" spans="1:14" ht="14.1" customHeight="1">
      <c r="A1281" s="6"/>
      <c r="B1281" s="6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</row>
    <row r="1282" spans="1:14" ht="14.1" customHeight="1">
      <c r="A1282" s="6"/>
      <c r="B1282" s="6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</row>
    <row r="1283" spans="1:14" ht="14.1" customHeight="1">
      <c r="A1283" s="6"/>
      <c r="B1283" s="6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</row>
    <row r="1284" spans="1:14" ht="14.1" customHeight="1">
      <c r="A1284" s="6"/>
      <c r="B1284" s="6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</row>
    <row r="1285" spans="1:14" ht="14.1" customHeight="1">
      <c r="A1285" s="6"/>
      <c r="B1285" s="181"/>
      <c r="C1285" s="181"/>
      <c r="D1285" s="181"/>
      <c r="E1285" s="25"/>
      <c r="F1285" s="25"/>
      <c r="G1285" s="167"/>
      <c r="H1285" s="167"/>
      <c r="I1285" s="167"/>
      <c r="J1285" s="7"/>
      <c r="K1285" s="182"/>
      <c r="L1285" s="182"/>
      <c r="M1285" s="7"/>
      <c r="N1285" s="7"/>
    </row>
    <row r="1286" spans="1:14" ht="14.1" customHeight="1">
      <c r="A1286" s="6"/>
      <c r="B1286" s="170"/>
      <c r="C1286" s="170"/>
      <c r="D1286" s="170"/>
      <c r="E1286" s="26"/>
      <c r="F1286" s="26"/>
      <c r="G1286" s="170"/>
      <c r="H1286" s="170"/>
      <c r="I1286" s="170"/>
      <c r="J1286" s="25"/>
      <c r="K1286" s="171"/>
      <c r="L1286" s="171"/>
      <c r="M1286" s="7"/>
      <c r="N1286" s="7"/>
    </row>
    <row r="1287" spans="1:14" ht="14.1" customHeight="1">
      <c r="A1287" s="6"/>
      <c r="B1287" s="6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</row>
    <row r="1288" spans="1:14" ht="14.1" customHeight="1">
      <c r="A1288" s="6"/>
      <c r="B1288" s="6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</row>
    <row r="1289" spans="1:14" ht="14.1" customHeight="1">
      <c r="A1289" s="6"/>
      <c r="B1289" s="6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</row>
    <row r="1290" spans="1:14" ht="14.1" customHeight="1">
      <c r="A1290" s="6"/>
      <c r="B1290" s="6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</row>
    <row r="1291" spans="1:14" ht="14.1" customHeight="1">
      <c r="A1291" s="6"/>
      <c r="B1291" s="6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</row>
    <row r="1292" spans="1:14" ht="14.1" customHeight="1">
      <c r="A1292" s="6"/>
      <c r="B1292" s="6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</row>
    <row r="1293" spans="1:14" ht="14.1" customHeight="1">
      <c r="A1293" s="6"/>
      <c r="B1293" s="181"/>
      <c r="C1293" s="181"/>
      <c r="D1293" s="181"/>
      <c r="E1293" s="25"/>
      <c r="F1293" s="25"/>
      <c r="G1293" s="167"/>
      <c r="H1293" s="167"/>
      <c r="I1293" s="167"/>
      <c r="J1293" s="7"/>
      <c r="K1293" s="182"/>
      <c r="L1293" s="182"/>
      <c r="M1293" s="7"/>
      <c r="N1293" s="7"/>
    </row>
    <row r="1294" spans="1:14" ht="14.1" customHeight="1">
      <c r="A1294" s="6"/>
      <c r="B1294" s="170"/>
      <c r="C1294" s="170"/>
      <c r="D1294" s="170"/>
      <c r="E1294" s="26"/>
      <c r="F1294" s="26"/>
      <c r="G1294" s="170"/>
      <c r="H1294" s="170"/>
      <c r="I1294" s="170"/>
      <c r="J1294" s="25"/>
      <c r="K1294" s="171"/>
      <c r="L1294" s="171"/>
      <c r="M1294" s="7"/>
      <c r="N1294" s="7"/>
    </row>
    <row r="1295" spans="1:14" ht="14.1" customHeight="1">
      <c r="A1295" s="6"/>
      <c r="B1295" s="6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</row>
    <row r="1296" spans="1:14" ht="14.1" customHeight="1">
      <c r="A1296" s="6"/>
      <c r="B1296" s="6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</row>
    <row r="1297" spans="1:14" ht="18" customHeight="1">
      <c r="A1297" s="184" t="s">
        <v>0</v>
      </c>
      <c r="B1297" s="185"/>
      <c r="C1297" s="185"/>
      <c r="D1297" s="185"/>
      <c r="E1297" s="185"/>
      <c r="F1297" s="185"/>
      <c r="G1297" s="20">
        <v>1860</v>
      </c>
      <c r="H1297" s="1" t="s">
        <v>15</v>
      </c>
      <c r="I1297" s="1"/>
      <c r="J1297" s="32"/>
      <c r="K1297" s="1"/>
      <c r="L1297" s="1"/>
      <c r="M1297" s="1"/>
      <c r="N1297" s="1"/>
    </row>
    <row r="1298" spans="1:14" ht="18" customHeight="1">
      <c r="A1298" s="42" t="s">
        <v>1</v>
      </c>
      <c r="B1298" s="43"/>
      <c r="C1298" s="103">
        <v>0</v>
      </c>
      <c r="D1298" s="104">
        <v>0.6</v>
      </c>
      <c r="E1298" s="104">
        <v>0.7</v>
      </c>
      <c r="F1298" s="105">
        <v>1.7</v>
      </c>
      <c r="G1298" s="105">
        <v>2.7</v>
      </c>
      <c r="H1298" s="104">
        <v>2.8</v>
      </c>
      <c r="I1298" s="106">
        <v>3.6</v>
      </c>
      <c r="J1298" s="106"/>
      <c r="K1298" s="104"/>
      <c r="L1298" s="49"/>
      <c r="M1298" s="45"/>
      <c r="N1298" s="47"/>
    </row>
    <row r="1299" spans="1:14" ht="18" customHeight="1">
      <c r="A1299" s="42" t="s">
        <v>2</v>
      </c>
      <c r="B1299" s="43"/>
      <c r="C1299" s="103">
        <v>98.63</v>
      </c>
      <c r="D1299" s="104">
        <v>97.53</v>
      </c>
      <c r="E1299" s="104">
        <v>97.53</v>
      </c>
      <c r="F1299" s="104">
        <v>97.53</v>
      </c>
      <c r="G1299" s="104">
        <v>97.53</v>
      </c>
      <c r="H1299" s="104">
        <v>97.53</v>
      </c>
      <c r="I1299" s="104">
        <v>98.83</v>
      </c>
      <c r="J1299" s="104"/>
      <c r="K1299" s="104"/>
      <c r="L1299" s="49"/>
      <c r="M1299" s="45"/>
      <c r="N1299" s="47"/>
    </row>
    <row r="1300" spans="1:14" ht="18" customHeight="1">
      <c r="A1300" s="42" t="s">
        <v>1</v>
      </c>
      <c r="B1300" s="43"/>
      <c r="C1300" s="103">
        <v>0</v>
      </c>
      <c r="D1300" s="104">
        <v>0.6</v>
      </c>
      <c r="E1300" s="104">
        <v>0.7</v>
      </c>
      <c r="F1300" s="105">
        <v>1.7</v>
      </c>
      <c r="G1300" s="105">
        <v>2.7</v>
      </c>
      <c r="H1300" s="104">
        <v>2.8</v>
      </c>
      <c r="I1300" s="106">
        <v>3.6</v>
      </c>
      <c r="J1300" s="106"/>
      <c r="K1300" s="104"/>
      <c r="L1300" s="49"/>
      <c r="M1300" s="45"/>
      <c r="N1300" s="47"/>
    </row>
    <row r="1301" spans="1:14" ht="18" customHeight="1">
      <c r="A1301" s="42" t="s">
        <v>3</v>
      </c>
      <c r="B1301" s="9"/>
      <c r="C1301" s="103">
        <v>98.63</v>
      </c>
      <c r="D1301" s="104">
        <v>98.03</v>
      </c>
      <c r="E1301" s="104">
        <v>97.93</v>
      </c>
      <c r="F1301" s="104">
        <v>97.93</v>
      </c>
      <c r="G1301" s="104">
        <v>97.93</v>
      </c>
      <c r="H1301" s="104">
        <v>98.03</v>
      </c>
      <c r="I1301" s="104">
        <v>98.83</v>
      </c>
      <c r="J1301" s="104"/>
      <c r="K1301" s="104"/>
      <c r="L1301" s="49"/>
      <c r="M1301" s="45"/>
      <c r="N1301" s="52"/>
    </row>
    <row r="1302" spans="1:14" ht="18" customHeight="1">
      <c r="A1302" s="42" t="s">
        <v>18</v>
      </c>
      <c r="B1302" s="9"/>
      <c r="C1302" s="106">
        <f t="shared" ref="C1302" si="377">C1299-C1301</f>
        <v>0</v>
      </c>
      <c r="D1302" s="106">
        <f>D1301-D1299</f>
        <v>0.5</v>
      </c>
      <c r="E1302" s="106">
        <f t="shared" ref="E1302" si="378">E1301-E1299</f>
        <v>0.40000000000000568</v>
      </c>
      <c r="F1302" s="106">
        <f t="shared" ref="F1302" si="379">F1301-F1299</f>
        <v>0.40000000000000568</v>
      </c>
      <c r="G1302" s="106">
        <f t="shared" ref="G1302" si="380">G1301-G1299</f>
        <v>0.40000000000000568</v>
      </c>
      <c r="H1302" s="106">
        <f t="shared" ref="H1302" si="381">H1301-H1299</f>
        <v>0.5</v>
      </c>
      <c r="I1302" s="106">
        <f t="shared" ref="I1302" si="382">I1301-I1299</f>
        <v>0</v>
      </c>
      <c r="J1302" s="106"/>
      <c r="K1302" s="106"/>
      <c r="L1302" s="47"/>
      <c r="M1302" s="47"/>
      <c r="N1302" s="47"/>
    </row>
    <row r="1303" spans="1:14" ht="18" customHeight="1">
      <c r="A1303" s="42" t="s">
        <v>5</v>
      </c>
      <c r="B1303" s="9"/>
      <c r="C1303" s="106">
        <f t="shared" ref="C1303" si="383">(C1302+B1302)/2*(C1298-B1298)</f>
        <v>0</v>
      </c>
      <c r="D1303" s="106">
        <f>(D1302+C1302)/2*(D1298-C1298)</f>
        <v>0.15</v>
      </c>
      <c r="E1303" s="106">
        <f t="shared" ref="E1303" si="384">(E1302+D1302)/2*(E1298-D1298)</f>
        <v>4.5000000000000276E-2</v>
      </c>
      <c r="F1303" s="106">
        <f t="shared" ref="F1303" si="385">(F1302+E1302)/2*(F1298-E1298)</f>
        <v>0.40000000000000568</v>
      </c>
      <c r="G1303" s="106">
        <f t="shared" ref="G1303" si="386">(G1302+F1302)/2*(G1298-F1298)</f>
        <v>0.4000000000000058</v>
      </c>
      <c r="H1303" s="106">
        <f t="shared" ref="H1303" si="387">(H1302+G1302)/2*(H1298-G1298)</f>
        <v>4.5000000000000123E-2</v>
      </c>
      <c r="I1303" s="106">
        <f t="shared" ref="I1303" si="388">(I1302+H1302)/2*(I1298-H1298)</f>
        <v>0.20000000000000007</v>
      </c>
      <c r="J1303" s="106"/>
      <c r="K1303" s="106"/>
      <c r="L1303" s="47"/>
      <c r="M1303" s="47"/>
      <c r="N1303" s="77">
        <f>SUM(B1303:M1303)</f>
        <v>1.2400000000000118</v>
      </c>
    </row>
    <row r="1304" spans="1:14" ht="18" customHeight="1">
      <c r="A1304" s="2"/>
      <c r="B1304" s="2"/>
      <c r="C1304" s="30"/>
      <c r="D1304" s="30"/>
      <c r="E1304" s="4"/>
      <c r="F1304" s="4"/>
      <c r="G1304" s="4"/>
      <c r="H1304" s="4"/>
      <c r="I1304" s="4"/>
      <c r="J1304" s="179" t="s">
        <v>6</v>
      </c>
      <c r="K1304" s="179"/>
      <c r="L1304" s="179"/>
      <c r="M1304" s="179"/>
      <c r="N1304" s="5">
        <f>N1303</f>
        <v>1.2400000000000118</v>
      </c>
    </row>
    <row r="1305" spans="1:14" ht="18" customHeight="1">
      <c r="A1305" s="24"/>
      <c r="B1305" s="78"/>
      <c r="C1305" s="18"/>
      <c r="D1305" s="18"/>
      <c r="E1305" s="21"/>
      <c r="F1305" s="21"/>
      <c r="G1305" s="21"/>
      <c r="H1305" s="21"/>
      <c r="I1305" s="21"/>
      <c r="J1305" s="21"/>
      <c r="K1305" s="21"/>
      <c r="L1305" s="21"/>
      <c r="M1305" s="21"/>
      <c r="N1305" s="21"/>
    </row>
    <row r="1306" spans="1:14" ht="14.1" customHeight="1">
      <c r="A1306" s="2"/>
      <c r="B1306" s="2"/>
      <c r="C1306" s="30"/>
      <c r="D1306" s="30"/>
      <c r="E1306" s="21"/>
      <c r="F1306" s="21"/>
      <c r="G1306" s="21"/>
      <c r="H1306" s="21"/>
      <c r="I1306" s="21"/>
      <c r="J1306" s="30"/>
      <c r="K1306" s="30"/>
      <c r="L1306" s="30"/>
      <c r="M1306" s="30"/>
      <c r="N1306" s="30"/>
    </row>
    <row r="1307" spans="1:14" ht="14.1" customHeight="1">
      <c r="A1307" s="6"/>
      <c r="B1307" s="6"/>
      <c r="C1307" s="7"/>
      <c r="D1307" s="7"/>
      <c r="E1307" s="7"/>
      <c r="F1307" s="7"/>
      <c r="G1307" s="7"/>
      <c r="H1307" s="7"/>
      <c r="I1307" s="7"/>
      <c r="K1307" s="7"/>
      <c r="L1307" s="7"/>
      <c r="M1307" s="7"/>
      <c r="N1307" s="7"/>
    </row>
    <row r="1308" spans="1:14" ht="14.1" customHeight="1">
      <c r="A1308" s="6"/>
      <c r="B1308" s="6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</row>
    <row r="1309" spans="1:14" ht="14.1" customHeight="1">
      <c r="A1309" s="6"/>
      <c r="B1309" s="6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</row>
    <row r="1310" spans="1:14" ht="14.1" customHeight="1">
      <c r="A1310" s="6"/>
      <c r="B1310" s="6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</row>
    <row r="1311" spans="1:14" ht="14.1" customHeight="1">
      <c r="A1311" s="6"/>
      <c r="B1311" s="6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</row>
    <row r="1312" spans="1:14" ht="14.1" customHeight="1">
      <c r="A1312" s="6"/>
      <c r="B1312" s="6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</row>
    <row r="1313" spans="1:14" ht="14.1" customHeight="1">
      <c r="A1313" s="6"/>
      <c r="B1313" s="6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</row>
    <row r="1314" spans="1:14" ht="14.1" customHeight="1">
      <c r="A1314" s="6"/>
      <c r="B1314" s="6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</row>
    <row r="1315" spans="1:14" ht="14.1" customHeight="1">
      <c r="A1315" s="6"/>
      <c r="B1315" s="6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</row>
    <row r="1316" spans="1:14" ht="14.1" customHeight="1">
      <c r="A1316" s="6"/>
      <c r="B1316" s="6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</row>
    <row r="1317" spans="1:14" ht="14.1" customHeight="1">
      <c r="A1317" s="6"/>
      <c r="B1317" s="6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</row>
    <row r="1318" spans="1:14" ht="14.1" customHeight="1">
      <c r="A1318" s="6"/>
      <c r="B1318" s="6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</row>
    <row r="1319" spans="1:14" ht="14.1" customHeight="1">
      <c r="A1319" s="6"/>
      <c r="B1319" s="6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</row>
    <row r="1320" spans="1:14" ht="14.1" customHeight="1">
      <c r="A1320" s="6"/>
      <c r="B1320" s="6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</row>
    <row r="1321" spans="1:14" ht="14.1" customHeight="1">
      <c r="A1321" s="6"/>
      <c r="B1321" s="6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</row>
    <row r="1322" spans="1:14" ht="14.1" customHeight="1">
      <c r="A1322" s="6"/>
      <c r="B1322" s="6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</row>
    <row r="1323" spans="1:14" ht="14.1" customHeight="1">
      <c r="A1323" s="6"/>
      <c r="B1323" s="6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</row>
    <row r="1324" spans="1:14" ht="14.1" customHeight="1">
      <c r="A1324" s="6"/>
      <c r="B1324" s="6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</row>
    <row r="1325" spans="1:14" ht="14.1" customHeight="1">
      <c r="A1325" s="6"/>
      <c r="B1325" s="6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</row>
    <row r="1326" spans="1:14" ht="14.1" customHeight="1">
      <c r="A1326" s="6"/>
      <c r="B1326" s="6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</row>
    <row r="1327" spans="1:14" ht="14.1" customHeight="1">
      <c r="A1327" s="6"/>
      <c r="B1327" s="6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</row>
    <row r="1328" spans="1:14" ht="14.1" customHeight="1">
      <c r="A1328" s="6"/>
      <c r="B1328" s="6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</row>
    <row r="1329" spans="1:14" ht="14.1" customHeight="1">
      <c r="A1329" s="6"/>
      <c r="B1329" s="6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</row>
    <row r="1330" spans="1:14" ht="14.1" customHeight="1">
      <c r="A1330" s="6"/>
      <c r="B1330" s="6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</row>
    <row r="1331" spans="1:14" ht="14.1" customHeight="1">
      <c r="A1331" s="6"/>
      <c r="B1331" s="6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</row>
    <row r="1332" spans="1:14" ht="14.1" customHeight="1">
      <c r="A1332" s="6"/>
      <c r="B1332" s="6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</row>
    <row r="1333" spans="1:14" ht="14.1" customHeight="1">
      <c r="A1333" s="6"/>
      <c r="B1333" s="6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</row>
    <row r="1334" spans="1:14" ht="18" customHeight="1">
      <c r="A1334" s="184" t="s">
        <v>0</v>
      </c>
      <c r="B1334" s="185"/>
      <c r="C1334" s="185"/>
      <c r="D1334" s="185"/>
      <c r="E1334" s="185"/>
      <c r="F1334" s="185"/>
      <c r="G1334" s="20">
        <v>1920</v>
      </c>
      <c r="H1334" s="1" t="s">
        <v>15</v>
      </c>
      <c r="I1334" s="1"/>
      <c r="J1334" s="32"/>
      <c r="K1334" s="1"/>
      <c r="L1334" s="1"/>
      <c r="M1334" s="1"/>
      <c r="N1334" s="1"/>
    </row>
    <row r="1335" spans="1:14" ht="18" customHeight="1">
      <c r="A1335" s="42" t="s">
        <v>1</v>
      </c>
      <c r="B1335" s="43"/>
      <c r="C1335" s="103">
        <v>0</v>
      </c>
      <c r="D1335" s="104">
        <v>0.6</v>
      </c>
      <c r="E1335" s="104">
        <v>0.7</v>
      </c>
      <c r="F1335" s="105">
        <v>1.7</v>
      </c>
      <c r="G1335" s="105">
        <v>2.7</v>
      </c>
      <c r="H1335" s="104">
        <v>2.8</v>
      </c>
      <c r="I1335" s="106">
        <v>3.5</v>
      </c>
      <c r="J1335" s="106"/>
      <c r="K1335" s="104"/>
      <c r="L1335" s="49"/>
      <c r="M1335" s="45"/>
      <c r="N1335" s="47"/>
    </row>
    <row r="1336" spans="1:14" ht="18" customHeight="1">
      <c r="A1336" s="42" t="s">
        <v>2</v>
      </c>
      <c r="B1336" s="43"/>
      <c r="C1336" s="103">
        <v>98.62</v>
      </c>
      <c r="D1336" s="104">
        <v>97.41</v>
      </c>
      <c r="E1336" s="104">
        <v>97.41</v>
      </c>
      <c r="F1336" s="104">
        <v>97.41</v>
      </c>
      <c r="G1336" s="104">
        <v>97.41</v>
      </c>
      <c r="H1336" s="104">
        <v>97.41</v>
      </c>
      <c r="I1336" s="104">
        <v>98.77</v>
      </c>
      <c r="J1336" s="104"/>
      <c r="K1336" s="104"/>
      <c r="L1336" s="49"/>
      <c r="M1336" s="45"/>
      <c r="N1336" s="47"/>
    </row>
    <row r="1337" spans="1:14" ht="18" customHeight="1">
      <c r="A1337" s="42" t="s">
        <v>1</v>
      </c>
      <c r="B1337" s="43"/>
      <c r="C1337" s="103">
        <v>0</v>
      </c>
      <c r="D1337" s="104">
        <v>0.6</v>
      </c>
      <c r="E1337" s="104">
        <v>0.7</v>
      </c>
      <c r="F1337" s="105">
        <v>1.7</v>
      </c>
      <c r="G1337" s="105">
        <v>2.7</v>
      </c>
      <c r="H1337" s="104">
        <v>2.8</v>
      </c>
      <c r="I1337" s="106">
        <v>3.5</v>
      </c>
      <c r="J1337" s="106"/>
      <c r="K1337" s="104"/>
      <c r="L1337" s="49"/>
      <c r="M1337" s="45"/>
      <c r="N1337" s="47"/>
    </row>
    <row r="1338" spans="1:14" ht="18" customHeight="1">
      <c r="A1338" s="42" t="s">
        <v>3</v>
      </c>
      <c r="B1338" s="9"/>
      <c r="C1338" s="103">
        <v>98.62</v>
      </c>
      <c r="D1338" s="104">
        <v>97.942999999999998</v>
      </c>
      <c r="E1338" s="104">
        <v>97.83</v>
      </c>
      <c r="F1338" s="104">
        <v>97.83</v>
      </c>
      <c r="G1338" s="104">
        <v>97.83</v>
      </c>
      <c r="H1338" s="104">
        <v>97.947999999999993</v>
      </c>
      <c r="I1338" s="104">
        <v>98.77</v>
      </c>
      <c r="J1338" s="104"/>
      <c r="K1338" s="104"/>
      <c r="L1338" s="49"/>
      <c r="M1338" s="45"/>
      <c r="N1338" s="52"/>
    </row>
    <row r="1339" spans="1:14" ht="18" customHeight="1">
      <c r="A1339" s="42" t="s">
        <v>18</v>
      </c>
      <c r="B1339" s="9"/>
      <c r="C1339" s="106">
        <f t="shared" ref="C1339" si="389">C1336-C1338</f>
        <v>0</v>
      </c>
      <c r="D1339" s="106">
        <f>D1338-D1336</f>
        <v>0.53300000000000125</v>
      </c>
      <c r="E1339" s="106">
        <f t="shared" ref="E1339" si="390">E1338-E1336</f>
        <v>0.42000000000000171</v>
      </c>
      <c r="F1339" s="106">
        <f t="shared" ref="F1339" si="391">F1338-F1336</f>
        <v>0.42000000000000171</v>
      </c>
      <c r="G1339" s="106">
        <f t="shared" ref="G1339" si="392">G1338-G1336</f>
        <v>0.42000000000000171</v>
      </c>
      <c r="H1339" s="106">
        <f t="shared" ref="H1339" si="393">H1338-H1336</f>
        <v>0.5379999999999967</v>
      </c>
      <c r="I1339" s="106">
        <f t="shared" ref="I1339" si="394">I1338-I1336</f>
        <v>0</v>
      </c>
      <c r="J1339" s="106"/>
      <c r="K1339" s="106"/>
      <c r="L1339" s="47"/>
      <c r="M1339" s="47"/>
      <c r="N1339" s="47"/>
    </row>
    <row r="1340" spans="1:14" ht="18" customHeight="1">
      <c r="A1340" s="42" t="s">
        <v>5</v>
      </c>
      <c r="B1340" s="9"/>
      <c r="C1340" s="106">
        <f t="shared" ref="C1340" si="395">(C1339+B1339)/2*(C1335-B1335)</f>
        <v>0</v>
      </c>
      <c r="D1340" s="106">
        <f>(D1339+C1339)/2*(D1335-C1335)</f>
        <v>0.15990000000000038</v>
      </c>
      <c r="E1340" s="106">
        <f t="shared" ref="E1340" si="396">(E1339+D1339)/2*(E1335-D1335)</f>
        <v>4.7650000000000137E-2</v>
      </c>
      <c r="F1340" s="106">
        <f t="shared" ref="F1340" si="397">(F1339+E1339)/2*(F1335-E1335)</f>
        <v>0.42000000000000171</v>
      </c>
      <c r="G1340" s="106">
        <f t="shared" ref="G1340" si="398">(G1339+F1339)/2*(G1335-F1335)</f>
        <v>0.42000000000000182</v>
      </c>
      <c r="H1340" s="106">
        <f t="shared" ref="H1340" si="399">(H1339+G1339)/2*(H1335-G1335)</f>
        <v>4.7899999999999748E-2</v>
      </c>
      <c r="I1340" s="106">
        <f t="shared" ref="I1340" si="400">(I1339+H1339)/2*(I1335-H1335)</f>
        <v>0.18829999999999888</v>
      </c>
      <c r="J1340" s="106"/>
      <c r="K1340" s="106"/>
      <c r="L1340" s="47"/>
      <c r="M1340" s="47"/>
      <c r="N1340" s="77">
        <f>SUM(B1340:M1340)</f>
        <v>1.2837500000000028</v>
      </c>
    </row>
    <row r="1341" spans="1:14" ht="18" customHeight="1">
      <c r="A1341" s="2"/>
      <c r="B1341" s="2"/>
      <c r="C1341" s="30"/>
      <c r="D1341" s="30"/>
      <c r="E1341" s="4"/>
      <c r="F1341" s="4"/>
      <c r="G1341" s="4"/>
      <c r="H1341" s="4"/>
      <c r="I1341" s="4"/>
      <c r="J1341" s="179" t="s">
        <v>6</v>
      </c>
      <c r="K1341" s="179"/>
      <c r="L1341" s="179"/>
      <c r="M1341" s="179"/>
      <c r="N1341" s="5">
        <f>N1340</f>
        <v>1.2837500000000028</v>
      </c>
    </row>
    <row r="1342" spans="1:14" ht="18" customHeight="1">
      <c r="A1342" s="24"/>
      <c r="B1342" s="78"/>
      <c r="C1342" s="18"/>
      <c r="D1342" s="18"/>
      <c r="E1342" s="21"/>
      <c r="F1342" s="21"/>
      <c r="G1342" s="21"/>
      <c r="H1342" s="21"/>
      <c r="I1342" s="21"/>
      <c r="J1342" s="21"/>
      <c r="K1342" s="21"/>
      <c r="L1342" s="21"/>
      <c r="M1342" s="21"/>
      <c r="N1342" s="21"/>
    </row>
    <row r="1343" spans="1:14" ht="14.1" customHeight="1">
      <c r="A1343" s="2"/>
      <c r="B1343" s="2"/>
      <c r="C1343" s="30"/>
      <c r="D1343" s="30"/>
      <c r="E1343" s="21"/>
      <c r="F1343" s="21"/>
      <c r="G1343" s="21"/>
      <c r="H1343" s="21"/>
      <c r="I1343" s="21"/>
      <c r="J1343" s="30"/>
      <c r="K1343" s="30"/>
      <c r="L1343" s="30"/>
      <c r="M1343" s="30"/>
      <c r="N1343" s="30"/>
    </row>
    <row r="1344" spans="1:14" ht="14.1" customHeight="1">
      <c r="A1344" s="6"/>
      <c r="B1344" s="6"/>
      <c r="C1344" s="7"/>
      <c r="D1344" s="7"/>
      <c r="E1344" s="7"/>
      <c r="F1344" s="7"/>
      <c r="G1344" s="7"/>
      <c r="H1344" s="7"/>
      <c r="I1344" s="7"/>
      <c r="K1344" s="7"/>
      <c r="L1344" s="7"/>
      <c r="M1344" s="7"/>
      <c r="N1344" s="7"/>
    </row>
    <row r="1345" spans="1:14" ht="14.1" customHeight="1">
      <c r="A1345" s="6"/>
      <c r="B1345" s="6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</row>
    <row r="1346" spans="1:14" ht="14.1" customHeight="1">
      <c r="A1346" s="6"/>
      <c r="B1346" s="6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</row>
    <row r="1347" spans="1:14" ht="14.1" customHeight="1">
      <c r="A1347" s="6"/>
      <c r="B1347" s="6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</row>
    <row r="1348" spans="1:14" ht="14.1" customHeight="1">
      <c r="A1348" s="6"/>
      <c r="B1348" s="6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</row>
    <row r="1349" spans="1:14" ht="14.1" customHeight="1">
      <c r="A1349" s="6"/>
      <c r="B1349" s="6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</row>
    <row r="1350" spans="1:14" ht="14.1" customHeight="1">
      <c r="A1350" s="6"/>
      <c r="B1350" s="6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</row>
    <row r="1351" spans="1:14" ht="14.1" customHeight="1">
      <c r="A1351" s="6"/>
      <c r="B1351" s="6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</row>
    <row r="1352" spans="1:14" ht="14.1" customHeight="1">
      <c r="A1352" s="6"/>
      <c r="B1352" s="6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</row>
    <row r="1353" spans="1:14" ht="14.1" customHeight="1">
      <c r="A1353" s="6"/>
      <c r="B1353" s="6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</row>
    <row r="1354" spans="1:14" ht="14.1" customHeight="1">
      <c r="A1354" s="6"/>
      <c r="B1354" s="6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</row>
    <row r="1355" spans="1:14" ht="14.1" customHeight="1">
      <c r="A1355" s="6"/>
      <c r="B1355" s="6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</row>
    <row r="1356" spans="1:14" ht="14.1" customHeight="1">
      <c r="A1356" s="6"/>
      <c r="B1356" s="6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</row>
    <row r="1357" spans="1:14" ht="14.1" customHeight="1">
      <c r="A1357" s="6"/>
      <c r="B1357" s="6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</row>
    <row r="1358" spans="1:14" ht="14.1" customHeight="1">
      <c r="A1358" s="6"/>
      <c r="B1358" s="6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</row>
    <row r="1359" spans="1:14" ht="14.1" customHeight="1">
      <c r="A1359" s="6"/>
      <c r="B1359" s="6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</row>
    <row r="1360" spans="1:14" ht="14.1" customHeight="1">
      <c r="A1360" s="6"/>
      <c r="B1360" s="6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</row>
    <row r="1361" spans="1:14" ht="14.1" customHeight="1">
      <c r="A1361" s="6"/>
      <c r="B1361" s="6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</row>
    <row r="1362" spans="1:14" ht="14.1" customHeight="1">
      <c r="A1362" s="6"/>
      <c r="B1362" s="6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</row>
    <row r="1363" spans="1:14" ht="14.1" customHeight="1">
      <c r="A1363" s="6"/>
      <c r="B1363" s="6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</row>
    <row r="1364" spans="1:14" ht="14.1" customHeight="1">
      <c r="A1364" s="6"/>
      <c r="B1364" s="6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</row>
    <row r="1365" spans="1:14" ht="14.1" customHeight="1">
      <c r="A1365" s="6"/>
      <c r="B1365" s="6"/>
      <c r="C1365" s="7"/>
      <c r="D1365" s="7"/>
      <c r="E1365" s="7"/>
      <c r="F1365" s="7"/>
      <c r="G1365" s="7"/>
      <c r="H1365" s="7"/>
      <c r="I1365" s="7"/>
      <c r="J1365" s="35"/>
      <c r="K1365" s="7"/>
      <c r="L1365" s="7"/>
      <c r="M1365" s="7"/>
      <c r="N1365" s="7"/>
    </row>
    <row r="1366" spans="1:14" ht="14.1" customHeight="1">
      <c r="A1366" s="6"/>
      <c r="B1366" s="6"/>
      <c r="C1366" s="7"/>
      <c r="D1366" s="7"/>
      <c r="E1366" s="7"/>
      <c r="F1366" s="7"/>
      <c r="G1366" s="7"/>
      <c r="H1366" s="7"/>
      <c r="I1366" s="7"/>
      <c r="J1366" s="30"/>
      <c r="K1366" s="7"/>
      <c r="L1366" s="7"/>
      <c r="M1366" s="7"/>
      <c r="N1366" s="7"/>
    </row>
    <row r="1367" spans="1:14" ht="14.1" customHeight="1">
      <c r="A1367" s="6"/>
      <c r="B1367" s="6"/>
      <c r="C1367" s="7"/>
      <c r="D1367" s="7"/>
      <c r="E1367" s="7"/>
      <c r="F1367" s="7"/>
      <c r="G1367" s="7"/>
      <c r="H1367" s="7"/>
      <c r="I1367" s="7"/>
      <c r="J1367" s="30"/>
      <c r="K1367" s="7"/>
      <c r="L1367" s="7"/>
      <c r="M1367" s="7"/>
      <c r="N1367" s="7"/>
    </row>
    <row r="1368" spans="1:14" ht="14.1" customHeight="1">
      <c r="A1368" s="6"/>
      <c r="B1368" s="6"/>
      <c r="C1368" s="7"/>
      <c r="D1368" s="7"/>
      <c r="E1368" s="7"/>
      <c r="F1368" s="7"/>
      <c r="G1368" s="7"/>
      <c r="H1368" s="7"/>
      <c r="I1368" s="7"/>
      <c r="J1368" s="30"/>
      <c r="K1368" s="7"/>
      <c r="L1368" s="7"/>
      <c r="M1368" s="7"/>
      <c r="N1368" s="7"/>
    </row>
    <row r="1369" spans="1:14" ht="14.1" customHeight="1">
      <c r="A1369" s="6"/>
      <c r="B1369" s="6"/>
      <c r="C1369" s="7"/>
      <c r="D1369" s="7"/>
      <c r="E1369" s="7"/>
      <c r="F1369" s="7"/>
      <c r="G1369" s="7"/>
      <c r="H1369" s="7"/>
      <c r="I1369" s="7"/>
      <c r="J1369" s="30"/>
      <c r="K1369" s="7"/>
      <c r="L1369" s="7"/>
      <c r="M1369" s="7"/>
      <c r="N1369" s="7"/>
    </row>
    <row r="1370" spans="1:14" ht="14.1" customHeight="1">
      <c r="A1370" s="6"/>
      <c r="B1370" s="6"/>
      <c r="C1370" s="7"/>
      <c r="D1370" s="7"/>
      <c r="E1370" s="7"/>
      <c r="F1370" s="7"/>
      <c r="G1370" s="7"/>
      <c r="H1370" s="7"/>
      <c r="I1370" s="7"/>
      <c r="J1370" s="30"/>
      <c r="K1370" s="7"/>
      <c r="L1370" s="7"/>
      <c r="M1370" s="7"/>
      <c r="N1370" s="7"/>
    </row>
    <row r="1371" spans="1:14" ht="14.1" customHeight="1">
      <c r="A1371" s="6"/>
      <c r="B1371" s="6"/>
      <c r="C1371" s="7"/>
      <c r="D1371" s="7"/>
      <c r="E1371" s="7"/>
      <c r="F1371" s="7"/>
      <c r="G1371" s="7"/>
      <c r="H1371" s="7"/>
      <c r="I1371" s="7"/>
      <c r="J1371" s="30"/>
      <c r="K1371" s="7"/>
      <c r="L1371" s="7"/>
      <c r="M1371" s="7"/>
      <c r="N1371" s="7"/>
    </row>
    <row r="1372" spans="1:14" ht="14.1" customHeight="1">
      <c r="A1372" s="6"/>
      <c r="B1372" s="6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</row>
    <row r="1373" spans="1:14" ht="14.1" customHeight="1"/>
    <row r="1374" spans="1:14" ht="14.1" customHeight="1"/>
    <row r="1375" spans="1:14" ht="18" customHeight="1">
      <c r="A1375" s="184" t="s">
        <v>0</v>
      </c>
      <c r="B1375" s="185"/>
      <c r="C1375" s="185"/>
      <c r="D1375" s="185"/>
      <c r="E1375" s="185"/>
      <c r="F1375" s="185"/>
      <c r="G1375" s="20">
        <v>1980</v>
      </c>
      <c r="H1375" s="1" t="s">
        <v>15</v>
      </c>
      <c r="I1375" s="1"/>
      <c r="J1375" s="33"/>
      <c r="K1375" s="1"/>
      <c r="L1375" s="1"/>
      <c r="M1375" s="1"/>
      <c r="N1375" s="1"/>
    </row>
    <row r="1376" spans="1:14" ht="18" customHeight="1">
      <c r="A1376" s="42" t="s">
        <v>1</v>
      </c>
      <c r="B1376" s="43"/>
      <c r="C1376" s="44">
        <v>0</v>
      </c>
      <c r="D1376" s="45">
        <v>0.6</v>
      </c>
      <c r="E1376" s="45">
        <v>0.7</v>
      </c>
      <c r="F1376" s="46">
        <v>1.7</v>
      </c>
      <c r="G1376" s="46">
        <v>2.7</v>
      </c>
      <c r="H1376" s="45">
        <v>2.8</v>
      </c>
      <c r="I1376" s="47">
        <v>3.6</v>
      </c>
      <c r="J1376" s="47"/>
      <c r="K1376" s="45"/>
      <c r="L1376" s="49"/>
      <c r="M1376" s="45"/>
      <c r="N1376" s="47"/>
    </row>
    <row r="1377" spans="1:14" ht="18" customHeight="1">
      <c r="A1377" s="42" t="s">
        <v>2</v>
      </c>
      <c r="B1377" s="43"/>
      <c r="C1377" s="44">
        <v>98.55</v>
      </c>
      <c r="D1377" s="45">
        <v>97.31</v>
      </c>
      <c r="E1377" s="45">
        <v>97.31</v>
      </c>
      <c r="F1377" s="45">
        <v>97.31</v>
      </c>
      <c r="G1377" s="45">
        <v>97.31</v>
      </c>
      <c r="H1377" s="45">
        <v>97.31</v>
      </c>
      <c r="I1377" s="45">
        <v>98.73</v>
      </c>
      <c r="J1377" s="45"/>
      <c r="K1377" s="45"/>
      <c r="L1377" s="49"/>
      <c r="M1377" s="45"/>
      <c r="N1377" s="47"/>
    </row>
    <row r="1378" spans="1:14" ht="18" customHeight="1">
      <c r="A1378" s="42" t="s">
        <v>1</v>
      </c>
      <c r="B1378" s="43"/>
      <c r="C1378" s="44">
        <v>0</v>
      </c>
      <c r="D1378" s="45">
        <v>0.6</v>
      </c>
      <c r="E1378" s="45">
        <v>0.7</v>
      </c>
      <c r="F1378" s="46">
        <v>1.7</v>
      </c>
      <c r="G1378" s="46">
        <v>2.7</v>
      </c>
      <c r="H1378" s="45">
        <v>2.8</v>
      </c>
      <c r="I1378" s="47">
        <v>3.6</v>
      </c>
      <c r="J1378" s="47"/>
      <c r="K1378" s="45"/>
      <c r="L1378" s="49"/>
      <c r="M1378" s="45"/>
      <c r="N1378" s="47"/>
    </row>
    <row r="1379" spans="1:14" ht="18" customHeight="1">
      <c r="A1379" s="42" t="s">
        <v>3</v>
      </c>
      <c r="B1379" s="9"/>
      <c r="C1379" s="44">
        <v>98.55</v>
      </c>
      <c r="D1379" s="45">
        <v>97.864000000000004</v>
      </c>
      <c r="E1379" s="45">
        <v>97.75</v>
      </c>
      <c r="F1379" s="45">
        <v>97.75</v>
      </c>
      <c r="G1379" s="45">
        <v>97.75</v>
      </c>
      <c r="H1379" s="45">
        <v>97.858999999999995</v>
      </c>
      <c r="I1379" s="45">
        <v>98.73</v>
      </c>
      <c r="J1379" s="45"/>
      <c r="K1379" s="45"/>
      <c r="L1379" s="49"/>
      <c r="M1379" s="45"/>
      <c r="N1379" s="52"/>
    </row>
    <row r="1380" spans="1:14" ht="18" customHeight="1">
      <c r="A1380" s="42" t="s">
        <v>18</v>
      </c>
      <c r="B1380" s="9"/>
      <c r="C1380" s="47">
        <f t="shared" ref="C1380" si="401">C1377-C1379</f>
        <v>0</v>
      </c>
      <c r="D1380" s="47">
        <f>D1379-D1377</f>
        <v>0.55400000000000205</v>
      </c>
      <c r="E1380" s="47">
        <f t="shared" ref="E1380" si="402">E1379-E1377</f>
        <v>0.43999999999999773</v>
      </c>
      <c r="F1380" s="47">
        <f t="shared" ref="F1380" si="403">F1379-F1377</f>
        <v>0.43999999999999773</v>
      </c>
      <c r="G1380" s="47">
        <f t="shared" ref="G1380" si="404">G1379-G1377</f>
        <v>0.43999999999999773</v>
      </c>
      <c r="H1380" s="47">
        <f t="shared" ref="H1380" si="405">H1379-H1377</f>
        <v>0.54899999999999238</v>
      </c>
      <c r="I1380" s="47">
        <f t="shared" ref="I1380" si="406">I1379-I1377</f>
        <v>0</v>
      </c>
      <c r="J1380" s="47"/>
      <c r="K1380" s="47"/>
      <c r="L1380" s="47"/>
      <c r="M1380" s="47"/>
      <c r="N1380" s="47"/>
    </row>
    <row r="1381" spans="1:14" ht="18" customHeight="1">
      <c r="A1381" s="42" t="s">
        <v>5</v>
      </c>
      <c r="B1381" s="9"/>
      <c r="C1381" s="47">
        <f t="shared" ref="C1381" si="407">(C1380+B1380)/2*(C1376-B1376)</f>
        <v>0</v>
      </c>
      <c r="D1381" s="47">
        <f>(D1380+C1380)/2*(D1376-C1376)</f>
        <v>0.1662000000000006</v>
      </c>
      <c r="E1381" s="47">
        <f t="shared" ref="E1381" si="408">(E1380+D1380)/2*(E1376-D1376)</f>
        <v>4.969999999999998E-2</v>
      </c>
      <c r="F1381" s="47">
        <f t="shared" ref="F1381" si="409">(F1380+E1380)/2*(F1376-E1376)</f>
        <v>0.43999999999999773</v>
      </c>
      <c r="G1381" s="47">
        <f t="shared" ref="G1381" si="410">(G1380+F1380)/2*(G1376-F1376)</f>
        <v>0.43999999999999784</v>
      </c>
      <c r="H1381" s="47">
        <f t="shared" ref="H1381" si="411">(H1380+G1380)/2*(H1376-G1376)</f>
        <v>4.9449999999999328E-2</v>
      </c>
      <c r="I1381" s="47">
        <f t="shared" ref="I1381" si="412">(I1380+H1380)/2*(I1376-H1376)</f>
        <v>0.21959999999999702</v>
      </c>
      <c r="J1381" s="47"/>
      <c r="K1381" s="47"/>
      <c r="L1381" s="47"/>
      <c r="M1381" s="47"/>
      <c r="N1381" s="77">
        <f>SUM(B1381:M1381)</f>
        <v>1.3649499999999928</v>
      </c>
    </row>
    <row r="1382" spans="1:14" ht="18" customHeight="1">
      <c r="A1382" s="2"/>
      <c r="B1382" s="2"/>
      <c r="C1382" s="30"/>
      <c r="D1382" s="30"/>
      <c r="E1382" s="4"/>
      <c r="F1382" s="4"/>
      <c r="G1382" s="4"/>
      <c r="H1382" s="4"/>
      <c r="I1382" s="4"/>
      <c r="J1382" s="179" t="s">
        <v>6</v>
      </c>
      <c r="K1382" s="179"/>
      <c r="L1382" s="179"/>
      <c r="M1382" s="179"/>
      <c r="N1382" s="5">
        <f>N1381</f>
        <v>1.3649499999999928</v>
      </c>
    </row>
    <row r="1383" spans="1:14" ht="18" customHeight="1">
      <c r="A1383" s="24"/>
      <c r="B1383" s="78"/>
      <c r="C1383" s="18"/>
      <c r="D1383" s="18"/>
      <c r="E1383" s="21"/>
      <c r="F1383" s="21"/>
      <c r="G1383" s="21"/>
      <c r="H1383" s="21"/>
      <c r="I1383" s="21"/>
      <c r="J1383" s="21"/>
      <c r="K1383" s="21"/>
      <c r="L1383" s="21"/>
      <c r="M1383" s="21"/>
      <c r="N1383" s="21"/>
    </row>
    <row r="1384" spans="1:14" ht="14.1" customHeight="1">
      <c r="A1384" s="2"/>
      <c r="B1384" s="2"/>
      <c r="C1384" s="30"/>
      <c r="D1384" s="30"/>
      <c r="E1384" s="21"/>
      <c r="F1384" s="21"/>
      <c r="G1384" s="21"/>
      <c r="H1384" s="21"/>
      <c r="I1384" s="21"/>
      <c r="J1384" s="30"/>
      <c r="K1384" s="30"/>
      <c r="L1384" s="30"/>
      <c r="M1384" s="30"/>
      <c r="N1384" s="30"/>
    </row>
    <row r="1385" spans="1:14" ht="14.1" customHeight="1">
      <c r="A1385" s="6"/>
      <c r="B1385" s="6"/>
      <c r="C1385" s="7"/>
      <c r="D1385" s="7"/>
      <c r="E1385" s="7"/>
      <c r="F1385" s="7"/>
      <c r="G1385" s="7"/>
      <c r="H1385" s="7"/>
      <c r="I1385" s="7"/>
      <c r="K1385" s="7"/>
      <c r="L1385" s="7"/>
      <c r="M1385" s="7"/>
      <c r="N1385" s="7"/>
    </row>
    <row r="1386" spans="1:14" ht="14.1" customHeight="1">
      <c r="A1386" s="6"/>
      <c r="B1386" s="6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</row>
    <row r="1387" spans="1:14" ht="14.1" customHeight="1">
      <c r="A1387" s="6"/>
      <c r="B1387" s="6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</row>
    <row r="1388" spans="1:14" ht="14.1" customHeight="1">
      <c r="A1388" s="6"/>
      <c r="B1388" s="6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</row>
    <row r="1389" spans="1:14" ht="14.1" customHeight="1">
      <c r="A1389" s="6"/>
      <c r="B1389" s="6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</row>
    <row r="1390" spans="1:14" ht="14.1" customHeight="1">
      <c r="A1390" s="6"/>
      <c r="B1390" s="6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</row>
    <row r="1391" spans="1:14" ht="14.1" customHeight="1">
      <c r="A1391" s="6"/>
      <c r="B1391" s="6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</row>
    <row r="1392" spans="1:14" ht="14.1" customHeight="1">
      <c r="A1392" s="6"/>
      <c r="B1392" s="6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</row>
    <row r="1393" spans="1:14" ht="14.1" customHeight="1">
      <c r="A1393" s="6"/>
      <c r="B1393" s="6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</row>
    <row r="1394" spans="1:14" ht="14.1" customHeight="1">
      <c r="A1394" s="6"/>
      <c r="B1394" s="6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</row>
    <row r="1395" spans="1:14" ht="14.1" customHeight="1">
      <c r="A1395" s="6"/>
      <c r="B1395" s="6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</row>
    <row r="1396" spans="1:14" ht="14.1" customHeight="1">
      <c r="A1396" s="6"/>
      <c r="B1396" s="6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</row>
    <row r="1397" spans="1:14" ht="14.1" customHeight="1">
      <c r="A1397" s="6"/>
      <c r="B1397" s="6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</row>
    <row r="1398" spans="1:14" ht="14.1" customHeight="1">
      <c r="A1398" s="6"/>
      <c r="B1398" s="6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</row>
    <row r="1399" spans="1:14" ht="14.1" customHeight="1">
      <c r="A1399" s="6"/>
      <c r="B1399" s="6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</row>
    <row r="1400" spans="1:14" ht="14.1" customHeight="1">
      <c r="A1400" s="6"/>
      <c r="B1400" s="6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</row>
    <row r="1401" spans="1:14" ht="14.1" customHeight="1">
      <c r="A1401" s="6"/>
      <c r="B1401" s="6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</row>
    <row r="1402" spans="1:14" ht="14.1" customHeight="1">
      <c r="A1402" s="6"/>
      <c r="B1402" s="6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</row>
    <row r="1403" spans="1:14" ht="14.1" customHeight="1">
      <c r="A1403" s="6"/>
      <c r="B1403" s="6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</row>
    <row r="1404" spans="1:14" ht="14.1" customHeight="1">
      <c r="A1404" s="6"/>
      <c r="B1404" s="6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</row>
    <row r="1405" spans="1:14" ht="14.1" customHeight="1">
      <c r="A1405" s="6"/>
      <c r="B1405" s="6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</row>
    <row r="1406" spans="1:14" ht="14.1" customHeight="1">
      <c r="A1406" s="6"/>
      <c r="B1406" s="6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</row>
    <row r="1407" spans="1:14" ht="14.1" customHeight="1">
      <c r="A1407" s="6"/>
      <c r="B1407" s="6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</row>
    <row r="1408" spans="1:14" ht="14.1" customHeight="1">
      <c r="A1408" s="6"/>
      <c r="B1408" s="6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</row>
    <row r="1409" spans="1:15" ht="14.1" customHeight="1">
      <c r="A1409" s="6"/>
      <c r="B1409" s="6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</row>
    <row r="1410" spans="1:15" ht="14.1" customHeight="1">
      <c r="A1410" s="6"/>
      <c r="B1410" s="6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</row>
    <row r="1411" spans="1:15" ht="14.1" customHeight="1">
      <c r="A1411" s="6"/>
      <c r="B1411" s="6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</row>
    <row r="1412" spans="1:15" ht="14.1" customHeight="1">
      <c r="A1412" s="6"/>
      <c r="B1412" s="6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</row>
    <row r="1413" spans="1:15" ht="14.1" customHeight="1">
      <c r="A1413" s="6"/>
      <c r="B1413" s="6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</row>
    <row r="1414" spans="1:15" ht="14.1" customHeight="1">
      <c r="A1414" s="6"/>
      <c r="B1414" s="6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</row>
    <row r="1415" spans="1:15" ht="14.1" customHeight="1">
      <c r="A1415" s="6"/>
      <c r="B1415" s="6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</row>
    <row r="1416" spans="1:15" ht="14.1" customHeight="1">
      <c r="A1416" s="6"/>
      <c r="B1416" s="6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</row>
    <row r="1417" spans="1:15" ht="14.1" customHeight="1">
      <c r="A1417" s="6"/>
      <c r="B1417" s="6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</row>
    <row r="1418" spans="1:15" ht="18.75" customHeight="1">
      <c r="A1418" s="184" t="s">
        <v>0</v>
      </c>
      <c r="B1418" s="185"/>
      <c r="C1418" s="185"/>
      <c r="D1418" s="185"/>
      <c r="E1418" s="185"/>
      <c r="F1418" s="185"/>
      <c r="G1418" s="20">
        <v>2040</v>
      </c>
      <c r="H1418" s="1" t="s">
        <v>15</v>
      </c>
      <c r="I1418" s="1"/>
      <c r="J1418" s="32"/>
      <c r="K1418" s="1"/>
      <c r="L1418" s="1"/>
      <c r="M1418" s="1"/>
      <c r="N1418" s="1"/>
    </row>
    <row r="1419" spans="1:15" ht="18.75" customHeight="1">
      <c r="A1419" s="42" t="s">
        <v>1</v>
      </c>
      <c r="B1419" s="102"/>
      <c r="C1419" s="103">
        <v>0</v>
      </c>
      <c r="D1419" s="104">
        <v>0.6</v>
      </c>
      <c r="E1419" s="104">
        <v>0.7</v>
      </c>
      <c r="F1419" s="105">
        <v>1.7</v>
      </c>
      <c r="G1419" s="105">
        <v>2.7</v>
      </c>
      <c r="H1419" s="104">
        <v>2.8</v>
      </c>
      <c r="I1419" s="106">
        <v>3.5</v>
      </c>
      <c r="J1419" s="106"/>
      <c r="K1419" s="104"/>
      <c r="L1419" s="107"/>
      <c r="M1419" s="45"/>
      <c r="N1419" s="47"/>
      <c r="O1419" s="22"/>
    </row>
    <row r="1420" spans="1:15" ht="18.75" customHeight="1">
      <c r="A1420" s="42" t="s">
        <v>2</v>
      </c>
      <c r="B1420" s="102"/>
      <c r="C1420" s="103">
        <v>98.68</v>
      </c>
      <c r="D1420" s="104">
        <v>97.28</v>
      </c>
      <c r="E1420" s="104">
        <v>97.28</v>
      </c>
      <c r="F1420" s="104">
        <v>97.28</v>
      </c>
      <c r="G1420" s="104">
        <v>97.28</v>
      </c>
      <c r="H1420" s="104">
        <v>97.28</v>
      </c>
      <c r="I1420" s="104">
        <v>98.85</v>
      </c>
      <c r="J1420" s="104"/>
      <c r="K1420" s="104"/>
      <c r="L1420" s="107"/>
      <c r="M1420" s="45"/>
      <c r="N1420" s="47"/>
      <c r="O1420" s="21"/>
    </row>
    <row r="1421" spans="1:15" ht="18.75" customHeight="1">
      <c r="A1421" s="42" t="s">
        <v>1</v>
      </c>
      <c r="B1421" s="102"/>
      <c r="C1421" s="103">
        <v>0</v>
      </c>
      <c r="D1421" s="104">
        <v>0.6</v>
      </c>
      <c r="E1421" s="104">
        <v>0.7</v>
      </c>
      <c r="F1421" s="105">
        <v>1.7</v>
      </c>
      <c r="G1421" s="105">
        <v>2.7</v>
      </c>
      <c r="H1421" s="104">
        <v>2.8</v>
      </c>
      <c r="I1421" s="106">
        <v>3.5</v>
      </c>
      <c r="J1421" s="106"/>
      <c r="K1421" s="104"/>
      <c r="L1421" s="107"/>
      <c r="M1421" s="45"/>
      <c r="N1421" s="47"/>
      <c r="O1421" s="22"/>
    </row>
    <row r="1422" spans="1:15" ht="18.75" customHeight="1">
      <c r="A1422" s="42" t="s">
        <v>3</v>
      </c>
      <c r="B1422" s="108"/>
      <c r="C1422" s="103">
        <v>98.68</v>
      </c>
      <c r="D1422" s="104">
        <v>97.837999999999994</v>
      </c>
      <c r="E1422" s="104">
        <v>97.7</v>
      </c>
      <c r="F1422" s="104">
        <v>97.7</v>
      </c>
      <c r="G1422" s="104">
        <v>97.7</v>
      </c>
      <c r="H1422" s="104">
        <v>97.843999999999994</v>
      </c>
      <c r="I1422" s="104">
        <v>98.85</v>
      </c>
      <c r="J1422" s="104"/>
      <c r="K1422" s="104"/>
      <c r="L1422" s="107"/>
      <c r="M1422" s="45"/>
      <c r="N1422" s="52"/>
      <c r="O1422" s="23"/>
    </row>
    <row r="1423" spans="1:15" ht="18.75" customHeight="1">
      <c r="A1423" s="42" t="s">
        <v>18</v>
      </c>
      <c r="B1423" s="108"/>
      <c r="C1423" s="106">
        <f t="shared" ref="C1423" si="413">C1420-C1422</f>
        <v>0</v>
      </c>
      <c r="D1423" s="106">
        <f>D1422-D1420</f>
        <v>0.55799999999999272</v>
      </c>
      <c r="E1423" s="106">
        <f t="shared" ref="E1423" si="414">E1422-E1420</f>
        <v>0.42000000000000171</v>
      </c>
      <c r="F1423" s="106">
        <f t="shared" ref="F1423" si="415">F1422-F1420</f>
        <v>0.42000000000000171</v>
      </c>
      <c r="G1423" s="106">
        <f t="shared" ref="G1423" si="416">G1422-G1420</f>
        <v>0.42000000000000171</v>
      </c>
      <c r="H1423" s="106">
        <f t="shared" ref="H1423" si="417">H1422-H1420</f>
        <v>0.56399999999999295</v>
      </c>
      <c r="I1423" s="106">
        <f t="shared" ref="I1423" si="418">I1422-I1420</f>
        <v>0</v>
      </c>
      <c r="J1423" s="106"/>
      <c r="K1423" s="106"/>
      <c r="L1423" s="106"/>
      <c r="M1423" s="47"/>
      <c r="N1423" s="47"/>
      <c r="O1423" s="21"/>
    </row>
    <row r="1424" spans="1:15" ht="18.75" customHeight="1">
      <c r="A1424" s="42" t="s">
        <v>5</v>
      </c>
      <c r="B1424" s="9"/>
      <c r="C1424" s="47">
        <f t="shared" ref="C1424" si="419">(C1423+B1423)/2*(C1419-B1419)</f>
        <v>0</v>
      </c>
      <c r="D1424" s="47">
        <f>(D1423+C1423)/2*(D1419-C1419)</f>
        <v>0.1673999999999978</v>
      </c>
      <c r="E1424" s="47">
        <f t="shared" ref="E1424" si="420">(E1423+D1423)/2*(E1419-D1419)</f>
        <v>4.8899999999999708E-2</v>
      </c>
      <c r="F1424" s="47">
        <f t="shared" ref="F1424" si="421">(F1423+E1423)/2*(F1419-E1419)</f>
        <v>0.42000000000000171</v>
      </c>
      <c r="G1424" s="47">
        <f t="shared" ref="G1424" si="422">(G1423+F1423)/2*(G1419-F1419)</f>
        <v>0.42000000000000182</v>
      </c>
      <c r="H1424" s="47">
        <f t="shared" ref="H1424" si="423">(H1423+G1423)/2*(H1419-G1419)</f>
        <v>4.9199999999999557E-2</v>
      </c>
      <c r="I1424" s="47">
        <f t="shared" ref="I1424" si="424">(I1423+H1423)/2*(I1419-H1419)</f>
        <v>0.19739999999999758</v>
      </c>
      <c r="J1424" s="47"/>
      <c r="K1424" s="47"/>
      <c r="L1424" s="47"/>
      <c r="M1424" s="47"/>
      <c r="N1424" s="77">
        <f>SUM(B1424:M1424)</f>
        <v>1.3028999999999982</v>
      </c>
      <c r="O1424" s="21"/>
    </row>
    <row r="1425" spans="1:15" ht="18.75" customHeight="1">
      <c r="A1425" s="2"/>
      <c r="B1425" s="2"/>
      <c r="C1425" s="30"/>
      <c r="D1425" s="30"/>
      <c r="E1425" s="4"/>
      <c r="F1425" s="4"/>
      <c r="G1425" s="4"/>
      <c r="H1425" s="4"/>
      <c r="I1425" s="4"/>
      <c r="J1425" s="179" t="s">
        <v>6</v>
      </c>
      <c r="K1425" s="179"/>
      <c r="L1425" s="179"/>
      <c r="M1425" s="179"/>
      <c r="N1425" s="5">
        <f>N1424</f>
        <v>1.3028999999999982</v>
      </c>
      <c r="O1425" s="21"/>
    </row>
    <row r="1426" spans="1:15" ht="18.75" customHeight="1">
      <c r="A1426" s="24"/>
      <c r="B1426" s="78"/>
      <c r="C1426" s="18"/>
      <c r="D1426" s="18"/>
      <c r="E1426" s="21"/>
      <c r="F1426" s="21"/>
      <c r="G1426" s="21"/>
      <c r="H1426" s="21"/>
      <c r="I1426" s="21"/>
      <c r="J1426" s="21"/>
      <c r="K1426" s="21"/>
      <c r="L1426" s="21"/>
      <c r="M1426" s="21"/>
      <c r="N1426" s="21"/>
      <c r="O1426" s="21"/>
    </row>
    <row r="1427" spans="1:15" ht="18.75" customHeight="1">
      <c r="A1427" s="2"/>
      <c r="B1427" s="2"/>
      <c r="C1427" s="30"/>
      <c r="D1427" s="30"/>
      <c r="E1427" s="21"/>
      <c r="F1427" s="21"/>
      <c r="G1427" s="21"/>
      <c r="H1427" s="21"/>
      <c r="I1427" s="21"/>
      <c r="J1427" s="30"/>
      <c r="K1427" s="30"/>
      <c r="L1427" s="30"/>
      <c r="M1427" s="30"/>
      <c r="N1427" s="30"/>
    </row>
    <row r="1428" spans="1:15" ht="14.1" customHeight="1">
      <c r="A1428" s="6"/>
      <c r="B1428" s="6"/>
      <c r="C1428" s="7"/>
      <c r="D1428" s="7"/>
      <c r="E1428" s="7"/>
      <c r="F1428" s="7"/>
      <c r="G1428" s="7"/>
      <c r="H1428" s="7"/>
      <c r="I1428" s="7"/>
      <c r="K1428" s="7"/>
      <c r="L1428" s="7"/>
      <c r="M1428" s="7"/>
      <c r="N1428" s="7"/>
    </row>
    <row r="1429" spans="1:15" ht="14.1" customHeight="1">
      <c r="A1429" s="6"/>
      <c r="B1429" s="6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</row>
    <row r="1430" spans="1:15" ht="14.1" customHeight="1">
      <c r="A1430" s="6"/>
      <c r="B1430" s="6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</row>
    <row r="1431" spans="1:15" ht="14.1" customHeight="1">
      <c r="A1431" s="6"/>
      <c r="B1431" s="6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</row>
    <row r="1432" spans="1:15" ht="14.1" customHeight="1">
      <c r="A1432" s="6"/>
      <c r="B1432" s="6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</row>
    <row r="1433" spans="1:15" ht="14.1" customHeight="1">
      <c r="A1433" s="6"/>
      <c r="B1433" s="6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</row>
    <row r="1434" spans="1:15" ht="14.1" customHeight="1">
      <c r="A1434" s="6"/>
      <c r="B1434" s="6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</row>
    <row r="1435" spans="1:15" ht="14.1" customHeight="1">
      <c r="A1435" s="6"/>
      <c r="B1435" s="6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</row>
    <row r="1436" spans="1:15" ht="14.1" customHeight="1">
      <c r="A1436" s="6"/>
      <c r="B1436" s="6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</row>
    <row r="1437" spans="1:15" ht="14.1" customHeight="1">
      <c r="A1437" s="6"/>
      <c r="B1437" s="6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</row>
    <row r="1438" spans="1:15" ht="14.1" customHeight="1">
      <c r="A1438" s="6"/>
      <c r="B1438" s="6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</row>
    <row r="1439" spans="1:15" ht="14.1" customHeight="1">
      <c r="A1439" s="6"/>
      <c r="B1439" s="6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</row>
    <row r="1440" spans="1:15" ht="14.1" customHeight="1">
      <c r="A1440" s="6"/>
      <c r="B1440" s="6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</row>
    <row r="1441" spans="1:14" ht="14.1" customHeight="1">
      <c r="A1441" s="6"/>
      <c r="B1441" s="6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</row>
    <row r="1442" spans="1:14" ht="14.1" customHeight="1">
      <c r="A1442" s="6"/>
      <c r="B1442" s="6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</row>
    <row r="1443" spans="1:14" ht="14.1" customHeight="1">
      <c r="A1443" s="6"/>
      <c r="B1443" s="6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</row>
    <row r="1444" spans="1:14" ht="14.1" customHeight="1">
      <c r="A1444" s="6"/>
      <c r="B1444" s="6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</row>
    <row r="1445" spans="1:14" ht="14.1" customHeight="1">
      <c r="A1445" s="6"/>
      <c r="B1445" s="6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</row>
    <row r="1446" spans="1:14" ht="14.1" customHeight="1">
      <c r="A1446" s="6"/>
      <c r="B1446" s="6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</row>
    <row r="1447" spans="1:14" ht="14.1" customHeight="1">
      <c r="A1447" s="6"/>
      <c r="B1447" s="6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</row>
    <row r="1448" spans="1:14" ht="14.1" customHeight="1">
      <c r="A1448" s="6"/>
      <c r="B1448" s="6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</row>
    <row r="1449" spans="1:14" ht="14.1" customHeight="1">
      <c r="A1449" s="6"/>
      <c r="B1449" s="6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</row>
    <row r="1450" spans="1:14" ht="14.1" customHeight="1">
      <c r="A1450" s="6"/>
      <c r="B1450" s="6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</row>
    <row r="1451" spans="1:14" ht="14.1" customHeight="1">
      <c r="A1451" s="6"/>
      <c r="B1451" s="6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</row>
    <row r="1452" spans="1:14" ht="14.1" customHeight="1">
      <c r="A1452" s="6"/>
      <c r="B1452" s="6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</row>
    <row r="1453" spans="1:14" ht="14.1" customHeight="1"/>
    <row r="1454" spans="1:14" ht="14.1" customHeight="1"/>
    <row r="1455" spans="1:14" ht="14.1" customHeight="1"/>
    <row r="1456" spans="1:14" ht="14.1" customHeight="1"/>
    <row r="1457" ht="14.1" customHeight="1"/>
    <row r="1458" ht="14.1" customHeight="1"/>
    <row r="1459" ht="14.1" customHeight="1"/>
    <row r="1460" ht="14.1" customHeight="1"/>
    <row r="1461" ht="14.1" customHeight="1"/>
    <row r="1462" ht="14.1" customHeight="1"/>
    <row r="1463" ht="14.1" customHeight="1"/>
    <row r="1464" ht="14.1" customHeight="1"/>
    <row r="1465" ht="14.1" customHeight="1"/>
    <row r="1466" ht="14.1" customHeight="1"/>
    <row r="1467" ht="14.1" customHeight="1"/>
    <row r="1468" ht="14.1" customHeight="1"/>
    <row r="1469" ht="14.1" customHeight="1"/>
    <row r="1470" ht="14.1" customHeight="1"/>
    <row r="1471" ht="14.1" customHeight="1"/>
    <row r="1472" ht="14.1" customHeight="1"/>
    <row r="1473" ht="14.1" customHeight="1"/>
    <row r="1474" ht="14.1" customHeight="1"/>
    <row r="1475" ht="14.1" customHeight="1"/>
    <row r="1476" ht="14.1" customHeight="1"/>
    <row r="1477" ht="14.1" customHeight="1"/>
    <row r="1478" ht="14.1" customHeight="1"/>
    <row r="1479" ht="14.1" customHeight="1"/>
    <row r="1480" ht="14.1" customHeight="1"/>
    <row r="1481" ht="14.1" customHeight="1"/>
    <row r="1482" ht="14.1" customHeight="1"/>
    <row r="1483" ht="14.1" customHeight="1"/>
    <row r="1484" ht="14.1" customHeight="1"/>
    <row r="1485" ht="14.1" customHeight="1"/>
    <row r="1486" ht="14.1" customHeight="1"/>
    <row r="1487" ht="14.1" customHeight="1"/>
    <row r="1488" ht="14.1" customHeight="1"/>
    <row r="1489" ht="14.1" customHeight="1"/>
    <row r="1490" ht="14.1" customHeight="1"/>
    <row r="1491" ht="14.1" customHeight="1"/>
    <row r="1492" ht="14.1" customHeight="1"/>
    <row r="1493" ht="14.1" customHeight="1"/>
    <row r="1494" ht="14.1" customHeight="1"/>
    <row r="1495" ht="14.1" customHeight="1"/>
    <row r="1496" ht="14.1" customHeight="1"/>
    <row r="1497" ht="14.1" customHeight="1"/>
    <row r="1498" ht="14.1" customHeight="1"/>
    <row r="1499" ht="14.1" customHeight="1"/>
    <row r="1500" ht="14.1" customHeight="1"/>
    <row r="1501" ht="14.1" customHeight="1"/>
    <row r="1502" ht="14.1" customHeight="1"/>
    <row r="1503" ht="14.1" customHeight="1"/>
    <row r="1504" ht="14.1" customHeight="1"/>
    <row r="1505" ht="14.1" customHeight="1"/>
    <row r="1506" ht="14.1" customHeight="1"/>
    <row r="1507" ht="14.1" customHeight="1"/>
    <row r="1508" ht="14.1" customHeight="1"/>
    <row r="1509" ht="14.1" customHeight="1"/>
    <row r="1510" ht="14.1" customHeight="1"/>
    <row r="1511" ht="14.1" customHeight="1"/>
    <row r="1512" ht="14.1" customHeight="1"/>
    <row r="1513" ht="14.1" customHeight="1"/>
    <row r="1514" ht="14.1" customHeight="1"/>
    <row r="1515" ht="14.1" customHeight="1"/>
    <row r="1516" ht="14.1" customHeight="1"/>
    <row r="1517" ht="14.1" customHeight="1"/>
    <row r="1518" ht="14.1" customHeight="1"/>
    <row r="1519" ht="14.1" customHeight="1"/>
    <row r="1520" ht="14.1" customHeight="1"/>
    <row r="1521" ht="14.1" customHeight="1"/>
    <row r="1522" ht="14.1" customHeight="1"/>
    <row r="1523" ht="14.1" customHeight="1"/>
    <row r="1524" ht="14.1" customHeight="1"/>
    <row r="1525" ht="14.1" customHeight="1"/>
    <row r="1526" ht="14.1" customHeight="1"/>
    <row r="1527" ht="14.1" customHeight="1"/>
    <row r="1528" ht="14.1" customHeight="1"/>
    <row r="1529" ht="14.1" customHeight="1"/>
    <row r="1530" ht="14.1" customHeight="1"/>
    <row r="1531" ht="14.1" customHeight="1"/>
    <row r="1532" ht="14.1" customHeight="1"/>
    <row r="1533" ht="14.1" customHeight="1"/>
    <row r="1534" ht="14.1" customHeight="1"/>
    <row r="1535" ht="14.1" customHeight="1"/>
    <row r="1536" ht="14.1" customHeight="1"/>
    <row r="1537" ht="14.1" customHeight="1"/>
    <row r="1538" ht="14.1" customHeight="1"/>
    <row r="1539" ht="14.1" customHeight="1"/>
    <row r="1540" ht="14.1" customHeight="1"/>
    <row r="1541" ht="14.1" customHeight="1"/>
    <row r="1542" ht="14.1" customHeight="1"/>
    <row r="1543" ht="14.1" customHeight="1"/>
    <row r="1544" ht="14.1" customHeight="1"/>
    <row r="1545" ht="14.1" customHeight="1"/>
    <row r="1546" ht="14.1" customHeight="1"/>
    <row r="1547" ht="14.1" customHeight="1"/>
    <row r="1548" ht="14.1" customHeight="1"/>
    <row r="1549" ht="14.1" customHeight="1"/>
    <row r="1550" ht="14.1" customHeight="1"/>
    <row r="1551" ht="14.1" customHeight="1"/>
    <row r="1552" ht="14.1" customHeight="1"/>
    <row r="1553" ht="14.1" customHeight="1"/>
    <row r="1554" ht="14.1" customHeight="1"/>
    <row r="1555" ht="14.1" customHeight="1"/>
    <row r="1556" ht="14.1" customHeight="1"/>
    <row r="1557" ht="14.1" customHeight="1"/>
    <row r="1558" ht="14.1" customHeight="1"/>
    <row r="1559" ht="14.1" customHeight="1"/>
    <row r="1560" ht="14.1" customHeight="1"/>
    <row r="1561" ht="14.1" customHeight="1"/>
    <row r="1562" ht="14.1" customHeight="1"/>
    <row r="1563" ht="14.1" customHeight="1"/>
    <row r="1564" ht="14.1" customHeight="1"/>
    <row r="1565" ht="14.1" customHeight="1"/>
    <row r="1566" ht="14.1" customHeight="1"/>
    <row r="1567" ht="14.1" customHeight="1"/>
    <row r="1568" ht="14.1" customHeight="1"/>
    <row r="1569" ht="14.1" customHeight="1"/>
    <row r="1570" ht="14.1" customHeight="1"/>
    <row r="1571" ht="14.1" customHeight="1"/>
    <row r="1572" ht="14.1" customHeight="1"/>
    <row r="1573" ht="14.1" customHeight="1"/>
    <row r="1574" ht="14.1" customHeight="1"/>
    <row r="1575" ht="14.1" customHeight="1"/>
    <row r="1576" ht="14.1" customHeight="1"/>
    <row r="1577" ht="14.1" customHeight="1"/>
    <row r="1578" ht="14.1" customHeight="1"/>
    <row r="1579" ht="14.1" customHeight="1"/>
    <row r="1580" ht="14.1" customHeight="1"/>
    <row r="1581" ht="14.1" customHeight="1"/>
    <row r="1582" ht="14.1" customHeight="1"/>
    <row r="1583" ht="14.1" customHeight="1"/>
    <row r="1584" ht="14.1" customHeight="1"/>
    <row r="1585" ht="14.1" customHeight="1"/>
    <row r="1586" ht="14.1" customHeight="1"/>
    <row r="1587" ht="14.1" customHeight="1"/>
    <row r="1588" ht="14.1" customHeight="1"/>
    <row r="1589" ht="14.1" customHeight="1"/>
    <row r="1590" ht="14.1" customHeight="1"/>
    <row r="1591" ht="14.1" customHeight="1"/>
    <row r="1592" ht="14.1" customHeight="1"/>
    <row r="1593" ht="14.1" customHeight="1"/>
    <row r="1594" ht="14.1" customHeight="1"/>
    <row r="1595" ht="14.1" customHeight="1"/>
    <row r="1596" ht="14.1" customHeight="1"/>
    <row r="1597" ht="14.1" customHeight="1"/>
    <row r="1598" ht="14.1" customHeight="1"/>
    <row r="1599" ht="14.1" customHeight="1"/>
    <row r="1600" ht="14.1" customHeight="1"/>
    <row r="1601" ht="14.1" customHeight="1"/>
    <row r="1602" ht="14.1" customHeight="1"/>
    <row r="1603" ht="14.1" customHeight="1"/>
    <row r="1604" ht="14.1" customHeight="1"/>
    <row r="1605" ht="14.1" customHeight="1"/>
    <row r="1606" ht="14.1" customHeight="1"/>
    <row r="1607" ht="14.1" customHeight="1"/>
    <row r="1608" ht="14.1" customHeight="1"/>
    <row r="1609" ht="14.1" customHeight="1"/>
    <row r="1610" ht="14.1" customHeight="1"/>
    <row r="1611" ht="14.1" customHeight="1"/>
    <row r="1612" ht="14.1" customHeight="1"/>
    <row r="1613" ht="14.1" customHeight="1"/>
    <row r="1614" ht="14.1" customHeight="1"/>
    <row r="1615" ht="14.1" customHeight="1"/>
    <row r="1616" ht="14.1" customHeight="1"/>
    <row r="1617" ht="14.1" customHeight="1"/>
    <row r="1618" ht="14.1" customHeight="1"/>
    <row r="1619" ht="14.1" customHeight="1"/>
    <row r="1620" ht="14.1" customHeight="1"/>
    <row r="1621" ht="14.1" customHeight="1"/>
    <row r="1622" ht="14.1" customHeight="1"/>
    <row r="1623" ht="14.1" customHeight="1"/>
    <row r="1624" ht="14.1" customHeight="1"/>
    <row r="1625" ht="14.1" customHeight="1"/>
    <row r="1626" ht="14.1" customHeight="1"/>
    <row r="1627" ht="14.1" customHeight="1"/>
    <row r="1628" ht="14.1" customHeight="1"/>
    <row r="1629" ht="14.1" customHeight="1"/>
    <row r="1630" ht="14.1" customHeight="1"/>
    <row r="1631" ht="14.1" customHeight="1"/>
    <row r="1632" ht="14.1" customHeight="1"/>
    <row r="1633" ht="14.1" customHeight="1"/>
    <row r="1634" ht="14.1" customHeight="1"/>
    <row r="1635" ht="14.1" customHeight="1"/>
    <row r="1636" ht="14.1" customHeight="1"/>
    <row r="1637" ht="14.1" customHeight="1"/>
    <row r="1638" ht="14.1" customHeight="1"/>
    <row r="1639" ht="14.1" customHeight="1"/>
    <row r="1640" ht="14.1" customHeight="1"/>
    <row r="1641" ht="14.1" customHeight="1"/>
    <row r="1642" ht="14.1" customHeight="1"/>
    <row r="1643" ht="14.1" customHeight="1"/>
    <row r="1644" ht="14.1" customHeight="1"/>
    <row r="1645" ht="14.1" customHeight="1"/>
    <row r="1646" ht="14.1" customHeight="1"/>
    <row r="1647" ht="14.1" customHeight="1"/>
    <row r="1648" ht="14.1" customHeight="1"/>
    <row r="1649" ht="14.1" customHeight="1"/>
    <row r="1650" ht="14.1" customHeight="1"/>
    <row r="1651" ht="14.1" customHeight="1"/>
    <row r="1652" ht="14.1" customHeight="1"/>
    <row r="1653" ht="14.1" customHeight="1"/>
    <row r="1654" ht="14.1" customHeight="1"/>
    <row r="1655" ht="14.1" customHeight="1"/>
    <row r="1656" ht="14.1" customHeight="1"/>
    <row r="1657" ht="14.1" customHeight="1"/>
    <row r="1658" ht="14.1" customHeight="1"/>
    <row r="1659" ht="14.1" customHeight="1"/>
    <row r="1660" ht="14.1" customHeight="1"/>
    <row r="1661" ht="14.1" customHeight="1"/>
    <row r="1662" ht="14.1" customHeight="1"/>
    <row r="1663" ht="14.1" customHeight="1"/>
    <row r="1664" ht="14.1" customHeight="1"/>
    <row r="1665" ht="14.1" customHeight="1"/>
    <row r="1666" ht="14.1" customHeight="1"/>
    <row r="1667" ht="14.1" customHeight="1"/>
    <row r="1668" ht="14.1" customHeight="1"/>
    <row r="1669" ht="14.1" customHeight="1"/>
    <row r="1670" ht="14.1" customHeight="1"/>
    <row r="1671" ht="14.1" customHeight="1"/>
    <row r="1672" ht="14.1" customHeight="1"/>
    <row r="1673" ht="14.1" customHeight="1"/>
    <row r="1674" ht="14.1" customHeight="1"/>
    <row r="1675" ht="14.1" customHeight="1"/>
    <row r="1676" ht="14.1" customHeight="1"/>
    <row r="1677" ht="14.1" customHeight="1"/>
    <row r="1678" ht="14.1" customHeight="1"/>
    <row r="1679" ht="14.1" customHeight="1"/>
    <row r="1680" ht="14.1" customHeight="1"/>
    <row r="1681" ht="14.1" customHeight="1"/>
    <row r="1682" ht="14.1" customHeight="1"/>
    <row r="1683" ht="14.1" customHeight="1"/>
    <row r="1684" ht="14.1" customHeight="1"/>
    <row r="1685" ht="14.1" customHeight="1"/>
    <row r="1686" ht="14.1" customHeight="1"/>
    <row r="1687" ht="14.1" customHeight="1"/>
    <row r="1688" ht="14.1" customHeight="1"/>
    <row r="1689" ht="14.1" customHeight="1"/>
    <row r="1690" ht="14.1" customHeight="1"/>
    <row r="1691" ht="14.1" customHeight="1"/>
    <row r="1692" ht="14.1" customHeight="1"/>
    <row r="1693" ht="14.1" customHeight="1"/>
    <row r="1694" ht="14.1" customHeight="1"/>
    <row r="1695" ht="14.1" customHeight="1"/>
    <row r="1696" ht="14.1" customHeight="1"/>
    <row r="1697" ht="14.1" customHeight="1"/>
    <row r="1698" ht="14.1" customHeight="1"/>
    <row r="1699" ht="14.1" customHeight="1"/>
    <row r="1700" ht="14.1" customHeight="1"/>
    <row r="1701" ht="14.1" customHeight="1"/>
    <row r="1702" ht="14.1" customHeight="1"/>
    <row r="1703" ht="14.1" customHeight="1"/>
    <row r="1704" ht="14.1" customHeight="1"/>
    <row r="1705" ht="14.1" customHeight="1"/>
    <row r="1706" ht="14.1" customHeight="1"/>
    <row r="1707" ht="14.1" customHeight="1"/>
    <row r="1708" ht="14.1" customHeight="1"/>
    <row r="1709" ht="14.1" customHeight="1"/>
    <row r="1710" ht="14.1" customHeight="1"/>
    <row r="1711" ht="14.1" customHeight="1"/>
    <row r="1712" ht="14.1" customHeight="1"/>
    <row r="1713" ht="14.1" customHeight="1"/>
    <row r="1714" ht="14.1" customHeight="1"/>
    <row r="1715" ht="14.1" customHeight="1"/>
    <row r="1716" ht="14.1" customHeight="1"/>
    <row r="1717" ht="14.1" customHeight="1"/>
    <row r="1718" ht="14.1" customHeight="1"/>
    <row r="1719" ht="14.1" customHeight="1"/>
    <row r="1720" ht="14.1" customHeight="1"/>
    <row r="1721" ht="14.1" customHeight="1"/>
    <row r="1722" ht="14.1" customHeight="1"/>
    <row r="1723" ht="14.1" customHeight="1"/>
    <row r="1724" ht="14.1" customHeight="1"/>
    <row r="1725" ht="14.1" customHeight="1"/>
    <row r="1726" ht="14.1" customHeight="1"/>
    <row r="1727" ht="14.1" customHeight="1"/>
    <row r="1728" ht="14.1" customHeight="1"/>
    <row r="1729" ht="14.1" customHeight="1"/>
    <row r="1730" ht="14.1" customHeight="1"/>
    <row r="1731" ht="14.1" customHeight="1"/>
    <row r="1732" ht="14.1" customHeight="1"/>
    <row r="1733" ht="14.1" customHeight="1"/>
    <row r="1734" ht="14.1" customHeight="1"/>
    <row r="1735" ht="14.1" customHeight="1"/>
    <row r="1736" ht="14.1" customHeight="1"/>
    <row r="1737" ht="14.1" customHeight="1"/>
    <row r="1738" ht="14.1" customHeight="1"/>
    <row r="1739" ht="14.1" customHeight="1"/>
    <row r="1740" ht="14.1" customHeight="1"/>
    <row r="1741" ht="14.1" customHeight="1"/>
    <row r="1742" ht="14.1" customHeight="1"/>
    <row r="1743" ht="14.1" customHeight="1"/>
    <row r="1744" ht="14.1" customHeight="1"/>
    <row r="1745" ht="14.1" customHeight="1"/>
    <row r="1746" ht="14.1" customHeight="1"/>
    <row r="1747" ht="14.1" customHeight="1"/>
    <row r="1748" ht="14.1" customHeight="1"/>
    <row r="1749" ht="14.1" customHeight="1"/>
    <row r="1750" ht="14.1" customHeight="1"/>
    <row r="1751" ht="14.1" customHeight="1"/>
    <row r="1752" ht="14.1" customHeight="1"/>
    <row r="1753" ht="14.1" customHeight="1"/>
    <row r="1754" ht="14.1" customHeight="1"/>
    <row r="1755" ht="14.1" customHeight="1"/>
    <row r="1756" ht="14.1" customHeight="1"/>
    <row r="1757" ht="14.1" customHeight="1"/>
    <row r="1758" ht="14.1" customHeight="1"/>
    <row r="1759" ht="14.1" customHeight="1"/>
    <row r="1760" ht="14.1" customHeight="1"/>
    <row r="1761" ht="14.1" customHeight="1"/>
    <row r="1762" ht="14.1" customHeight="1"/>
    <row r="1763" ht="14.1" customHeight="1"/>
    <row r="1764" ht="14.1" customHeight="1"/>
    <row r="1765" ht="14.1" customHeight="1"/>
    <row r="1766" ht="14.1" customHeight="1"/>
    <row r="1767" ht="14.1" customHeight="1"/>
    <row r="1768" ht="14.1" customHeight="1"/>
    <row r="1769" ht="14.1" customHeight="1"/>
    <row r="1770" ht="14.1" customHeight="1"/>
    <row r="1771" ht="14.1" customHeight="1"/>
    <row r="1772" ht="14.1" customHeight="1"/>
    <row r="1773" ht="14.1" customHeight="1"/>
    <row r="1774" ht="14.1" customHeight="1"/>
    <row r="1775" ht="14.1" customHeight="1"/>
    <row r="1776" ht="14.1" customHeight="1"/>
    <row r="1777" ht="14.1" customHeight="1"/>
    <row r="1778" ht="14.1" customHeight="1"/>
    <row r="1779" ht="14.1" customHeight="1"/>
    <row r="1780" ht="14.1" customHeight="1"/>
    <row r="1781" ht="14.1" customHeight="1"/>
    <row r="1782" ht="14.1" customHeight="1"/>
    <row r="1783" ht="14.1" customHeight="1"/>
    <row r="1784" ht="14.1" customHeight="1"/>
    <row r="1785" ht="14.1" customHeight="1"/>
    <row r="1786" ht="14.1" customHeight="1"/>
    <row r="1787" ht="14.1" customHeight="1"/>
    <row r="1788" ht="14.1" customHeight="1"/>
    <row r="1789" ht="14.1" customHeight="1"/>
    <row r="1790" ht="14.1" customHeight="1"/>
    <row r="1791" ht="14.1" customHeight="1"/>
    <row r="1792" ht="14.1" customHeight="1"/>
    <row r="1793" ht="14.1" customHeight="1"/>
    <row r="1794" ht="14.1" customHeight="1"/>
    <row r="1795" ht="14.1" customHeight="1"/>
    <row r="1796" ht="14.1" customHeight="1"/>
    <row r="1797" ht="14.1" customHeight="1"/>
    <row r="1798" ht="14.1" customHeight="1"/>
    <row r="1799" ht="14.1" customHeight="1"/>
    <row r="1800" ht="14.1" customHeight="1"/>
    <row r="1801" ht="14.1" customHeight="1"/>
    <row r="1802" ht="14.1" customHeight="1"/>
    <row r="1803" ht="14.1" customHeight="1"/>
    <row r="1804" ht="14.1" customHeight="1"/>
    <row r="1805" ht="14.1" customHeight="1"/>
    <row r="1806" ht="14.1" customHeight="1"/>
    <row r="1807" ht="14.1" customHeight="1"/>
    <row r="1808" ht="14.1" customHeight="1"/>
    <row r="1809" ht="14.1" customHeight="1"/>
    <row r="1810" ht="14.1" customHeight="1"/>
    <row r="1811" ht="14.1" customHeight="1"/>
    <row r="1812" ht="14.1" customHeight="1"/>
    <row r="1813" ht="14.1" customHeight="1"/>
    <row r="1814" ht="14.1" customHeight="1"/>
    <row r="1815" ht="14.1" customHeight="1"/>
    <row r="1816" ht="14.1" customHeight="1"/>
    <row r="1817" ht="14.1" customHeight="1"/>
    <row r="1818" ht="14.1" customHeight="1"/>
    <row r="1819" ht="14.1" customHeight="1"/>
    <row r="1820" ht="14.1" customHeight="1"/>
    <row r="1821" ht="14.1" customHeight="1"/>
    <row r="1822" ht="14.1" customHeight="1"/>
    <row r="1823" ht="14.1" customHeight="1"/>
    <row r="1824" ht="14.1" customHeight="1"/>
    <row r="1825" ht="14.1" customHeight="1"/>
    <row r="1826" ht="14.1" customHeight="1"/>
    <row r="1827" ht="14.1" customHeight="1"/>
    <row r="1828" ht="14.1" customHeight="1"/>
    <row r="1829" ht="14.1" customHeight="1"/>
    <row r="1830" ht="14.1" customHeight="1"/>
    <row r="1831" ht="14.1" customHeight="1"/>
    <row r="1832" ht="14.1" customHeight="1"/>
    <row r="1833" ht="14.1" customHeight="1"/>
    <row r="1834" ht="14.1" customHeight="1"/>
    <row r="1835" ht="14.1" customHeight="1"/>
    <row r="1836" ht="14.1" customHeight="1"/>
    <row r="1837" ht="14.1" customHeight="1"/>
    <row r="1838" ht="14.1" customHeight="1"/>
    <row r="1839" ht="14.1" customHeight="1"/>
    <row r="1840" ht="14.1" customHeight="1"/>
    <row r="1841" ht="14.1" customHeight="1"/>
    <row r="1842" ht="14.1" customHeight="1"/>
    <row r="1843" ht="14.1" customHeight="1"/>
    <row r="1844" ht="14.1" customHeight="1"/>
    <row r="1845" ht="14.1" customHeight="1"/>
    <row r="1846" ht="14.1" customHeight="1"/>
    <row r="1847" ht="14.1" customHeight="1"/>
    <row r="1848" ht="14.1" customHeight="1"/>
    <row r="1849" ht="14.1" customHeight="1"/>
    <row r="1850" ht="14.1" customHeight="1"/>
    <row r="1851" ht="14.1" customHeight="1"/>
    <row r="1852" ht="14.1" customHeight="1"/>
    <row r="1853" ht="14.1" customHeight="1"/>
    <row r="1854" ht="14.1" customHeight="1"/>
    <row r="1855" ht="14.1" customHeight="1"/>
    <row r="1856" ht="14.1" customHeight="1"/>
    <row r="1857" ht="14.1" customHeight="1"/>
    <row r="1858" ht="14.1" customHeight="1"/>
    <row r="1859" ht="14.1" customHeight="1"/>
    <row r="1860" ht="14.1" customHeight="1"/>
    <row r="1861" ht="14.1" customHeight="1"/>
    <row r="1862" ht="14.1" customHeight="1"/>
    <row r="1863" ht="14.1" customHeight="1"/>
    <row r="1864" ht="14.1" customHeight="1"/>
    <row r="1865" ht="14.1" customHeight="1"/>
    <row r="1866" ht="14.1" customHeight="1"/>
    <row r="1867" ht="14.1" customHeight="1"/>
    <row r="1868" ht="14.1" customHeight="1"/>
    <row r="1869" ht="14.1" customHeight="1"/>
    <row r="1870" ht="14.1" customHeight="1"/>
    <row r="1871" ht="14.1" customHeight="1"/>
    <row r="1872" ht="14.1" customHeight="1"/>
    <row r="1873" ht="14.1" customHeight="1"/>
    <row r="1874" ht="14.1" customHeight="1"/>
    <row r="1875" ht="14.1" customHeight="1"/>
    <row r="1876" ht="14.1" customHeight="1"/>
    <row r="1877" ht="14.1" customHeight="1"/>
    <row r="1878" ht="14.1" customHeight="1"/>
    <row r="1879" ht="14.1" customHeight="1"/>
    <row r="1880" ht="14.1" customHeight="1"/>
    <row r="1881" ht="14.1" customHeight="1"/>
    <row r="1882" ht="14.1" customHeight="1"/>
    <row r="1883" ht="14.1" customHeight="1"/>
    <row r="1884" ht="14.1" customHeight="1"/>
    <row r="1885" ht="14.1" customHeight="1"/>
    <row r="1886" ht="14.1" customHeight="1"/>
    <row r="1887" ht="14.1" customHeight="1"/>
    <row r="1888" ht="14.1" customHeight="1"/>
    <row r="1889" ht="14.1" customHeight="1"/>
    <row r="1890" ht="14.1" customHeight="1"/>
    <row r="1891" ht="14.1" customHeight="1"/>
    <row r="1892" ht="14.1" customHeight="1"/>
    <row r="1893" ht="14.1" customHeight="1"/>
    <row r="1894" ht="14.1" customHeight="1"/>
    <row r="1895" ht="14.1" customHeight="1"/>
    <row r="1896" ht="14.1" customHeight="1"/>
    <row r="1897" ht="14.1" customHeight="1"/>
    <row r="1898" ht="14.1" customHeight="1"/>
    <row r="1899" ht="14.1" customHeight="1"/>
    <row r="1900" ht="14.1" customHeight="1"/>
    <row r="1901" ht="14.1" customHeight="1"/>
    <row r="1902" ht="14.1" customHeight="1"/>
    <row r="1903" ht="14.1" customHeight="1"/>
    <row r="1904" ht="14.1" customHeight="1"/>
    <row r="1905" ht="14.1" customHeight="1"/>
    <row r="1906" ht="14.1" customHeight="1"/>
    <row r="1907" ht="14.1" customHeight="1"/>
    <row r="1908" ht="14.1" customHeight="1"/>
    <row r="1909" ht="14.1" customHeight="1"/>
    <row r="1910" ht="14.1" customHeight="1"/>
    <row r="1911" ht="14.1" customHeight="1"/>
    <row r="1912" ht="14.1" customHeight="1"/>
    <row r="1913" ht="14.1" customHeight="1"/>
    <row r="1914" ht="14.1" customHeight="1"/>
    <row r="1915" ht="14.1" customHeight="1"/>
    <row r="1916" ht="14.1" customHeight="1"/>
    <row r="1917" ht="14.1" customHeight="1"/>
    <row r="1918" ht="14.1" customHeight="1"/>
    <row r="1919" ht="14.1" customHeight="1"/>
    <row r="1920" ht="14.1" customHeight="1"/>
    <row r="1921" ht="14.1" customHeight="1"/>
    <row r="1922" ht="14.1" customHeight="1"/>
    <row r="1923" ht="14.1" customHeight="1"/>
    <row r="1924" ht="14.1" customHeight="1"/>
    <row r="1925" ht="14.1" customHeight="1"/>
    <row r="1926" ht="14.1" customHeight="1"/>
    <row r="1927" ht="14.1" customHeight="1"/>
    <row r="1928" ht="14.1" customHeight="1"/>
    <row r="1929" ht="14.1" customHeight="1"/>
    <row r="1930" ht="14.1" customHeight="1"/>
    <row r="1931" ht="14.1" customHeight="1"/>
    <row r="1932" ht="14.1" customHeight="1"/>
    <row r="1933" ht="14.1" customHeight="1"/>
    <row r="1934" ht="14.1" customHeight="1"/>
    <row r="1935" ht="14.1" customHeight="1"/>
    <row r="1936" ht="14.1" customHeight="1"/>
    <row r="1937" ht="14.1" customHeight="1"/>
    <row r="1938" ht="14.1" customHeight="1"/>
    <row r="1939" ht="14.1" customHeight="1"/>
    <row r="1940" ht="14.1" customHeight="1"/>
    <row r="1941" ht="14.1" customHeight="1"/>
    <row r="1942" ht="14.1" customHeight="1"/>
    <row r="1943" ht="14.1" customHeight="1"/>
    <row r="1944" ht="14.1" customHeight="1"/>
    <row r="1945" ht="14.1" customHeight="1"/>
    <row r="1946" ht="14.1" customHeight="1"/>
    <row r="1947" ht="14.1" customHeight="1"/>
    <row r="1948" ht="14.1" customHeight="1"/>
    <row r="1949" ht="14.1" customHeight="1"/>
    <row r="1950" ht="14.1" customHeight="1"/>
    <row r="1951" ht="14.1" customHeight="1"/>
    <row r="1952" ht="14.1" customHeight="1"/>
    <row r="1953" ht="14.1" customHeight="1"/>
    <row r="1954" ht="14.1" customHeight="1"/>
    <row r="1955" ht="14.1" customHeight="1"/>
    <row r="1956" ht="14.1" customHeight="1"/>
    <row r="1957" ht="14.1" customHeight="1"/>
    <row r="1958" ht="14.1" customHeight="1"/>
    <row r="1959" ht="14.1" customHeight="1"/>
    <row r="1960" ht="14.1" customHeight="1"/>
    <row r="1961" ht="14.1" customHeight="1"/>
    <row r="1962" ht="14.1" customHeight="1"/>
    <row r="1963" ht="14.1" customHeight="1"/>
    <row r="1964" ht="14.1" customHeight="1"/>
    <row r="1965" ht="14.1" customHeight="1"/>
    <row r="1966" ht="14.1" customHeight="1"/>
    <row r="1967" ht="14.1" customHeight="1"/>
    <row r="1968" ht="14.1" customHeight="1"/>
    <row r="1969" ht="14.1" customHeight="1"/>
    <row r="1970" ht="14.1" customHeight="1"/>
    <row r="1971" ht="14.1" customHeight="1"/>
    <row r="1972" ht="14.1" customHeight="1"/>
    <row r="1973" ht="14.1" customHeight="1"/>
    <row r="1974" ht="14.1" customHeight="1"/>
    <row r="1975" ht="14.1" customHeight="1"/>
    <row r="1976" ht="14.1" customHeight="1"/>
    <row r="1977" ht="14.1" customHeight="1"/>
    <row r="1978" ht="14.1" customHeight="1"/>
    <row r="1979" ht="14.1" customHeight="1"/>
    <row r="1980" ht="14.1" customHeight="1"/>
    <row r="1981" ht="14.1" customHeight="1"/>
    <row r="1982" ht="14.1" customHeight="1"/>
    <row r="1983" ht="14.1" customHeight="1"/>
    <row r="1984" ht="14.1" customHeight="1"/>
    <row r="1985" ht="14.1" customHeight="1"/>
    <row r="1986" ht="14.1" customHeight="1"/>
    <row r="1987" ht="14.1" customHeight="1"/>
    <row r="1988" ht="14.1" customHeight="1"/>
    <row r="1989" ht="14.1" customHeight="1"/>
    <row r="1990" ht="14.1" customHeight="1"/>
    <row r="1991" ht="14.1" customHeight="1"/>
    <row r="1992" ht="14.1" customHeight="1"/>
    <row r="1993" ht="14.1" customHeight="1"/>
    <row r="1994" ht="14.1" customHeight="1"/>
    <row r="1995" ht="14.1" customHeight="1"/>
    <row r="1996" ht="14.1" customHeight="1"/>
    <row r="1997" ht="14.1" customHeight="1"/>
    <row r="1998" ht="14.1" customHeight="1"/>
    <row r="1999" ht="14.1" customHeight="1"/>
    <row r="2000" ht="14.1" customHeight="1"/>
    <row r="2001" ht="14.1" customHeight="1"/>
    <row r="2002" ht="14.1" customHeight="1"/>
    <row r="2003" ht="14.1" customHeight="1"/>
    <row r="2004" ht="14.1" customHeight="1"/>
    <row r="2005" ht="14.1" customHeight="1"/>
    <row r="2006" ht="14.1" customHeight="1"/>
    <row r="2007" ht="14.1" customHeight="1"/>
    <row r="2008" ht="14.1" customHeight="1"/>
    <row r="2009" ht="14.1" customHeight="1"/>
    <row r="2010" ht="14.1" customHeight="1"/>
    <row r="2011" ht="14.1" customHeight="1"/>
    <row r="2012" ht="14.1" customHeight="1"/>
    <row r="2013" ht="14.1" customHeight="1"/>
    <row r="2014" ht="14.1" customHeight="1"/>
    <row r="2015" ht="14.1" customHeight="1"/>
    <row r="2016" ht="14.1" customHeight="1"/>
    <row r="2017" ht="14.1" customHeight="1"/>
    <row r="2018" ht="14.1" customHeight="1"/>
    <row r="2019" ht="14.1" customHeight="1"/>
    <row r="2020" ht="14.1" customHeight="1"/>
    <row r="2021" ht="14.1" customHeight="1"/>
    <row r="2022" ht="14.1" customHeight="1"/>
    <row r="2023" ht="14.1" customHeight="1"/>
    <row r="2024" ht="14.1" customHeight="1"/>
    <row r="2025" ht="14.1" customHeight="1"/>
    <row r="2026" ht="14.1" customHeight="1"/>
    <row r="2027" ht="14.1" customHeight="1"/>
    <row r="2028" ht="14.1" customHeight="1"/>
    <row r="2029" ht="14.1" customHeight="1"/>
    <row r="2030" ht="14.1" customHeight="1"/>
    <row r="2031" ht="14.1" customHeight="1"/>
    <row r="2032" ht="14.1" customHeight="1"/>
    <row r="2033" ht="14.1" customHeight="1"/>
    <row r="2034" ht="14.1" customHeight="1"/>
    <row r="2035" ht="14.1" customHeight="1"/>
    <row r="2036" ht="14.1" customHeight="1"/>
    <row r="2037" ht="14.1" customHeight="1"/>
    <row r="2038" ht="14.1" customHeight="1"/>
    <row r="2039" ht="14.1" customHeight="1"/>
    <row r="2040" ht="14.1" customHeight="1"/>
    <row r="2041" ht="14.1" customHeight="1"/>
    <row r="2042" ht="14.1" customHeight="1"/>
    <row r="2043" ht="14.1" customHeight="1"/>
    <row r="2044" ht="14.1" customHeight="1"/>
    <row r="2045" ht="14.1" customHeight="1"/>
    <row r="2046" ht="14.1" customHeight="1"/>
    <row r="2047" ht="14.1" customHeight="1"/>
    <row r="2048" ht="14.1" customHeight="1"/>
    <row r="2049" ht="14.1" customHeight="1"/>
    <row r="2050" ht="14.1" customHeight="1"/>
    <row r="2051" ht="14.1" customHeight="1"/>
    <row r="2052" ht="14.1" customHeight="1"/>
    <row r="2053" ht="14.1" customHeight="1"/>
    <row r="2054" ht="14.1" customHeight="1"/>
    <row r="2055" ht="14.1" customHeight="1"/>
    <row r="2056" ht="14.1" customHeight="1"/>
    <row r="2057" ht="14.1" customHeight="1"/>
    <row r="2058" ht="14.1" customHeight="1"/>
    <row r="2059" ht="14.1" customHeight="1"/>
    <row r="2060" ht="14.1" customHeight="1"/>
    <row r="2061" ht="14.1" customHeight="1"/>
    <row r="2062" ht="14.1" customHeight="1"/>
    <row r="2063" ht="14.1" customHeight="1"/>
    <row r="2064" ht="14.1" customHeight="1"/>
    <row r="2065" ht="14.1" customHeight="1"/>
    <row r="2066" ht="14.1" customHeight="1"/>
    <row r="2067" ht="14.1" customHeight="1"/>
    <row r="2068" ht="14.1" customHeight="1"/>
    <row r="2069" ht="14.1" customHeight="1"/>
    <row r="2070" ht="14.1" customHeight="1"/>
    <row r="2071" ht="14.1" customHeight="1"/>
    <row r="2072" ht="14.1" customHeight="1"/>
    <row r="2073" ht="14.1" customHeight="1"/>
    <row r="2074" ht="14.1" customHeight="1"/>
    <row r="2075" ht="14.1" customHeight="1"/>
    <row r="2076" ht="14.1" customHeight="1"/>
    <row r="2077" ht="14.1" customHeight="1"/>
    <row r="2078" ht="14.1" customHeight="1"/>
    <row r="2079" ht="14.1" customHeight="1"/>
    <row r="2080" ht="14.1" customHeight="1"/>
    <row r="2081" ht="14.1" customHeight="1"/>
    <row r="2082" ht="14.1" customHeight="1"/>
    <row r="2083" ht="14.1" customHeight="1"/>
    <row r="2084" ht="14.1" customHeight="1"/>
    <row r="2085" ht="14.1" customHeight="1"/>
    <row r="2086" ht="14.1" customHeight="1"/>
    <row r="2087" ht="14.1" customHeight="1"/>
    <row r="2088" ht="14.1" customHeight="1"/>
    <row r="2089" ht="14.1" customHeight="1"/>
    <row r="2090" ht="14.1" customHeight="1"/>
    <row r="2091" ht="14.1" customHeight="1"/>
    <row r="2092" ht="14.1" customHeight="1"/>
    <row r="2093" ht="14.1" customHeight="1"/>
    <row r="2094" ht="14.1" customHeight="1"/>
    <row r="2095" ht="14.1" customHeight="1"/>
    <row r="2096" ht="14.1" customHeight="1"/>
    <row r="2097" ht="14.1" customHeight="1"/>
    <row r="2098" ht="14.1" customHeight="1"/>
    <row r="2099" ht="14.1" customHeight="1"/>
    <row r="2100" ht="14.1" customHeight="1"/>
    <row r="2101" ht="14.1" customHeight="1"/>
    <row r="2102" ht="14.1" customHeight="1"/>
    <row r="2103" ht="14.1" customHeight="1"/>
    <row r="2104" ht="14.1" customHeight="1"/>
    <row r="2105" ht="14.1" customHeight="1"/>
    <row r="2106" ht="14.1" customHeight="1"/>
    <row r="2107" ht="14.1" customHeight="1"/>
    <row r="2108" ht="14.1" customHeight="1"/>
    <row r="2109" ht="14.1" customHeight="1"/>
    <row r="2110" ht="14.1" customHeight="1"/>
    <row r="2111" ht="14.1" customHeight="1"/>
    <row r="2112" ht="14.1" customHeight="1"/>
    <row r="2113" ht="14.1" customHeight="1"/>
    <row r="2114" ht="14.1" customHeight="1"/>
    <row r="2115" ht="14.1" customHeight="1"/>
    <row r="2116" ht="14.1" customHeight="1"/>
    <row r="2117" ht="14.1" customHeight="1"/>
    <row r="2118" ht="14.1" customHeight="1"/>
    <row r="2119" ht="14.1" customHeight="1"/>
    <row r="2120" ht="14.1" customHeight="1"/>
    <row r="2121" ht="14.1" customHeight="1"/>
    <row r="2122" ht="14.1" customHeight="1"/>
    <row r="2123" ht="14.1" customHeight="1"/>
    <row r="2124" ht="14.1" customHeight="1"/>
    <row r="2125" ht="14.1" customHeight="1"/>
    <row r="2126" ht="14.1" customHeight="1"/>
    <row r="2127" ht="14.1" customHeight="1"/>
    <row r="2128" ht="14.1" customHeight="1"/>
    <row r="2129" ht="14.1" customHeight="1"/>
    <row r="2130" ht="14.1" customHeight="1"/>
    <row r="2131" ht="14.1" customHeight="1"/>
    <row r="2132" ht="14.1" customHeight="1"/>
    <row r="2133" ht="14.1" customHeight="1"/>
    <row r="2134" ht="14.1" customHeight="1"/>
    <row r="2135" ht="14.1" customHeight="1"/>
    <row r="2136" ht="14.1" customHeight="1"/>
    <row r="2137" ht="14.1" customHeight="1"/>
    <row r="2138" ht="14.1" customHeight="1"/>
    <row r="2139" ht="14.1" customHeight="1"/>
    <row r="2140" ht="14.1" customHeight="1"/>
    <row r="2141" ht="14.1" customHeight="1"/>
    <row r="2142" ht="14.1" customHeight="1"/>
    <row r="2143" ht="14.1" customHeight="1"/>
    <row r="2144" ht="14.1" customHeight="1"/>
    <row r="2145" ht="14.1" customHeight="1"/>
    <row r="2146" ht="14.1" customHeight="1"/>
    <row r="2147" ht="14.1" customHeight="1"/>
    <row r="2148" ht="14.1" customHeight="1"/>
    <row r="2149" ht="14.1" customHeight="1"/>
    <row r="2150" ht="14.1" customHeight="1"/>
    <row r="2151" ht="14.1" customHeight="1"/>
    <row r="2152" ht="14.1" customHeight="1"/>
    <row r="2153" ht="14.1" customHeight="1"/>
    <row r="2154" ht="14.1" customHeight="1"/>
    <row r="2155" ht="14.1" customHeight="1"/>
    <row r="2156" ht="14.1" customHeight="1"/>
    <row r="2157" ht="14.1" customHeight="1"/>
    <row r="2158" ht="14.1" customHeight="1"/>
    <row r="2159" ht="14.1" customHeight="1"/>
    <row r="2160" ht="14.1" customHeight="1"/>
    <row r="2161" ht="14.1" customHeight="1"/>
    <row r="2162" ht="14.1" customHeight="1"/>
    <row r="2163" ht="14.1" customHeight="1"/>
    <row r="2164" ht="14.1" customHeight="1"/>
    <row r="2165" ht="14.1" customHeight="1"/>
    <row r="2166" ht="14.1" customHeight="1"/>
    <row r="2167" ht="14.1" customHeight="1"/>
    <row r="2168" ht="14.1" customHeight="1"/>
    <row r="2169" ht="14.1" customHeight="1"/>
    <row r="2170" ht="14.1" customHeight="1"/>
    <row r="2171" ht="14.1" customHeight="1"/>
    <row r="2172" ht="14.1" customHeight="1"/>
    <row r="2173" ht="14.1" customHeight="1"/>
    <row r="2174" ht="14.1" customHeight="1"/>
    <row r="2175" ht="14.1" customHeight="1"/>
    <row r="2176" ht="14.1" customHeight="1"/>
    <row r="2177" ht="14.1" customHeight="1"/>
    <row r="2178" ht="14.1" customHeight="1"/>
    <row r="2179" ht="14.1" customHeight="1"/>
    <row r="2180" ht="14.1" customHeight="1"/>
    <row r="2181" ht="14.1" customHeight="1"/>
    <row r="2182" ht="14.1" customHeight="1"/>
    <row r="2183" ht="14.1" customHeight="1"/>
    <row r="2184" ht="14.1" customHeight="1"/>
    <row r="2185" ht="14.1" customHeight="1"/>
    <row r="2186" ht="14.1" customHeight="1"/>
    <row r="2187" ht="14.1" customHeight="1"/>
    <row r="2188" ht="14.1" customHeight="1"/>
    <row r="2189" ht="14.1" customHeight="1"/>
    <row r="2190" ht="14.1" customHeight="1"/>
    <row r="2191" ht="14.1" customHeight="1"/>
    <row r="2192" ht="14.1" customHeight="1"/>
    <row r="2193" ht="14.1" customHeight="1"/>
    <row r="2194" ht="14.1" customHeight="1"/>
    <row r="2195" ht="14.1" customHeight="1"/>
    <row r="2196" ht="14.1" customHeight="1"/>
    <row r="2197" ht="14.1" customHeight="1"/>
    <row r="2198" ht="14.1" customHeight="1"/>
    <row r="2199" ht="14.1" customHeight="1"/>
    <row r="2200" ht="14.1" customHeight="1"/>
    <row r="2201" ht="14.1" customHeight="1"/>
    <row r="2202" ht="14.1" customHeight="1"/>
    <row r="2203" ht="14.1" customHeight="1"/>
    <row r="2204" ht="14.1" customHeight="1"/>
    <row r="2205" ht="14.1" customHeight="1"/>
    <row r="2206" ht="14.1" customHeight="1"/>
    <row r="2207" ht="14.1" customHeight="1"/>
    <row r="2208" ht="14.1" customHeight="1"/>
    <row r="2209" ht="14.1" customHeight="1"/>
    <row r="2210" ht="14.1" customHeight="1"/>
    <row r="2211" ht="14.1" customHeight="1"/>
    <row r="2212" ht="14.1" customHeight="1"/>
    <row r="2213" ht="14.1" customHeight="1"/>
    <row r="2214" ht="14.1" customHeight="1"/>
    <row r="2215" ht="14.1" customHeight="1"/>
    <row r="2216" ht="14.1" customHeight="1"/>
    <row r="2217" ht="14.1" customHeight="1"/>
    <row r="2218" ht="14.1" customHeight="1"/>
    <row r="2219" ht="14.1" customHeight="1"/>
    <row r="2220" ht="14.1" customHeight="1"/>
    <row r="2221" ht="14.1" customHeight="1"/>
    <row r="2222" ht="14.1" customHeight="1"/>
    <row r="2223" ht="14.1" customHeight="1"/>
    <row r="2224" ht="14.1" customHeight="1"/>
    <row r="2225" ht="14.1" customHeight="1"/>
    <row r="2226" ht="14.1" customHeight="1"/>
    <row r="2227" ht="14.1" customHeight="1"/>
    <row r="2228" ht="14.1" customHeight="1"/>
    <row r="2229" ht="14.1" customHeight="1"/>
    <row r="2230" ht="14.1" customHeight="1"/>
    <row r="2231" ht="14.1" customHeight="1"/>
    <row r="2232" ht="14.1" customHeight="1"/>
    <row r="2233" ht="14.1" customHeight="1"/>
    <row r="2234" ht="14.1" customHeight="1"/>
    <row r="2235" ht="14.1" customHeight="1"/>
    <row r="2236" ht="14.1" customHeight="1"/>
    <row r="2237" ht="14.1" customHeight="1"/>
    <row r="2238" ht="14.1" customHeight="1"/>
    <row r="2239" ht="14.1" customHeight="1"/>
    <row r="2240" ht="14.1" customHeight="1"/>
    <row r="2241" ht="14.1" customHeight="1"/>
    <row r="2242" ht="14.1" customHeight="1"/>
    <row r="2243" ht="14.1" customHeight="1"/>
    <row r="2244" ht="14.1" customHeight="1"/>
    <row r="2245" ht="14.1" customHeight="1"/>
    <row r="2246" ht="14.1" customHeight="1"/>
    <row r="2247" ht="14.1" customHeight="1"/>
    <row r="2248" ht="14.1" customHeight="1"/>
    <row r="2249" ht="14.1" customHeight="1"/>
    <row r="2250" ht="14.1" customHeight="1"/>
    <row r="2251" ht="14.1" customHeight="1"/>
    <row r="2252" ht="14.1" customHeight="1"/>
    <row r="2253" ht="14.1" customHeight="1"/>
    <row r="2254" ht="14.1" customHeight="1"/>
    <row r="2255" ht="14.1" customHeight="1"/>
    <row r="2256" ht="14.1" customHeight="1"/>
    <row r="2257" ht="14.1" customHeight="1"/>
    <row r="2258" ht="14.1" customHeight="1"/>
    <row r="2259" ht="14.1" customHeight="1"/>
    <row r="2260" ht="14.1" customHeight="1"/>
    <row r="2261" ht="14.1" customHeight="1"/>
    <row r="2262" ht="14.1" customHeight="1"/>
    <row r="2263" ht="14.1" customHeight="1"/>
    <row r="2264" ht="14.1" customHeight="1"/>
    <row r="2265" ht="14.1" customHeight="1"/>
    <row r="2266" ht="14.1" customHeight="1"/>
    <row r="2267" ht="14.1" customHeight="1"/>
    <row r="2268" ht="14.1" customHeight="1"/>
    <row r="2269" ht="14.1" customHeight="1"/>
    <row r="2270" ht="14.1" customHeight="1"/>
    <row r="2271" ht="14.1" customHeight="1"/>
    <row r="2272" ht="14.1" customHeight="1"/>
    <row r="2273" ht="14.1" customHeight="1"/>
    <row r="2274" ht="14.1" customHeight="1"/>
    <row r="2275" ht="14.1" customHeight="1"/>
    <row r="2276" ht="14.1" customHeight="1"/>
    <row r="2277" ht="14.1" customHeight="1"/>
    <row r="2278" ht="14.1" customHeight="1"/>
    <row r="2279" ht="14.1" customHeight="1"/>
    <row r="2280" ht="14.1" customHeight="1"/>
    <row r="2281" ht="14.1" customHeight="1"/>
    <row r="2282" ht="14.1" customHeight="1"/>
    <row r="2283" ht="14.1" customHeight="1"/>
    <row r="2284" ht="14.1" customHeight="1"/>
    <row r="2285" ht="14.1" customHeight="1"/>
    <row r="2286" ht="14.1" customHeight="1"/>
    <row r="2287" ht="14.1" customHeight="1"/>
    <row r="2288" ht="14.1" customHeight="1"/>
    <row r="2289" ht="14.1" customHeight="1"/>
    <row r="2290" ht="14.1" customHeight="1"/>
    <row r="2291" ht="14.1" customHeight="1"/>
    <row r="2292" ht="14.1" customHeight="1"/>
    <row r="2293" ht="14.1" customHeight="1"/>
    <row r="2294" ht="14.1" customHeight="1"/>
    <row r="2295" ht="14.1" customHeight="1"/>
    <row r="2296" ht="14.1" customHeight="1"/>
    <row r="2297" ht="14.1" customHeight="1"/>
    <row r="2298" ht="14.1" customHeight="1"/>
    <row r="2299" ht="14.1" customHeight="1"/>
    <row r="2300" ht="14.1" customHeight="1"/>
    <row r="2301" ht="14.1" customHeight="1"/>
    <row r="2302" ht="14.1" customHeight="1"/>
    <row r="2303" ht="14.1" customHeight="1"/>
    <row r="2304" ht="14.1" customHeight="1"/>
    <row r="2305" ht="14.1" customHeight="1"/>
    <row r="2306" ht="14.1" customHeight="1"/>
    <row r="2307" ht="14.1" customHeight="1"/>
    <row r="2308" ht="14.1" customHeight="1"/>
    <row r="2309" ht="14.1" customHeight="1"/>
    <row r="2310" ht="14.1" customHeight="1"/>
    <row r="2311" ht="14.1" customHeight="1"/>
    <row r="2312" ht="14.1" customHeight="1"/>
    <row r="2313" ht="14.1" customHeight="1"/>
    <row r="2314" ht="14.1" customHeight="1"/>
    <row r="2315" ht="14.1" customHeight="1"/>
    <row r="2316" ht="14.1" customHeight="1"/>
    <row r="2317" ht="14.1" customHeight="1"/>
    <row r="2318" ht="14.1" customHeight="1"/>
    <row r="2319" ht="14.1" customHeight="1"/>
    <row r="2320" ht="14.1" customHeight="1"/>
    <row r="2321" ht="14.1" customHeight="1"/>
    <row r="2322" ht="14.1" customHeight="1"/>
    <row r="2323" ht="14.1" customHeight="1"/>
    <row r="2324" ht="14.1" customHeight="1"/>
    <row r="2325" ht="14.1" customHeight="1"/>
    <row r="2326" ht="14.1" customHeight="1"/>
    <row r="2327" ht="14.1" customHeight="1"/>
    <row r="2328" ht="14.1" customHeight="1"/>
    <row r="2329" ht="14.1" customHeight="1"/>
    <row r="2330" ht="14.1" customHeight="1"/>
    <row r="2331" ht="14.1" customHeight="1"/>
    <row r="2332" ht="14.1" customHeight="1"/>
    <row r="2333" ht="14.1" customHeight="1"/>
    <row r="2334" ht="14.1" customHeight="1"/>
    <row r="2335" ht="14.1" customHeight="1"/>
    <row r="2336" ht="14.1" customHeight="1"/>
    <row r="2337" ht="14.1" customHeight="1"/>
    <row r="2338" ht="14.1" customHeight="1"/>
    <row r="2339" ht="14.1" customHeight="1"/>
    <row r="2340" ht="14.1" customHeight="1"/>
    <row r="2341" ht="14.1" customHeight="1"/>
    <row r="2342" ht="14.1" customHeight="1"/>
    <row r="2343" ht="14.1" customHeight="1"/>
    <row r="2344" ht="14.1" customHeight="1"/>
    <row r="2345" ht="14.1" customHeight="1"/>
    <row r="2346" ht="14.1" customHeight="1"/>
    <row r="2347" ht="14.1" customHeight="1"/>
    <row r="2348" ht="14.1" customHeight="1"/>
    <row r="2349" ht="14.1" customHeight="1"/>
    <row r="2350" ht="14.1" customHeight="1"/>
    <row r="2351" ht="14.1" customHeight="1"/>
    <row r="2352" ht="14.1" customHeight="1"/>
    <row r="2353" ht="14.1" customHeight="1"/>
    <row r="2354" ht="14.1" customHeight="1"/>
    <row r="2355" ht="14.1" customHeight="1"/>
    <row r="2356" ht="14.1" customHeight="1"/>
    <row r="2357" ht="14.1" customHeight="1"/>
    <row r="2358" ht="14.1" customHeight="1"/>
    <row r="2359" ht="14.1" customHeight="1"/>
    <row r="2360" ht="14.1" customHeight="1"/>
    <row r="2361" ht="14.1" customHeight="1"/>
    <row r="2362" ht="14.1" customHeight="1"/>
    <row r="2363" ht="14.1" customHeight="1"/>
    <row r="2364" ht="14.1" customHeight="1"/>
    <row r="2365" ht="14.1" customHeight="1"/>
    <row r="2366" ht="14.1" customHeight="1"/>
    <row r="2367" ht="14.1" customHeight="1"/>
    <row r="2368" ht="14.1" customHeight="1"/>
    <row r="2369" ht="14.1" customHeight="1"/>
    <row r="2370" ht="14.1" customHeight="1"/>
    <row r="2371" ht="14.1" customHeight="1"/>
    <row r="2372" ht="14.1" customHeight="1"/>
    <row r="2373" ht="14.1" customHeight="1"/>
    <row r="2374" ht="14.1" customHeight="1"/>
    <row r="2375" ht="14.1" customHeight="1"/>
    <row r="2376" ht="14.1" customHeight="1"/>
    <row r="2377" ht="14.1" customHeight="1"/>
    <row r="2378" ht="14.1" customHeight="1"/>
    <row r="2379" ht="14.1" customHeight="1"/>
    <row r="2380" ht="14.1" customHeight="1"/>
    <row r="2381" ht="14.1" customHeight="1"/>
    <row r="2382" ht="14.1" customHeight="1"/>
    <row r="2383" ht="14.1" customHeight="1"/>
    <row r="2384" ht="14.1" customHeight="1"/>
    <row r="2385" ht="14.1" customHeight="1"/>
    <row r="2386" ht="14.1" customHeight="1"/>
    <row r="2387" ht="14.1" customHeight="1"/>
    <row r="2388" ht="14.1" customHeight="1"/>
    <row r="2389" ht="14.1" customHeight="1"/>
    <row r="2390" ht="14.1" customHeight="1"/>
    <row r="2391" ht="14.1" customHeight="1"/>
    <row r="2392" ht="14.1" customHeight="1"/>
    <row r="2393" ht="14.1" customHeight="1"/>
    <row r="2394" ht="14.1" customHeight="1"/>
    <row r="2395" ht="14.1" customHeight="1"/>
    <row r="2396" ht="14.1" customHeight="1"/>
    <row r="2397" ht="14.1" customHeight="1"/>
    <row r="2398" ht="14.1" customHeight="1"/>
    <row r="2399" ht="14.1" customHeight="1"/>
    <row r="2400" ht="14.1" customHeight="1"/>
    <row r="2401" ht="14.1" customHeight="1"/>
    <row r="2402" ht="14.1" customHeight="1"/>
    <row r="2403" ht="14.1" customHeight="1"/>
    <row r="2404" ht="14.1" customHeight="1"/>
    <row r="2405" ht="14.1" customHeight="1"/>
    <row r="2406" ht="14.1" customHeight="1"/>
    <row r="2407" ht="14.1" customHeight="1"/>
    <row r="2408" ht="14.1" customHeight="1"/>
    <row r="2409" ht="14.1" customHeight="1"/>
    <row r="2410" ht="14.1" customHeight="1"/>
    <row r="2411" ht="14.1" customHeight="1"/>
    <row r="2412" ht="14.1" customHeight="1"/>
    <row r="2413" ht="14.1" customHeight="1"/>
    <row r="2414" ht="14.1" customHeight="1"/>
    <row r="2415" ht="14.1" customHeight="1"/>
    <row r="2416" ht="14.1" customHeight="1"/>
    <row r="2417" ht="14.1" customHeight="1"/>
    <row r="2418" ht="14.1" customHeight="1"/>
    <row r="2419" ht="14.1" customHeight="1"/>
    <row r="2420" ht="14.1" customHeight="1"/>
    <row r="2421" ht="14.1" customHeight="1"/>
    <row r="2422" ht="14.1" customHeight="1"/>
    <row r="2423" ht="14.1" customHeight="1"/>
    <row r="2424" ht="14.1" customHeight="1"/>
    <row r="2425" ht="14.1" customHeight="1"/>
    <row r="2426" ht="14.1" customHeight="1"/>
    <row r="2427" ht="14.1" customHeight="1"/>
    <row r="2428" ht="14.1" customHeight="1"/>
    <row r="2429" ht="14.1" customHeight="1"/>
    <row r="2430" ht="14.1" customHeight="1"/>
    <row r="2431" ht="14.1" customHeight="1"/>
    <row r="2432" ht="14.1" customHeight="1"/>
    <row r="2433" ht="14.1" customHeight="1"/>
    <row r="2434" ht="14.1" customHeight="1"/>
    <row r="2435" ht="14.1" customHeight="1"/>
    <row r="2436" ht="14.1" customHeight="1"/>
    <row r="2437" ht="14.1" customHeight="1"/>
    <row r="2438" ht="14.1" customHeight="1"/>
    <row r="2439" ht="14.1" customHeight="1"/>
    <row r="2440" ht="14.1" customHeight="1"/>
    <row r="2441" ht="14.1" customHeight="1"/>
    <row r="2442" ht="14.1" customHeight="1"/>
    <row r="2443" ht="14.1" customHeight="1"/>
    <row r="2444" ht="14.1" customHeight="1"/>
    <row r="2445" ht="14.1" customHeight="1"/>
    <row r="2446" ht="14.1" customHeight="1"/>
    <row r="2447" ht="14.1" customHeight="1"/>
    <row r="2448" ht="14.1" customHeight="1"/>
    <row r="2449" ht="14.1" customHeight="1"/>
    <row r="2450" ht="14.1" customHeight="1"/>
    <row r="2451" ht="14.1" customHeight="1"/>
    <row r="2452" ht="14.1" customHeight="1"/>
    <row r="2453" ht="14.1" customHeight="1"/>
    <row r="2454" ht="14.1" customHeight="1"/>
    <row r="2455" ht="14.1" customHeight="1"/>
    <row r="2456" ht="14.1" customHeight="1"/>
    <row r="2457" ht="14.1" customHeight="1"/>
    <row r="2458" ht="14.1" customHeight="1"/>
    <row r="2459" ht="14.1" customHeight="1"/>
    <row r="2460" ht="14.1" customHeight="1"/>
    <row r="2461" ht="14.1" customHeight="1"/>
    <row r="2462" ht="14.1" customHeight="1"/>
    <row r="2463" ht="14.1" customHeight="1"/>
    <row r="2464" ht="14.1" customHeight="1"/>
    <row r="2465" ht="14.1" customHeight="1"/>
    <row r="2466" ht="14.1" customHeight="1"/>
    <row r="2467" ht="14.1" customHeight="1"/>
    <row r="2468" ht="14.1" customHeight="1"/>
    <row r="2469" ht="14.1" customHeight="1"/>
    <row r="2470" ht="14.1" customHeight="1"/>
    <row r="2471" ht="14.1" customHeight="1"/>
    <row r="2472" ht="14.1" customHeight="1"/>
    <row r="2473" ht="14.1" customHeight="1"/>
    <row r="2474" ht="14.1" customHeight="1"/>
    <row r="2475" ht="14.1" customHeight="1"/>
    <row r="2476" ht="14.1" customHeight="1"/>
    <row r="2477" ht="14.1" customHeight="1"/>
    <row r="2478" ht="14.1" customHeight="1"/>
    <row r="2479" ht="14.1" customHeight="1"/>
    <row r="2480" ht="14.1" customHeight="1"/>
    <row r="2481" ht="14.1" customHeight="1"/>
    <row r="2482" ht="14.1" customHeight="1"/>
    <row r="2483" ht="14.1" customHeight="1"/>
    <row r="2484" ht="14.1" customHeight="1"/>
    <row r="2485" ht="14.1" customHeight="1"/>
    <row r="2486" ht="14.1" customHeight="1"/>
    <row r="2487" ht="14.1" customHeight="1"/>
    <row r="2488" ht="14.1" customHeight="1"/>
    <row r="2489" ht="14.1" customHeight="1"/>
    <row r="2490" ht="14.1" customHeight="1"/>
    <row r="2491" ht="14.1" customHeight="1"/>
    <row r="2492" ht="14.1" customHeight="1"/>
    <row r="2493" ht="14.1" customHeight="1"/>
    <row r="2494" ht="14.1" customHeight="1"/>
    <row r="2495" ht="14.1" customHeight="1"/>
    <row r="2496" ht="14.1" customHeight="1"/>
    <row r="2497" ht="14.1" customHeight="1"/>
    <row r="2498" ht="14.1" customHeight="1"/>
    <row r="2499" ht="14.1" customHeight="1"/>
    <row r="2500" ht="14.1" customHeight="1"/>
    <row r="2501" ht="14.1" customHeight="1"/>
    <row r="2502" ht="14.1" customHeight="1"/>
    <row r="2503" ht="14.1" customHeight="1"/>
    <row r="2504" ht="14.1" customHeight="1"/>
    <row r="2505" ht="14.1" customHeight="1"/>
    <row r="2506" ht="14.1" customHeight="1"/>
    <row r="2507" ht="14.1" customHeight="1"/>
    <row r="2508" ht="14.1" customHeight="1"/>
    <row r="2509" ht="14.1" customHeight="1"/>
    <row r="2510" ht="14.1" customHeight="1"/>
    <row r="2511" ht="14.1" customHeight="1"/>
    <row r="2512" ht="14.1" customHeight="1"/>
    <row r="2513" ht="14.1" customHeight="1"/>
    <row r="2514" ht="14.1" customHeight="1"/>
    <row r="2515" ht="14.1" customHeight="1"/>
    <row r="2516" ht="14.1" customHeight="1"/>
    <row r="2517" ht="14.1" customHeight="1"/>
    <row r="2518" ht="14.1" customHeight="1"/>
    <row r="2519" ht="14.1" customHeight="1"/>
    <row r="2520" ht="14.1" customHeight="1"/>
    <row r="2521" ht="14.1" customHeight="1"/>
    <row r="2522" ht="14.1" customHeight="1"/>
    <row r="2523" ht="14.1" customHeight="1"/>
    <row r="2524" ht="14.1" customHeight="1"/>
    <row r="2525" ht="14.1" customHeight="1"/>
    <row r="2526" ht="14.1" customHeight="1"/>
    <row r="2527" ht="14.1" customHeight="1"/>
    <row r="2528" ht="14.1" customHeight="1"/>
    <row r="2529" ht="14.1" customHeight="1"/>
    <row r="2530" ht="14.1" customHeight="1"/>
    <row r="2531" ht="14.1" customHeight="1"/>
    <row r="2532" ht="14.1" customHeight="1"/>
    <row r="2533" ht="14.1" customHeight="1"/>
    <row r="2534" ht="14.1" customHeight="1"/>
    <row r="2535" ht="14.1" customHeight="1"/>
    <row r="2536" ht="14.1" customHeight="1"/>
    <row r="2537" ht="14.1" customHeight="1"/>
    <row r="2538" ht="14.1" customHeight="1"/>
    <row r="2539" ht="14.1" customHeight="1"/>
    <row r="2540" ht="14.1" customHeight="1"/>
    <row r="2541" ht="14.1" customHeight="1"/>
    <row r="2542" ht="14.1" customHeight="1"/>
    <row r="2543" ht="14.1" customHeight="1"/>
    <row r="2544" ht="14.1" customHeight="1"/>
    <row r="2545" ht="14.1" customHeight="1"/>
    <row r="2546" ht="14.1" customHeight="1"/>
    <row r="2547" ht="14.1" customHeight="1"/>
    <row r="2548" ht="14.1" customHeight="1"/>
    <row r="2549" ht="14.1" customHeight="1"/>
    <row r="2550" ht="14.1" customHeight="1"/>
    <row r="2551" ht="14.1" customHeight="1"/>
    <row r="2552" ht="14.1" customHeight="1"/>
    <row r="2553" ht="14.1" customHeight="1"/>
    <row r="2554" ht="14.1" customHeight="1"/>
    <row r="2555" ht="14.1" customHeight="1"/>
    <row r="2556" ht="14.1" customHeight="1"/>
    <row r="2557" ht="14.1" customHeight="1"/>
    <row r="2558" ht="14.1" customHeight="1"/>
    <row r="2559" ht="14.1" customHeight="1"/>
    <row r="2560" ht="14.1" customHeight="1"/>
    <row r="2561" ht="14.1" customHeight="1"/>
    <row r="2562" ht="14.1" customHeight="1"/>
    <row r="2563" ht="14.1" customHeight="1"/>
    <row r="2564" ht="14.1" customHeight="1"/>
    <row r="2565" ht="14.1" customHeight="1"/>
    <row r="2566" ht="14.1" customHeight="1"/>
    <row r="2567" ht="14.1" customHeight="1"/>
    <row r="2568" ht="14.1" customHeight="1"/>
    <row r="2569" ht="14.1" customHeight="1"/>
    <row r="2570" ht="14.1" customHeight="1"/>
    <row r="2571" ht="14.1" customHeight="1"/>
    <row r="2572" ht="14.1" customHeight="1"/>
    <row r="2573" ht="14.1" customHeight="1"/>
    <row r="2574" ht="14.1" customHeight="1"/>
    <row r="2575" ht="14.1" customHeight="1"/>
    <row r="2576" ht="14.1" customHeight="1"/>
    <row r="2577" ht="14.1" customHeight="1"/>
    <row r="2578" ht="14.1" customHeight="1"/>
    <row r="2579" ht="14.1" customHeight="1"/>
    <row r="2580" ht="14.1" customHeight="1"/>
    <row r="2581" ht="14.1" customHeight="1"/>
    <row r="2582" ht="14.1" customHeight="1"/>
    <row r="2583" ht="14.1" customHeight="1"/>
    <row r="2584" ht="14.1" customHeight="1"/>
    <row r="2585" ht="14.1" customHeight="1"/>
    <row r="2586" ht="14.1" customHeight="1"/>
    <row r="2587" ht="14.1" customHeight="1"/>
    <row r="2588" ht="14.1" customHeight="1"/>
    <row r="2589" ht="14.1" customHeight="1"/>
    <row r="2590" ht="14.1" customHeight="1"/>
    <row r="2591" ht="14.1" customHeight="1"/>
    <row r="2592" ht="14.1" customHeight="1"/>
    <row r="2593" ht="14.1" customHeight="1"/>
    <row r="2594" ht="14.1" customHeight="1"/>
    <row r="2595" ht="14.1" customHeight="1"/>
    <row r="2596" ht="14.1" customHeight="1"/>
    <row r="2597" ht="14.1" customHeight="1"/>
    <row r="2598" ht="14.1" customHeight="1"/>
    <row r="2599" ht="14.1" customHeight="1"/>
    <row r="2600" ht="14.1" customHeight="1"/>
    <row r="2601" ht="14.1" customHeight="1"/>
    <row r="2602" ht="14.1" customHeight="1"/>
    <row r="2603" ht="14.1" customHeight="1"/>
    <row r="2604" ht="14.1" customHeight="1"/>
    <row r="2605" ht="14.1" customHeight="1"/>
    <row r="2606" ht="14.1" customHeight="1"/>
    <row r="2607" ht="14.1" customHeight="1"/>
    <row r="2608" ht="14.1" customHeight="1"/>
    <row r="2609" ht="14.1" customHeight="1"/>
    <row r="2610" ht="14.1" customHeight="1"/>
    <row r="2611" ht="14.1" customHeight="1"/>
    <row r="2612" ht="14.1" customHeight="1"/>
    <row r="2613" ht="14.1" customHeight="1"/>
    <row r="2614" ht="14.1" customHeight="1"/>
    <row r="2615" ht="14.1" customHeight="1"/>
    <row r="2616" ht="14.1" customHeight="1"/>
    <row r="2617" ht="14.1" customHeight="1"/>
    <row r="2618" ht="14.1" customHeight="1"/>
    <row r="2619" ht="14.1" customHeight="1"/>
    <row r="2620" ht="14.1" customHeight="1"/>
    <row r="2621" ht="14.1" customHeight="1"/>
    <row r="2622" ht="14.1" customHeight="1"/>
    <row r="2623" ht="14.1" customHeight="1"/>
    <row r="2624" ht="14.1" customHeight="1"/>
    <row r="2625" ht="14.1" customHeight="1"/>
    <row r="2626" ht="14.1" customHeight="1"/>
    <row r="2627" ht="14.1" customHeight="1"/>
    <row r="2628" ht="14.1" customHeight="1"/>
    <row r="2629" ht="14.1" customHeight="1"/>
    <row r="2630" ht="14.1" customHeight="1"/>
    <row r="2631" ht="14.1" customHeight="1"/>
    <row r="2632" ht="14.1" customHeight="1"/>
    <row r="2633" ht="14.1" customHeight="1"/>
    <row r="2634" ht="14.1" customHeight="1"/>
    <row r="2635" ht="14.1" customHeight="1"/>
    <row r="2636" ht="14.1" customHeight="1"/>
    <row r="2637" ht="14.1" customHeight="1"/>
    <row r="2638" ht="14.1" customHeight="1"/>
    <row r="2639" ht="14.1" customHeight="1"/>
    <row r="2640" ht="14.1" customHeight="1"/>
    <row r="2641" ht="14.1" customHeight="1"/>
    <row r="2642" ht="14.1" customHeight="1"/>
    <row r="2643" ht="14.1" customHeight="1"/>
    <row r="2644" ht="14.1" customHeight="1"/>
    <row r="2645" ht="14.1" customHeight="1"/>
    <row r="2646" ht="14.1" customHeight="1"/>
    <row r="2647" ht="14.1" customHeight="1"/>
    <row r="2648" ht="14.1" customHeight="1"/>
    <row r="2649" ht="14.1" customHeight="1"/>
    <row r="2650" ht="14.1" customHeight="1"/>
    <row r="2651" ht="14.1" customHeight="1"/>
    <row r="2652" ht="14.1" customHeight="1"/>
    <row r="2653" ht="14.1" customHeight="1"/>
    <row r="2654" ht="14.1" customHeight="1"/>
    <row r="2655" ht="14.1" customHeight="1"/>
    <row r="2656" ht="14.1" customHeight="1"/>
    <row r="2657" ht="14.1" customHeight="1"/>
    <row r="2658" ht="14.1" customHeight="1"/>
    <row r="2659" ht="14.1" customHeight="1"/>
    <row r="2660" ht="14.1" customHeight="1"/>
    <row r="2661" ht="14.1" customHeight="1"/>
    <row r="2662" ht="14.1" customHeight="1"/>
    <row r="2663" ht="14.1" customHeight="1"/>
    <row r="2664" ht="14.1" customHeight="1"/>
    <row r="2665" ht="14.1" customHeight="1"/>
    <row r="2666" ht="14.1" customHeight="1"/>
    <row r="2667" ht="14.1" customHeight="1"/>
    <row r="2668" ht="14.1" customHeight="1"/>
    <row r="2669" ht="14.1" customHeight="1"/>
    <row r="2670" ht="14.1" customHeight="1"/>
    <row r="2671" ht="14.1" customHeight="1"/>
    <row r="2672" ht="14.1" customHeight="1"/>
    <row r="2673" ht="14.1" customHeight="1"/>
    <row r="2674" ht="14.1" customHeight="1"/>
    <row r="2675" ht="14.1" customHeight="1"/>
    <row r="2676" ht="14.1" customHeight="1"/>
    <row r="2677" ht="14.1" customHeight="1"/>
    <row r="2678" ht="14.1" customHeight="1"/>
    <row r="2679" ht="14.1" customHeight="1"/>
    <row r="2680" ht="14.1" customHeight="1"/>
    <row r="2681" ht="14.1" customHeight="1"/>
    <row r="2682" ht="14.1" customHeight="1"/>
    <row r="2683" ht="14.1" customHeight="1"/>
    <row r="2684" ht="14.1" customHeight="1"/>
    <row r="2685" ht="14.1" customHeight="1"/>
    <row r="2686" ht="14.1" customHeight="1"/>
    <row r="2687" ht="14.1" customHeight="1"/>
    <row r="2688" ht="14.1" customHeight="1"/>
    <row r="2689" ht="14.1" customHeight="1"/>
    <row r="2690" ht="14.1" customHeight="1"/>
    <row r="2691" ht="14.1" customHeight="1"/>
    <row r="2692" ht="14.1" customHeight="1"/>
    <row r="2693" ht="14.1" customHeight="1"/>
    <row r="2694" ht="14.1" customHeight="1"/>
    <row r="2695" ht="14.1" customHeight="1"/>
    <row r="2696" ht="14.1" customHeight="1"/>
    <row r="2697" ht="14.1" customHeight="1"/>
    <row r="2698" ht="14.1" customHeight="1"/>
    <row r="2699" ht="14.1" customHeight="1"/>
    <row r="2700" ht="14.1" customHeight="1"/>
    <row r="2701" ht="14.1" customHeight="1"/>
    <row r="2702" ht="14.1" customHeight="1"/>
    <row r="2703" ht="14.1" customHeight="1"/>
    <row r="2704" ht="14.1" customHeight="1"/>
    <row r="2705" ht="14.1" customHeight="1"/>
    <row r="2706" ht="14.1" customHeight="1"/>
    <row r="2707" ht="14.1" customHeight="1"/>
    <row r="2708" ht="14.1" customHeight="1"/>
    <row r="2709" ht="14.1" customHeight="1"/>
    <row r="2710" ht="14.1" customHeight="1"/>
    <row r="2711" ht="14.1" customHeight="1"/>
    <row r="2712" ht="14.1" customHeight="1"/>
    <row r="2713" ht="14.1" customHeight="1"/>
    <row r="2714" ht="14.1" customHeight="1"/>
    <row r="2715" ht="14.1" customHeight="1"/>
    <row r="2716" ht="14.1" customHeight="1"/>
    <row r="2717" ht="14.1" customHeight="1"/>
    <row r="2718" ht="14.1" customHeight="1"/>
    <row r="2719" ht="14.1" customHeight="1"/>
    <row r="2720" ht="14.1" customHeight="1"/>
    <row r="2721" ht="14.1" customHeight="1"/>
    <row r="2722" ht="14.1" customHeight="1"/>
    <row r="2723" ht="14.1" customHeight="1"/>
    <row r="2724" ht="14.1" customHeight="1"/>
    <row r="2725" ht="14.1" customHeight="1"/>
    <row r="2726" ht="14.1" customHeight="1"/>
    <row r="2727" ht="14.1" customHeight="1"/>
    <row r="2728" ht="14.1" customHeight="1"/>
    <row r="2729" ht="14.1" customHeight="1"/>
    <row r="2730" ht="14.1" customHeight="1"/>
    <row r="2731" ht="14.1" customHeight="1"/>
    <row r="2732" ht="14.1" customHeight="1"/>
    <row r="2733" ht="14.1" customHeight="1"/>
    <row r="2734" ht="14.1" customHeight="1"/>
    <row r="2735" ht="14.1" customHeight="1"/>
    <row r="2736" ht="14.1" customHeight="1"/>
    <row r="2737" ht="14.1" customHeight="1"/>
    <row r="2738" ht="14.1" customHeight="1"/>
    <row r="2739" ht="14.1" customHeight="1"/>
    <row r="2740" ht="14.1" customHeight="1"/>
    <row r="2741" ht="14.1" customHeight="1"/>
    <row r="2742" ht="14.1" customHeight="1"/>
    <row r="2743" ht="14.1" customHeight="1"/>
    <row r="2744" ht="14.1" customHeight="1"/>
    <row r="2745" ht="14.1" customHeight="1"/>
    <row r="2746" ht="14.1" customHeight="1"/>
    <row r="2747" ht="14.1" customHeight="1"/>
    <row r="2748" ht="14.1" customHeight="1"/>
    <row r="2749" ht="14.1" customHeight="1"/>
    <row r="2750" ht="14.1" customHeight="1"/>
    <row r="2751" ht="14.1" customHeight="1"/>
    <row r="2752" ht="14.1" customHeight="1"/>
    <row r="2753" ht="14.1" customHeight="1"/>
    <row r="2754" ht="14.1" customHeight="1"/>
    <row r="2755" ht="14.1" customHeight="1"/>
    <row r="2756" ht="14.1" customHeight="1"/>
    <row r="2757" ht="14.1" customHeight="1"/>
    <row r="2758" ht="14.1" customHeight="1"/>
    <row r="2759" ht="14.1" customHeight="1"/>
    <row r="2760" ht="14.1" customHeight="1"/>
    <row r="2761" ht="14.1" customHeight="1"/>
    <row r="2762" ht="14.1" customHeight="1"/>
    <row r="2763" ht="14.1" customHeight="1"/>
    <row r="2764" ht="14.1" customHeight="1"/>
    <row r="2765" ht="14.1" customHeight="1"/>
    <row r="2766" ht="14.1" customHeight="1"/>
    <row r="2767" ht="14.1" customHeight="1"/>
    <row r="2768" ht="14.1" customHeight="1"/>
    <row r="2769" ht="14.1" customHeight="1"/>
    <row r="2770" ht="14.1" customHeight="1"/>
    <row r="2771" ht="14.1" customHeight="1"/>
    <row r="2772" ht="14.1" customHeight="1"/>
    <row r="2773" ht="14.1" customHeight="1"/>
    <row r="2774" ht="14.1" customHeight="1"/>
    <row r="2775" ht="14.1" customHeight="1"/>
    <row r="2776" ht="14.1" customHeight="1"/>
    <row r="2777" ht="14.1" customHeight="1"/>
    <row r="2778" ht="14.1" customHeight="1"/>
    <row r="2779" ht="14.1" customHeight="1"/>
    <row r="2780" ht="14.1" customHeight="1"/>
    <row r="2781" ht="14.1" customHeight="1"/>
    <row r="2782" ht="14.1" customHeight="1"/>
    <row r="2783" ht="14.1" customHeight="1"/>
    <row r="2784" ht="14.1" customHeight="1"/>
    <row r="2785" ht="14.1" customHeight="1"/>
    <row r="2786" ht="14.1" customHeight="1"/>
    <row r="2787" ht="14.1" customHeight="1"/>
    <row r="2788" ht="14.1" customHeight="1"/>
    <row r="2789" ht="14.1" customHeight="1"/>
    <row r="2790" ht="14.1" customHeight="1"/>
    <row r="2791" ht="14.1" customHeight="1"/>
    <row r="2792" ht="14.1" customHeight="1"/>
    <row r="2793" ht="14.1" customHeight="1"/>
    <row r="2794" ht="14.1" customHeight="1"/>
  </sheetData>
  <mergeCells count="187">
    <mergeCell ref="J1174:M1174"/>
    <mergeCell ref="J1222:M1222"/>
    <mergeCell ref="J1257:M1257"/>
    <mergeCell ref="J1304:M1304"/>
    <mergeCell ref="J1341:M1341"/>
    <mergeCell ref="J1382:M1382"/>
    <mergeCell ref="J1425:M1425"/>
    <mergeCell ref="J470:M470"/>
    <mergeCell ref="J505:M505"/>
    <mergeCell ref="J549:M549"/>
    <mergeCell ref="J588:M588"/>
    <mergeCell ref="J633:M633"/>
    <mergeCell ref="J672:M672"/>
    <mergeCell ref="J715:M715"/>
    <mergeCell ref="J756:M756"/>
    <mergeCell ref="J804:M804"/>
    <mergeCell ref="J886:M886"/>
    <mergeCell ref="J923:M923"/>
    <mergeCell ref="J89:M89"/>
    <mergeCell ref="J127:M127"/>
    <mergeCell ref="J172:M172"/>
    <mergeCell ref="J212:M212"/>
    <mergeCell ref="J255:M255"/>
    <mergeCell ref="J290:M290"/>
    <mergeCell ref="J338:M338"/>
    <mergeCell ref="J374:M374"/>
    <mergeCell ref="J421:M421"/>
    <mergeCell ref="K402:L402"/>
    <mergeCell ref="K403:L403"/>
    <mergeCell ref="K327:L327"/>
    <mergeCell ref="B451:D451"/>
    <mergeCell ref="G451:I451"/>
    <mergeCell ref="K451:L451"/>
    <mergeCell ref="B452:D452"/>
    <mergeCell ref="G452:I452"/>
    <mergeCell ref="K452:L452"/>
    <mergeCell ref="A367:F367"/>
    <mergeCell ref="A414:F414"/>
    <mergeCell ref="G410:I410"/>
    <mergeCell ref="K410:L410"/>
    <mergeCell ref="B411:D411"/>
    <mergeCell ref="G411:I411"/>
    <mergeCell ref="K411:L411"/>
    <mergeCell ref="B410:D410"/>
    <mergeCell ref="B402:D402"/>
    <mergeCell ref="A1:N2"/>
    <mergeCell ref="B77:D77"/>
    <mergeCell ref="G77:I77"/>
    <mergeCell ref="K77:L77"/>
    <mergeCell ref="A82:F82"/>
    <mergeCell ref="A37:F37"/>
    <mergeCell ref="A3:F3"/>
    <mergeCell ref="J11:M11"/>
    <mergeCell ref="B76:D76"/>
    <mergeCell ref="G76:I76"/>
    <mergeCell ref="K76:L76"/>
    <mergeCell ref="A4:G4"/>
    <mergeCell ref="J4:L4"/>
    <mergeCell ref="J44:M44"/>
    <mergeCell ref="A463:F463"/>
    <mergeCell ref="A498:F498"/>
    <mergeCell ref="B537:D537"/>
    <mergeCell ref="G537:I537"/>
    <mergeCell ref="K537:L537"/>
    <mergeCell ref="A165:F165"/>
    <mergeCell ref="A283:F283"/>
    <mergeCell ref="A331:F331"/>
    <mergeCell ref="A248:F248"/>
    <mergeCell ref="A205:F205"/>
    <mergeCell ref="B243:D243"/>
    <mergeCell ref="G243:I243"/>
    <mergeCell ref="K243:L243"/>
    <mergeCell ref="B244:D244"/>
    <mergeCell ref="G244:I244"/>
    <mergeCell ref="K244:L244"/>
    <mergeCell ref="B326:D326"/>
    <mergeCell ref="G326:I326"/>
    <mergeCell ref="K326:L326"/>
    <mergeCell ref="B327:D327"/>
    <mergeCell ref="G327:I327"/>
    <mergeCell ref="G402:I402"/>
    <mergeCell ref="B403:D403"/>
    <mergeCell ref="G403:I403"/>
    <mergeCell ref="B618:D618"/>
    <mergeCell ref="G618:I618"/>
    <mergeCell ref="K618:L618"/>
    <mergeCell ref="B619:D619"/>
    <mergeCell ref="G619:I619"/>
    <mergeCell ref="K619:L619"/>
    <mergeCell ref="B538:D538"/>
    <mergeCell ref="G538:I538"/>
    <mergeCell ref="K538:L538"/>
    <mergeCell ref="A542:F542"/>
    <mergeCell ref="A581:F581"/>
    <mergeCell ref="B704:D704"/>
    <mergeCell ref="G704:I704"/>
    <mergeCell ref="K704:L704"/>
    <mergeCell ref="A708:F708"/>
    <mergeCell ref="A749:F749"/>
    <mergeCell ref="A626:F626"/>
    <mergeCell ref="A665:F665"/>
    <mergeCell ref="B703:D703"/>
    <mergeCell ref="G703:I703"/>
    <mergeCell ref="K703:L703"/>
    <mergeCell ref="A797:F797"/>
    <mergeCell ref="A832:F832"/>
    <mergeCell ref="B867:D867"/>
    <mergeCell ref="G867:I867"/>
    <mergeCell ref="K867:L867"/>
    <mergeCell ref="B792:D792"/>
    <mergeCell ref="G792:I792"/>
    <mergeCell ref="K792:L792"/>
    <mergeCell ref="B793:D793"/>
    <mergeCell ref="G793:I793"/>
    <mergeCell ref="K793:L793"/>
    <mergeCell ref="J839:M839"/>
    <mergeCell ref="B876:D876"/>
    <mergeCell ref="G876:I876"/>
    <mergeCell ref="K876:L876"/>
    <mergeCell ref="A879:F879"/>
    <mergeCell ref="B868:D868"/>
    <mergeCell ref="G868:I868"/>
    <mergeCell ref="K868:L868"/>
    <mergeCell ref="B875:D875"/>
    <mergeCell ref="G875:I875"/>
    <mergeCell ref="K875:L875"/>
    <mergeCell ref="B956:D956"/>
    <mergeCell ref="G956:I956"/>
    <mergeCell ref="K956:L956"/>
    <mergeCell ref="A960:F960"/>
    <mergeCell ref="A999:F999"/>
    <mergeCell ref="J967:M967"/>
    <mergeCell ref="J1006:M1006"/>
    <mergeCell ref="A916:F916"/>
    <mergeCell ref="B955:D955"/>
    <mergeCell ref="G955:I955"/>
    <mergeCell ref="K955:L955"/>
    <mergeCell ref="A1083:F1083"/>
    <mergeCell ref="B1121:D1121"/>
    <mergeCell ref="G1121:I1121"/>
    <mergeCell ref="K1121:L1121"/>
    <mergeCell ref="J1051:M1051"/>
    <mergeCell ref="J1090:M1090"/>
    <mergeCell ref="J1133:M1133"/>
    <mergeCell ref="B1036:D1036"/>
    <mergeCell ref="G1036:I1036"/>
    <mergeCell ref="K1036:L1036"/>
    <mergeCell ref="B1037:D1037"/>
    <mergeCell ref="G1037:I1037"/>
    <mergeCell ref="K1037:L1037"/>
    <mergeCell ref="G1285:I1285"/>
    <mergeCell ref="K1285:L1285"/>
    <mergeCell ref="B1210:D1210"/>
    <mergeCell ref="G1210:I1210"/>
    <mergeCell ref="K1210:L1210"/>
    <mergeCell ref="B1211:D1211"/>
    <mergeCell ref="G1211:I1211"/>
    <mergeCell ref="K1211:L1211"/>
    <mergeCell ref="A120:F120"/>
    <mergeCell ref="K158:L158"/>
    <mergeCell ref="G158:I158"/>
    <mergeCell ref="B158:D158"/>
    <mergeCell ref="K157:L157"/>
    <mergeCell ref="G157:I157"/>
    <mergeCell ref="B157:D157"/>
    <mergeCell ref="A1215:F1215"/>
    <mergeCell ref="A1250:F1250"/>
    <mergeCell ref="B1285:D1285"/>
    <mergeCell ref="B1122:D1122"/>
    <mergeCell ref="G1122:I1122"/>
    <mergeCell ref="K1122:L1122"/>
    <mergeCell ref="A1126:F1126"/>
    <mergeCell ref="A1167:F1167"/>
    <mergeCell ref="A1044:F1044"/>
    <mergeCell ref="A1418:F1418"/>
    <mergeCell ref="A1375:F1375"/>
    <mergeCell ref="B1294:D1294"/>
    <mergeCell ref="G1294:I1294"/>
    <mergeCell ref="K1294:L1294"/>
    <mergeCell ref="A1297:F1297"/>
    <mergeCell ref="A1334:F1334"/>
    <mergeCell ref="B1286:D1286"/>
    <mergeCell ref="G1286:I1286"/>
    <mergeCell ref="K1286:L1286"/>
    <mergeCell ref="B1293:D1293"/>
    <mergeCell ref="G1293:I1293"/>
    <mergeCell ref="K1293:L1293"/>
  </mergeCells>
  <pageMargins left="0.95" right="0.45" top="0.75" bottom="0.5" header="0.3" footer="0.3"/>
  <pageSetup paperSize="9"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QTY(BUND)</vt:lpstr>
      <vt:lpstr>Bund</vt:lpstr>
      <vt:lpstr>Qty-B (FC)</vt:lpstr>
      <vt:lpstr>fc (4)</vt:lpstr>
      <vt:lpstr>fc (3)</vt:lpstr>
      <vt:lpstr>LS</vt:lpstr>
      <vt:lpstr>fc (2)</vt:lpstr>
      <vt:lpstr>fc</vt:lpstr>
      <vt:lpstr>Bund!Print_Area</vt:lpstr>
      <vt:lpstr>fc!Print_Area</vt:lpstr>
      <vt:lpstr>'fc (2)'!Print_Area</vt:lpstr>
      <vt:lpstr>'fc (3)'!Print_Area</vt:lpstr>
      <vt:lpstr>'fc (4)'!Print_Area</vt:lpstr>
      <vt:lpstr>LS!Print_Area</vt:lpstr>
      <vt:lpstr>'QTY(BUND)'!Print_Area</vt:lpstr>
      <vt:lpstr>'Qty-B (FC)'!Print_Area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2019-04-05T03:58:37Z</dcterms:modified>
</cp:coreProperties>
</file>